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22"/>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比较法-办公" sheetId="34" r:id="rId16"/>
    <sheet name="收益法" sheetId="15" r:id="rId17"/>
    <sheet name="案例" sheetId="63" r:id="rId18"/>
    <sheet name="结果表 (1修多)" sheetId="57" r:id="rId19"/>
    <sheet name="成本法" sheetId="11" state="hidden" r:id="rId20"/>
    <sheet name="假设开发法" sheetId="12" state="hidden"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5"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34" l="1"/>
  <c r="F121" i="34" l="1"/>
  <c r="E121" i="34"/>
  <c r="D121" i="34"/>
  <c r="C121" i="34"/>
  <c r="I34" i="34"/>
  <c r="I37" i="34"/>
  <c r="E37" i="34"/>
  <c r="C37" i="34"/>
  <c r="I7" i="34"/>
  <c r="G7" i="34"/>
  <c r="E7" i="34"/>
  <c r="E20" i="1"/>
  <c r="D2" i="4"/>
  <c r="A126" i="57" l="1"/>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F3" i="61"/>
  <c r="D4" i="61"/>
  <c r="D5" i="61"/>
  <c r="D6" i="61"/>
  <c r="F6" i="61"/>
  <c r="F5" i="61"/>
  <c r="D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F46" i="34" s="1"/>
  <c r="S46" i="34" s="1"/>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J40" i="34"/>
  <c r="AC40" i="34" s="1"/>
  <c r="S37" i="40"/>
  <c r="H19" i="33"/>
  <c r="AB19" i="33" s="1"/>
  <c r="AB23" i="33"/>
  <c r="U23" i="33"/>
  <c r="W23" i="33"/>
  <c r="AA41" i="33"/>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W17" i="34"/>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C106" i="9"/>
  <c r="H102" i="9" s="1"/>
  <c r="B103" i="9"/>
  <c r="C113" i="57"/>
  <c r="H108" i="57" s="1"/>
  <c r="S47" i="34"/>
  <c r="D10" i="11"/>
  <c r="AA44" i="34"/>
  <c r="U39" i="34"/>
  <c r="S28" i="34"/>
  <c r="AB25" i="34"/>
  <c r="J23" i="34"/>
  <c r="W23" i="34" s="1"/>
  <c r="H23" i="34"/>
  <c r="AB23" i="34" s="1"/>
  <c r="F23" i="34"/>
  <c r="W40" i="34"/>
  <c r="AC36" i="34"/>
  <c r="S11" i="34"/>
  <c r="AB33" i="34"/>
  <c r="S37" i="34"/>
  <c r="AC37" i="34"/>
  <c r="S15" i="34"/>
  <c r="U15" i="34"/>
  <c r="W9" i="34"/>
  <c r="U9" i="34"/>
  <c r="AC10" i="34"/>
  <c r="AC11" i="34"/>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10" i="1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35" i="43"/>
  <c r="C33" i="43"/>
  <c r="C36" i="43"/>
  <c r="C34"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Q59" i="15"/>
  <c r="K54" i="15"/>
  <c r="J54"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I111" i="57"/>
  <c r="B33" i="1"/>
  <c r="F41" i="15" s="1"/>
  <c r="F70" i="15" s="1"/>
  <c r="Q50" i="15"/>
  <c r="C39" i="35"/>
  <c r="B3" i="35" s="1"/>
  <c r="AB7" i="36"/>
  <c r="T36" i="36" s="1"/>
  <c r="G36" i="36" s="1"/>
  <c r="G41" i="36" s="1"/>
  <c r="H41" i="36" s="1"/>
  <c r="AC7" i="33"/>
  <c r="V48" i="33" s="1"/>
  <c r="I48" i="33" s="1"/>
  <c r="I52" i="33" s="1"/>
  <c r="J52" i="33" s="1"/>
  <c r="S7" i="21"/>
  <c r="C15" i="12"/>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5" i="57" l="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34"/>
  <c r="E2" i="11"/>
  <c r="E2" i="35"/>
  <c r="E2" i="37"/>
  <c r="E2" i="21"/>
  <c r="E2" i="33"/>
  <c r="B2" i="36" l="1"/>
  <c r="B3" i="36" s="1"/>
  <c r="B2" i="34"/>
  <c r="B2" i="35"/>
  <c r="B2" i="37"/>
  <c r="B3" i="37" s="1"/>
  <c r="B2" i="33"/>
  <c r="B3" i="33" s="1"/>
  <c r="B2" i="21"/>
  <c r="B3" i="21" s="1"/>
  <c r="B2" i="11"/>
  <c r="Q65" i="15"/>
  <c r="L58" i="15"/>
  <c r="L61" i="15" s="1"/>
  <c r="L47" i="15" s="1"/>
  <c r="O68" i="39"/>
  <c r="O70" i="39" s="1"/>
  <c r="N70" i="39"/>
  <c r="O63" i="40"/>
  <c r="O65" i="40" s="1"/>
  <c r="N65" i="40"/>
  <c r="D19" i="9"/>
  <c r="D19" i="57"/>
  <c r="D101" i="9" l="1"/>
  <c r="B3" i="34"/>
  <c r="B2" i="15"/>
  <c r="B3" i="15"/>
  <c r="Q64" i="15"/>
  <c r="Q73" i="15" s="1"/>
  <c r="Q55" i="15"/>
  <c r="Q60" i="15" s="1"/>
  <c r="D102" i="57"/>
  <c r="H7" i="40"/>
  <c r="F7" i="40"/>
  <c r="J7" i="40"/>
  <c r="H7" i="39"/>
  <c r="F7" i="39"/>
  <c r="J7" i="39"/>
  <c r="D20" i="57"/>
  <c r="C19" i="57"/>
  <c r="C20" i="57"/>
  <c r="C20" i="9"/>
  <c r="C19" i="9"/>
  <c r="D20" i="9"/>
  <c r="D103" i="57" l="1"/>
  <c r="G20" i="57"/>
  <c r="R27" i="31" s="1"/>
  <c r="R28" i="31" s="1"/>
  <c r="C103" i="57"/>
  <c r="C102" i="57"/>
  <c r="D22" i="57"/>
  <c r="G19" i="57"/>
  <c r="C104" i="57" s="1"/>
  <c r="D102" i="9"/>
  <c r="C101" i="9"/>
  <c r="G19" i="9"/>
  <c r="C32" i="9" s="1"/>
  <c r="D22" i="9"/>
  <c r="C102" i="9"/>
  <c r="G20"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S28" i="31" l="1"/>
  <c r="T28" i="31"/>
  <c r="C105" i="57"/>
  <c r="G47" i="40"/>
  <c r="H47" i="40" s="1"/>
  <c r="G46" i="40"/>
  <c r="H46" i="40" s="1"/>
  <c r="I46" i="40"/>
  <c r="J46" i="40" s="1"/>
  <c r="R48" i="39"/>
  <c r="E47" i="39"/>
  <c r="R43" i="40"/>
  <c r="E42" i="40"/>
  <c r="G51" i="39"/>
  <c r="H51" i="39" s="1"/>
  <c r="G52" i="39"/>
  <c r="H52" i="39" s="1"/>
  <c r="S27" i="31" l="1"/>
  <c r="S25" i="31" s="1"/>
  <c r="C32" i="57"/>
  <c r="T27" i="31"/>
  <c r="T25" i="31" s="1"/>
  <c r="E46" i="40"/>
  <c r="F46" i="40" s="1"/>
  <c r="E47" i="40"/>
  <c r="F47" i="40" s="1"/>
  <c r="I52" i="39"/>
  <c r="J52" i="39" s="1"/>
  <c r="E51" i="39"/>
  <c r="F51" i="39" s="1"/>
  <c r="E52" i="39"/>
  <c r="F52" i="39" s="1"/>
  <c r="C42" i="40"/>
  <c r="C43" i="40"/>
  <c r="C47" i="39"/>
  <c r="C48" i="39"/>
  <c r="I47" i="40"/>
  <c r="J47" i="40" s="1"/>
  <c r="R25" i="31" l="1"/>
  <c r="B24" i="31" s="1"/>
  <c r="B3" i="31" s="1"/>
  <c r="C34" i="57" s="1"/>
  <c r="I124" i="57" s="1"/>
  <c r="B23" i="31"/>
  <c r="B2" i="31" s="1"/>
  <c r="C33" i="57" s="1"/>
  <c r="H124" i="57"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I103" i="57" l="1"/>
  <c r="C106" i="57"/>
  <c r="H125" i="57"/>
  <c r="D109" i="57"/>
  <c r="C107" i="57"/>
  <c r="I104" i="57"/>
  <c r="D110" i="57"/>
  <c r="B6" i="62"/>
  <c r="F61" i="40"/>
  <c r="B2" i="40" s="1"/>
  <c r="B3" i="40" s="1"/>
  <c r="F66" i="39"/>
  <c r="B2" i="39" s="1"/>
  <c r="B3" i="39" s="1"/>
  <c r="D117" i="57" l="1"/>
  <c r="D118" i="57" s="1"/>
  <c r="I114" i="57" s="1"/>
  <c r="D131" i="57" s="1"/>
  <c r="D116" i="57"/>
  <c r="I112" i="57" s="1"/>
  <c r="D129" i="57" s="1"/>
  <c r="D120" i="57"/>
  <c r="I116" i="57" s="1"/>
  <c r="I113" i="57"/>
  <c r="D46" i="57"/>
  <c r="M49" i="57"/>
  <c r="D6" i="62"/>
  <c r="C6" i="62"/>
  <c r="D130" i="57" l="1"/>
  <c r="M50" i="57"/>
  <c r="C79" i="57"/>
  <c r="C74" i="57" s="1"/>
  <c r="C86" i="57"/>
  <c r="C94" i="57"/>
  <c r="C87" i="57" s="1"/>
  <c r="C65" i="57"/>
  <c r="C64" i="57" s="1"/>
  <c r="C68" i="57" s="1"/>
  <c r="C69" i="57" s="1"/>
  <c r="D55" i="57" s="1"/>
  <c r="D53" i="57"/>
  <c r="D54" i="57"/>
  <c r="D49" i="57" s="1"/>
  <c r="M53" i="57" s="1"/>
  <c r="C73" i="57"/>
  <c r="C80" i="57" s="1"/>
  <c r="D56" i="57"/>
  <c r="M54" i="57" s="1"/>
  <c r="M56" i="9"/>
  <c r="D130" i="9"/>
  <c r="D13" i="52" s="1"/>
  <c r="C96" i="57" l="1"/>
  <c r="L68" i="57"/>
  <c r="M68" i="57" s="1"/>
  <c r="L66" i="57"/>
  <c r="M66" i="57" s="1"/>
  <c r="L64" i="57"/>
  <c r="M64" i="57" s="1"/>
  <c r="L69" i="57"/>
  <c r="M69" i="57" s="1"/>
  <c r="L67" i="57"/>
  <c r="M67" i="57" s="1"/>
  <c r="L65" i="57"/>
  <c r="M65" i="57" s="1"/>
  <c r="C81" i="57"/>
  <c r="E81" i="57" s="1"/>
  <c r="E82" i="57" s="1"/>
  <c r="D35" i="9"/>
  <c r="C35" i="9" s="1"/>
  <c r="C82" i="57" l="1"/>
  <c r="C97" i="57"/>
  <c r="E97" i="57" s="1"/>
  <c r="E98" i="57" s="1"/>
  <c r="M70" i="57"/>
  <c r="N70" i="57" s="1"/>
  <c r="C34" i="9"/>
  <c r="D34" i="9"/>
  <c r="C98" i="57" l="1"/>
  <c r="D59" i="57" s="1"/>
  <c r="D57" i="57" s="1"/>
  <c r="M55" i="57" s="1"/>
  <c r="N58" i="57" s="1"/>
  <c r="P58" i="57" s="1"/>
  <c r="I114" i="9"/>
  <c r="D116" i="9"/>
  <c r="N59" i="57" l="1"/>
  <c r="N60" i="57"/>
  <c r="N62" i="57" s="1"/>
  <c r="D129" i="9"/>
  <c r="D12" i="52" s="1"/>
  <c r="D21" i="50"/>
  <c r="D42" i="50"/>
  <c r="D43" i="50" s="1"/>
  <c r="N61" i="57" l="1"/>
  <c r="D22" i="50"/>
  <c r="B35" i="60" s="1"/>
  <c r="B33" i="60"/>
  <c r="D112" i="9"/>
  <c r="I110" i="9"/>
  <c r="D125" i="9" s="1"/>
  <c r="D8" i="52" s="1"/>
  <c r="D36" i="50" l="1"/>
  <c r="D37" i="50" s="1"/>
  <c r="D15" i="50"/>
  <c r="B29" i="60" l="1"/>
  <c r="D16" i="50"/>
  <c r="B30" i="60" s="1"/>
  <c r="F121" i="9"/>
  <c r="F122" i="9" s="1"/>
  <c r="F5" i="52" s="1"/>
  <c r="B42" i="60" s="1"/>
  <c r="D121" i="9"/>
  <c r="D4" i="52" s="1"/>
  <c r="B37" i="60" s="1"/>
  <c r="H121" i="9"/>
  <c r="H4" i="52" l="1"/>
  <c r="D14" i="62"/>
  <c r="I102" i="9"/>
  <c r="D28" i="50" s="1"/>
  <c r="D29" i="50" s="1"/>
  <c r="I121" i="9"/>
  <c r="C104" i="9" s="1"/>
  <c r="D122" i="9"/>
  <c r="D5" i="52" s="1"/>
  <c r="B39" i="60" s="1"/>
  <c r="E121" i="9"/>
  <c r="E4" i="52" s="1"/>
  <c r="B38" i="60" s="1"/>
  <c r="D106" i="9"/>
  <c r="I103" i="9"/>
  <c r="D7" i="50"/>
  <c r="C103" i="9"/>
  <c r="I112" i="9"/>
  <c r="G121" i="9"/>
  <c r="G4" i="52" s="1"/>
  <c r="B41" i="60" s="1"/>
  <c r="F4" i="52"/>
  <c r="B40" i="60" s="1"/>
  <c r="H122" i="9"/>
  <c r="H5" i="52" s="1"/>
  <c r="E14" i="62" l="1"/>
  <c r="F14" i="62"/>
  <c r="B5" i="62"/>
  <c r="D45" i="9"/>
  <c r="D59" i="9" s="1"/>
  <c r="M55" i="9" s="1"/>
  <c r="M48" i="9"/>
  <c r="I4" i="52"/>
  <c r="D107" i="9"/>
  <c r="D127" i="9"/>
  <c r="D18" i="50"/>
  <c r="M49" i="9"/>
  <c r="D39" i="50"/>
  <c r="D40" i="50" s="1"/>
  <c r="D30" i="50"/>
  <c r="D9" i="50"/>
  <c r="B21" i="60" s="1"/>
  <c r="C78" i="9"/>
  <c r="C73" i="9" s="1"/>
  <c r="B19" i="60"/>
  <c r="D8" i="50"/>
  <c r="B22" i="60" s="1"/>
  <c r="D114" i="9"/>
  <c r="D113" i="9"/>
  <c r="D53" i="9" l="1"/>
  <c r="D48" i="9" s="1"/>
  <c r="M52" i="9" s="1"/>
  <c r="D115" i="9"/>
  <c r="D41" i="50" s="1"/>
  <c r="B63" i="60" s="1"/>
  <c r="D52" i="9"/>
  <c r="D10" i="52"/>
  <c r="H14" i="62"/>
  <c r="B7" i="62" s="1"/>
  <c r="D5" i="62"/>
  <c r="C5" i="62"/>
  <c r="C93" i="9"/>
  <c r="C86" i="9" s="1"/>
  <c r="C72" i="9"/>
  <c r="C79" i="9" s="1"/>
  <c r="C64" i="9"/>
  <c r="C63" i="9" s="1"/>
  <c r="C67" i="9" s="1"/>
  <c r="C68" i="9" s="1"/>
  <c r="D54" i="9" s="1"/>
  <c r="D55" i="9"/>
  <c r="M53" i="9" s="1"/>
  <c r="C85" i="9"/>
  <c r="D38" i="50"/>
  <c r="B62" i="60" s="1"/>
  <c r="I111" i="9"/>
  <c r="D117" i="9"/>
  <c r="I113" i="9"/>
  <c r="B31" i="60"/>
  <c r="D19" i="50"/>
  <c r="B32" i="60" s="1"/>
  <c r="C80" i="9"/>
  <c r="E80" i="9" s="1"/>
  <c r="E81" i="9" s="1"/>
  <c r="L66" i="9"/>
  <c r="M66" i="9" s="1"/>
  <c r="L67" i="9"/>
  <c r="M67" i="9" s="1"/>
  <c r="L65" i="9"/>
  <c r="M65" i="9" s="1"/>
  <c r="L64" i="9"/>
  <c r="M64" i="9" s="1"/>
  <c r="L68" i="9"/>
  <c r="M68" i="9" s="1"/>
  <c r="L63" i="9"/>
  <c r="M63" i="9" s="1"/>
  <c r="C95" i="9" l="1"/>
  <c r="C96" i="9" s="1"/>
  <c r="E96" i="9" s="1"/>
  <c r="E97" i="9" s="1"/>
  <c r="C7" i="62"/>
  <c r="D7" i="62"/>
  <c r="C81" i="9"/>
  <c r="M69" i="9"/>
  <c r="N69" i="9" s="1"/>
  <c r="D20" i="50"/>
  <c r="D128" i="9"/>
  <c r="D11" i="52" s="1"/>
  <c r="D17" i="50"/>
  <c r="D126" i="9"/>
  <c r="D9" i="52" s="1"/>
  <c r="D44" i="50"/>
  <c r="I115" i="9"/>
  <c r="D23" i="50" s="1"/>
  <c r="B34" i="60"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<sst xmlns="http://schemas.openxmlformats.org/spreadsheetml/2006/main" count="6852" uniqueCount="2970">
  <si>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</si>
  <si>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</si>
  <si>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</si>
  <si>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</si>
  <si>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</si>
  <si>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</si>
  <si>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</si>
  <si>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</si>
  <si>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</si>
  <si>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</si>
  <si>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</si>
  <si>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</si>
  <si>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</si>
  <si>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</si>
  <si>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</si>
  <si>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</si>
  <si>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</si>
  <si>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</si>
  <si>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</si>
  <si>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</si>
  <si>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</si>
  <si>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</si>
  <si>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</si>
  <si>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</si>
  <si>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</si>
  <si>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</si>
  <si>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</si>
  <si>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</si>
  <si>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</si>
  <si>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</si>
  <si>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</si>
  <si>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</si>
  <si>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</si>
  <si>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</si>
  <si>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</si>
  <si>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</si>
  <si>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</si>
  <si>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</si>
  <si>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</si>
  <si>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</si>
  <si>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</si>
  <si>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</si>
  <si>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</si>
  <si>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</si>
  <si>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</si>
  <si>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</si>
  <si>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</si>
  <si>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</si>
  <si>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</si>
  <si>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</si>
  <si>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</si>
  <si>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</si>
  <si>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</si>
  <si>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</si>
  <si>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</si>
  <si>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</si>
  <si>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</si>
  <si>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</si>
  <si>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</si>
  <si>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</si>
  <si>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</si>
  <si>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</si>
  <si>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</si>
  <si>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</si>
  <si>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</si>
  <si>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</si>
  <si>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</si>
  <si>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</si>
  <si>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</si>
  <si>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</si>
  <si>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</si>
  <si>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</si>
  <si>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</si>
  <si>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</si>
  <si>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</si>
  <si>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</si>
  <si>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</si>
  <si>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</si>
  <si>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</si>
  <si>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</si>
  <si>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</si>
  <si>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</si>
  <si>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</si>
  <si>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</si>
  <si>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</si>
  <si>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</si>
  <si>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</si>
  <si>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</si>
  <si>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</si>
  <si>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</si>
  <si>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</si>
  <si>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</si>
  <si>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</si>
  <si>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</si>
  <si>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</si>
  <si>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</si>
  <si>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</si>
  <si>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</si>
  <si>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</si>
  <si>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</si>
  <si>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</si>
  <si>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</si>
  <si>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</si>
  <si>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</si>
  <si>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</si>
  <si>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</si>
  <si>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</si>
  <si>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</si>
  <si>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</si>
  <si>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</si>
  <si>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</si>
  <si>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</si>
  <si>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</si>
  <si>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</si>
  <si>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</si>
  <si>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</si>
  <si>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</si>
  <si>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</si>
  <si>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</si>
  <si>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</si>
  <si>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</si>
  <si>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</si>
  <si>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</si>
  <si>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</si>
  <si>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</si>
  <si>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</si>
  <si>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</si>
  <si>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</si>
  <si>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</si>
  <si>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</si>
  <si>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</si>
  <si>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</si>
  <si>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</si>
  <si>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</si>
  <si>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</si>
  <si>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</si>
  <si>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</si>
  <si>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</si>
  <si>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</si>
  <si>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</si>
  <si>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</si>
  <si>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</si>
  <si>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</si>
  <si>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</si>
  <si>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</si>
  <si>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</si>
  <si>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</si>
  <si>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</si>
  <si>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</si>
  <si>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</si>
  <si>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</si>
  <si>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</si>
  <si>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</si>
  <si>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</si>
  <si>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</si>
  <si>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</si>
  <si>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</si>
  <si>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</si>
  <si>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</si>
  <si>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</si>
  <si>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</si>
  <si>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</si>
  <si>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</si>
  <si>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</si>
  <si>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</si>
  <si>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</si>
  <si>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</si>
  <si>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</si>
  <si>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</si>
  <si>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</si>
  <si>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</si>
  <si>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</si>
  <si>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</si>
  <si>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</si>
  <si>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</si>
  <si>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</si>
  <si>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</si>
  <si>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</si>
  <si>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</si>
  <si>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</si>
  <si>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</si>
  <si>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</si>
  <si>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</si>
  <si>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</si>
  <si>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</si>
  <si>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</si>
  <si>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</si>
  <si>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</si>
  <si>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</si>
  <si>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</si>
  <si>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</si>
  <si>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</si>
  <si>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</si>
  <si>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</si>
  <si>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</si>
  <si>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</si>
  <si>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</si>
  <si>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</si>
  <si>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</si>
  <si>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</si>
  <si>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</si>
  <si>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</si>
  <si>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</si>
  <si>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</si>
  <si>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</si>
  <si>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</si>
  <si>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</si>
  <si>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</si>
  <si>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</si>
  <si>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</si>
  <si>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</si>
  <si>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</si>
  <si>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</si>
  <si>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</si>
  <si>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</si>
  <si>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</si>
  <si>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</si>
  <si>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</si>
  <si>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</si>
  <si>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</si>
  <si>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</si>
  <si>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</si>
  <si>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</si>
  <si>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</si>
  <si>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</si>
  <si>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</si>
  <si>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</si>
  <si>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</si>
  <si>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</si>
  <si>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</si>
  <si>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</si>
  <si>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</si>
  <si>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</si>
  <si>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</si>
  <si>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</si>
  <si>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</si>
  <si>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</si>
  <si>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</si>
  <si>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</si>
  <si>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</si>
  <si>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</si>
  <si>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</si>
  <si>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</si>
  <si>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</si>
  <si>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</si>
  <si>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</si>
  <si>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</si>
  <si>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</si>
  <si>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</si>
  <si>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</si>
  <si>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</si>
  <si>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</si>
  <si>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</si>
  <si>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</si>
  <si>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</si>
  <si>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</si>
  <si>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</si>
  <si>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</si>
  <si>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</si>
  <si>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</si>
  <si>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</si>
  <si>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</si>
  <si>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</si>
  <si>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</si>
  <si>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</si>
  <si>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</si>
  <si>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</si>
  <si>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</si>
  <si>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</si>
  <si>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</si>
  <si>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</si>
  <si>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</si>
  <si>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</si>
  <si>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</si>
  <si>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</si>
  <si>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</si>
  <si>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</si>
  <si>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</si>
  <si>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</si>
  <si>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</si>
  <si>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</si>
  <si>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</si>
  <si>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</si>
  <si>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</si>
  <si>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</si>
  <si>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</si>
  <si>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</si>
  <si>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</si>
  <si>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</si>
  <si>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</si>
  <si>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</si>
  <si>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</si>
  <si>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</si>
  <si>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</si>
  <si>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</si>
  <si>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</si>
  <si>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</si>
  <si>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</si>
  <si>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</si>
  <si>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</si>
  <si>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</si>
  <si>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</si>
  <si>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</si>
  <si>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</si>
  <si>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</si>
  <si>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</si>
  <si>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</si>
  <si>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</si>
  <si>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</si>
  <si>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</si>
  <si>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</si>
  <si>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</si>
  <si>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</si>
  <si>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</si>
  <si>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</si>
  <si>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</si>
  <si>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</si>
  <si>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</si>
  <si>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</si>
  <si>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</si>
  <si>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</si>
  <si>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</si>
  <si>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</si>
  <si>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</si>
  <si>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</si>
  <si>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</si>
  <si>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</si>
  <si>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</si>
  <si>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</si>
  <si>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</si>
  <si>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</si>
  <si>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</si>
  <si>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</si>
  <si>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</si>
  <si>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</si>
  <si>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</si>
  <si>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</si>
  <si>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</si>
  <si>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</si>
  <si>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</si>
  <si>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</si>
  <si>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</si>
  <si>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</si>
  <si>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</si>
  <si>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</si>
  <si>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</si>
  <si>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</si>
  <si>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</si>
  <si>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</si>
  <si>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</si>
  <si>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</si>
  <si>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</si>
  <si>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</si>
  <si>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</si>
  <si>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</si>
  <si>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</si>
  <si>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</si>
  <si>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</si>
  <si>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</si>
  <si>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</si>
  <si>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</si>
  <si>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</si>
  <si>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</si>
  <si>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</si>
  <si>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</si>
  <si>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</si>
  <si>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</si>
  <si>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</si>
  <si>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</si>
  <si>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</si>
  <si>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</si>
  <si>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</si>
  <si>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</si>
  <si>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</si>
  <si>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</si>
  <si>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</si>
  <si>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</si>
  <si>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</si>
  <si>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</si>
  <si>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</si>
  <si>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</si>
  <si>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</si>
  <si>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</si>
  <si>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</si>
  <si>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</si>
  <si>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</si>
  <si>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</si>
  <si>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</si>
  <si>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</si>
  <si>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</si>
  <si>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</si>
  <si>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</si>
  <si>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</si>
  <si>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</si>
  <si>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</si>
  <si>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</si>
  <si>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</si>
  <si>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</si>
  <si>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</si>
  <si>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</si>
  <si>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</si>
  <si>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</si>
  <si>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</si>
  <si>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</si>
  <si>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</si>
  <si>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</si>
  <si>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</si>
  <si>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</si>
  <si>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</si>
  <si>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</si>
  <si>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</si>
  <si>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</si>
  <si>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</si>
  <si>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</si>
  <si>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</si>
  <si>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</si>
  <si>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</si>
  <si>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</si>
  <si>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</si>
  <si>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</si>
  <si>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</si>
  <si>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</si>
  <si>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</si>
  <si>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</si>
  <si>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</si>
  <si>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</si>
  <si>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</si>
  <si>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</si>
  <si>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</si>
  <si>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</si>
  <si>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</si>
  <si>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</si>
  <si>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</si>
  <si>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</si>
  <si>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</si>
  <si>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</si>
  <si>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</si>
  <si>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</si>
  <si>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</si>
  <si>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</si>
  <si>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</si>
  <si>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</si>
  <si>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</si>
  <si>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</si>
  <si>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</si>
  <si>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</si>
  <si>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</si>
  <si>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</si>
  <si>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</si>
  <si>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</si>
  <si>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</si>
  <si>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</si>
  <si>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</si>
  <si>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</si>
  <si>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</si>
  <si>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</si>
  <si>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</si>
  <si>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</si>
  <si>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</si>
  <si>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</si>
  <si>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</si>
  <si>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</si>
  <si>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</si>
  <si>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</si>
  <si>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</si>
  <si>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</si>
  <si>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</si>
  <si>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</si>
  <si>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</si>
  <si>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</si>
  <si>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</si>
  <si>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</si>
  <si>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</si>
  <si>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</si>
  <si>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</si>
  <si>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</si>
  <si>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</si>
  <si>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</si>
  <si>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</si>
  <si>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</si>
  <si>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</si>
  <si>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</si>
  <si>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</si>
  <si>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</si>
  <si>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</si>
  <si>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</si>
  <si>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</si>
  <si>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</si>
  <si>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</si>
  <si>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</si>
  <si>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</si>
  <si>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</si>
  <si>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</si>
  <si>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</si>
  <si>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</si>
  <si>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</si>
  <si>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</si>
  <si>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</si>
  <si>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</si>
  <si>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</si>
  <si>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</si>
  <si>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</si>
  <si>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</si>
  <si>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</si>
  <si>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</si>
  <si>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</si>
  <si>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</si>
  <si>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</si>
  <si>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</si>
  <si>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</si>
  <si>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</si>
  <si>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</si>
  <si>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</si>
  <si>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</si>
  <si>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</si>
  <si>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</si>
  <si>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</si>
  <si>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</si>
  <si>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</si>
  <si>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</si>
  <si>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</si>
  <si>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</si>
  <si>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</si>
  <si>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</si>
  <si>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</si>
  <si>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</si>
  <si>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</si>
  <si>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</si>
  <si>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</si>
  <si>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</si>
  <si>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</si>
  <si>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</si>
  <si>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</si>
  <si>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</si>
  <si>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</si>
  <si>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</si>
  <si>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</si>
  <si>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</si>
  <si>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</si>
  <si>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</si>
  <si>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</si>
  <si>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</si>
  <si>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</si>
  <si>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</si>
  <si>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</si>
  <si>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</si>
  <si>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</si>
  <si>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</si>
  <si>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</si>
  <si>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</si>
  <si>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</si>
  <si>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</si>
  <si>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</si>
  <si>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</si>
  <si>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</si>
  <si>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</si>
  <si>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</si>
  <si>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</si>
  <si>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</si>
  <si>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</si>
  <si>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</si>
  <si>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</si>
  <si>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</si>
  <si>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</si>
  <si>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</si>
  <si>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</si>
  <si>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</si>
  <si>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</si>
  <si>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</si>
  <si>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</si>
  <si>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</si>
  <si>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</si>
  <si>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</si>
  <si>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</si>
  <si>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</si>
  <si>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</si>
  <si>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</si>
  <si>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</si>
  <si>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</si>
  <si>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</si>
  <si>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</si>
  <si>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</si>
  <si>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</si>
  <si>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</si>
  <si>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</si>
  <si>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</si>
  <si>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</si>
  <si>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</si>
  <si>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</si>
  <si>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</si>
  <si>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</si>
  <si>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</si>
  <si>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</si>
  <si>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</si>
  <si>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</si>
  <si>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</si>
  <si>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</si>
  <si>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</si>
  <si>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</si>
  <si>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</si>
  <si>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</si>
  <si>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</si>
  <si>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</si>
  <si>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</si>
  <si>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</si>
  <si>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</si>
  <si>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</si>
  <si>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</si>
  <si>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</si>
  <si>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</si>
  <si>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</si>
  <si>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</si>
  <si>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</si>
  <si>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</si>
  <si>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</si>
  <si>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</si>
  <si>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</si>
  <si>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</si>
  <si>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</si>
  <si>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</si>
  <si>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</si>
  <si>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</si>
  <si>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</si>
  <si>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</si>
  <si>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</si>
  <si>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</si>
  <si>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</si>
  <si>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</si>
  <si>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</si>
  <si>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</si>
  <si>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</si>
  <si>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</si>
  <si>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</si>
  <si>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</si>
  <si>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</si>
  <si>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</si>
  <si>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</si>
  <si>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</si>
  <si>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</si>
  <si>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</si>
  <si>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</si>
  <si>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</si>
  <si>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</si>
  <si>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</si>
  <si>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</si>
  <si>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</si>
  <si>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</si>
  <si>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</si>
  <si>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</si>
  <si>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</si>
  <si>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</si>
  <si>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1" type="noConversion"/>
  </si>
  <si>
    <t>环境状况</t>
    <phoneticPr fontId="41" type="noConversion"/>
  </si>
  <si>
    <t>区域自然环境：；人文环境；综合评价环境状况一般</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</si>
  <si>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</si>
  <si>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</si>
  <si>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</si>
  <si>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</si>
  <si>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</si>
  <si>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</si>
  <si>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</si>
  <si>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</si>
  <si>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</si>
  <si>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</si>
  <si>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</si>
  <si>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</si>
  <si>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</si>
  <si>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</si>
  <si>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</si>
  <si>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</si>
  <si>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</si>
  <si>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</si>
  <si>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</si>
  <si>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</si>
  <si>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</si>
  <si>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</si>
  <si>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</si>
  <si>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</si>
  <si>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</si>
  <si>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</si>
  <si>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</si>
  <si>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</si>
  <si>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</si>
  <si>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</si>
  <si>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</si>
  <si>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</si>
  <si>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</si>
  <si>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</si>
  <si>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</si>
  <si>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</si>
  <si>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</si>
  <si>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</si>
  <si>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</si>
  <si>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</si>
  <si>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</si>
  <si>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</si>
  <si>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</si>
  <si>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</si>
  <si>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</si>
  <si>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</si>
  <si>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</si>
  <si>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</si>
  <si>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</si>
  <si>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</si>
  <si>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</si>
  <si>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</si>
  <si>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</si>
  <si>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</si>
  <si>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</si>
  <si>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</si>
  <si>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</si>
  <si>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</si>
  <si>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</si>
  <si>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</si>
  <si>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</si>
  <si>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</si>
  <si>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</si>
  <si>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</si>
  <si>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</si>
  <si>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</si>
  <si>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</si>
  <si>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</si>
  <si>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</si>
  <si>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</si>
  <si>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</si>
  <si>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</si>
  <si>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</si>
  <si>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</si>
  <si>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</si>
  <si>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</si>
  <si>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</si>
  <si>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</si>
  <si>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</si>
  <si>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</si>
  <si>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</si>
  <si>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</si>
  <si>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</si>
  <si>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</si>
  <si>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</si>
  <si>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</si>
  <si>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</si>
  <si>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</si>
  <si>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</si>
  <si>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</si>
  <si>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</si>
  <si>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</si>
  <si>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</si>
  <si>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</si>
  <si>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</si>
  <si>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</si>
  <si>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</si>
  <si>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</si>
  <si>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</si>
  <si>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</si>
  <si>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</si>
  <si>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</si>
  <si>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</si>
  <si>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</si>
  <si>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</si>
  <si>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</si>
  <si>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</si>
  <si>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</si>
  <si>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</si>
  <si>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</si>
  <si>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</si>
  <si>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</si>
  <si>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</si>
  <si>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</si>
  <si>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</si>
  <si>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</si>
  <si>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</si>
  <si>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</si>
  <si>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</si>
  <si>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</si>
  <si>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</si>
  <si>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</si>
  <si>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</si>
  <si>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</si>
  <si>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</si>
  <si>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</si>
  <si>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</si>
  <si>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</si>
  <si>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</si>
  <si>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</si>
  <si>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</si>
  <si>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</si>
  <si>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</si>
  <si>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</si>
  <si>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</si>
  <si>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</si>
  <si>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</si>
  <si>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</si>
  <si>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</si>
  <si>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</si>
  <si>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</si>
  <si>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</si>
  <si>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</si>
  <si>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</si>
  <si>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</si>
  <si>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</si>
  <si>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</si>
  <si>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</si>
  <si>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</si>
  <si>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</si>
  <si>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</si>
  <si>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</si>
  <si>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</si>
  <si>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</si>
  <si>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</si>
  <si>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</si>
  <si>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</si>
  <si>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</si>
  <si>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</si>
  <si>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</si>
  <si>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</si>
  <si>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</si>
  <si>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</si>
  <si>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</si>
  <si>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</si>
  <si>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</si>
  <si>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</si>
  <si>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</si>
  <si>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</si>
  <si>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</si>
  <si>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</si>
  <si>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</si>
  <si>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</si>
  <si>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</si>
  <si>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</si>
  <si>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</si>
  <si>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</si>
  <si>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</si>
  <si>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</si>
  <si>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</si>
  <si>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</si>
  <si>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</si>
  <si>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</si>
  <si>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</si>
  <si>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</si>
  <si>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</si>
  <si>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</si>
  <si>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</si>
  <si>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</si>
  <si>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</si>
  <si>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</si>
  <si>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</si>
  <si>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</si>
  <si>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</si>
  <si>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</si>
  <si>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</si>
  <si>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</si>
  <si>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</si>
  <si>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</si>
  <si>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</si>
  <si>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</si>
  <si>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</si>
  <si>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</si>
  <si>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</si>
  <si>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</si>
  <si>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</si>
  <si>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</si>
  <si>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</si>
  <si>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</si>
  <si>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</si>
  <si>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</si>
  <si>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</si>
  <si>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</si>
  <si>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</si>
  <si>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</si>
  <si>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</si>
  <si>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</si>
  <si>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</si>
  <si>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</si>
  <si>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</si>
  <si>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</si>
  <si>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</si>
  <si>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</si>
  <si>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</si>
  <si>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</si>
  <si>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</si>
  <si>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</si>
  <si>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</si>
  <si>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</si>
  <si>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</si>
  <si>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</si>
  <si>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</si>
  <si>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</si>
  <si>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</si>
  <si>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</si>
  <si>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</si>
  <si>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</si>
  <si>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</si>
  <si>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</si>
  <si>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</si>
  <si>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</si>
  <si>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</si>
  <si>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</si>
  <si>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</si>
  <si>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</si>
  <si>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</si>
  <si>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</si>
  <si>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</si>
  <si>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</si>
  <si>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</si>
  <si>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</si>
  <si>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</si>
  <si>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</si>
  <si>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</si>
  <si>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</si>
  <si>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</si>
  <si>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</si>
  <si>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</si>
  <si>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</si>
  <si>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</si>
  <si>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</si>
  <si>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</si>
  <si>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</si>
  <si>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</si>
  <si>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</si>
  <si>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</si>
  <si>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</si>
  <si>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</si>
  <si>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</si>
  <si>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</si>
  <si>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</si>
  <si>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</si>
  <si>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</si>
  <si>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</si>
  <si>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</si>
  <si>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</si>
  <si>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</si>
  <si>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</si>
  <si>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</si>
  <si>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</si>
  <si>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</si>
  <si>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</si>
  <si>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</si>
  <si>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</si>
  <si>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</si>
  <si>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</si>
  <si>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</si>
  <si>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</si>
  <si>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</si>
  <si>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</si>
  <si>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</si>
  <si>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</si>
  <si>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</si>
  <si>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</si>
  <si>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</si>
  <si>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</si>
  <si>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</si>
  <si>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</si>
  <si>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</si>
  <si>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</si>
  <si>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</si>
  <si>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</si>
  <si>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</si>
  <si>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</si>
  <si>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</si>
  <si>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</si>
  <si>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</si>
  <si>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</si>
  <si>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</si>
  <si>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</si>
  <si>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</si>
  <si>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</si>
  <si>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</si>
  <si>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</si>
  <si>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</si>
  <si>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</si>
  <si>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</si>
  <si>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</si>
  <si>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</si>
  <si>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</si>
  <si>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</si>
  <si>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</si>
  <si>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</si>
  <si>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</si>
  <si>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</si>
  <si>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</si>
  <si>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</si>
  <si>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</si>
  <si>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</si>
  <si>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</si>
  <si>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</si>
  <si>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</si>
  <si>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</si>
  <si>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</si>
  <si>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</si>
  <si>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</si>
  <si>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</si>
  <si>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</si>
  <si>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</si>
  <si>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</si>
  <si>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</si>
  <si>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</si>
  <si>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</si>
  <si>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</si>
  <si>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</si>
  <si>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</si>
  <si>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</si>
  <si>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</si>
  <si>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</si>
  <si>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</si>
  <si>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</si>
  <si>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</si>
  <si>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</si>
  <si>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</si>
  <si>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</si>
  <si>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</si>
  <si>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</si>
  <si>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</si>
  <si>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</si>
  <si>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</si>
  <si>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</si>
  <si>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</si>
  <si>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</si>
  <si>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</si>
  <si>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</si>
  <si>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</si>
  <si>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</si>
  <si>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</si>
  <si>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</si>
  <si>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</si>
  <si>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</si>
  <si>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</si>
  <si>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</si>
  <si>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</si>
  <si>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</si>
  <si>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</si>
  <si>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</si>
  <si>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</si>
  <si>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</si>
  <si>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</si>
  <si>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</si>
  <si>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</si>
  <si>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</si>
  <si>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</si>
  <si>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</si>
  <si>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</si>
  <si>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</si>
  <si>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</si>
  <si>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</si>
  <si>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</si>
  <si>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</si>
  <si>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</si>
  <si>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</si>
  <si>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</si>
  <si>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</si>
  <si>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</si>
  <si>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</si>
  <si>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</si>
  <si>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</si>
  <si>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</si>
  <si>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</si>
  <si>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</si>
  <si>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</si>
  <si>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</si>
  <si>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</si>
  <si>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</si>
  <si>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</si>
  <si>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</si>
  <si>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</si>
  <si>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</si>
  <si>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</si>
  <si>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</si>
  <si>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</si>
  <si>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</si>
  <si>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</si>
  <si>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</si>
  <si>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</si>
  <si>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</si>
  <si>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</si>
  <si>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</si>
  <si>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</si>
  <si>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</si>
  <si>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</si>
  <si>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</si>
  <si>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</si>
  <si>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</si>
  <si>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</si>
  <si>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</si>
  <si>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</si>
  <si>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</si>
  <si>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</si>
  <si>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</si>
  <si>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</si>
  <si>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</si>
  <si>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</si>
  <si>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</si>
  <si>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</si>
  <si>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</si>
  <si>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</si>
  <si>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</si>
  <si>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</si>
  <si>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</si>
  <si>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</si>
  <si>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</si>
  <si>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</si>
  <si>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</si>
  <si>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</si>
  <si>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</si>
  <si>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</si>
  <si>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</si>
  <si>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</si>
  <si>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</si>
  <si>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</si>
  <si>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</si>
  <si>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</si>
  <si>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</si>
  <si>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</si>
  <si>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</si>
  <si>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</si>
  <si>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</si>
  <si>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</si>
  <si>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</si>
  <si>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</si>
  <si>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</si>
  <si>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</si>
  <si>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</si>
  <si>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</si>
  <si>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</si>
  <si>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</si>
  <si>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</si>
  <si>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</si>
  <si>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</si>
  <si>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</si>
  <si>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</si>
  <si>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</si>
  <si>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</si>
  <si>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</si>
  <si>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</si>
  <si>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</si>
  <si>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</si>
  <si>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</si>
  <si>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</si>
  <si>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</si>
  <si>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</si>
  <si>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</si>
  <si>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</si>
  <si>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</si>
  <si>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</si>
  <si>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</si>
  <si>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</si>
  <si>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</si>
  <si>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</si>
  <si>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</si>
  <si>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</si>
  <si>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</si>
  <si>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</si>
  <si>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</si>
  <si>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</si>
  <si>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</si>
  <si>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</si>
  <si>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</si>
  <si>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</si>
  <si>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</si>
  <si>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</si>
  <si>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</si>
  <si>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</si>
  <si>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</si>
  <si>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</si>
  <si>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</si>
  <si>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</si>
  <si>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</si>
  <si>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</si>
  <si>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</si>
  <si>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</si>
  <si>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</si>
  <si>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</si>
  <si>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</si>
  <si>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</si>
  <si>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</si>
  <si>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</si>
  <si>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</si>
  <si>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</si>
  <si>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</si>
  <si>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</si>
  <si>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</si>
  <si>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</si>
  <si>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</si>
  <si>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</si>
  <si>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</si>
  <si>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</si>
  <si>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</si>
  <si>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</si>
  <si>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</si>
  <si>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</si>
  <si>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</si>
  <si>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</si>
  <si>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</si>
  <si>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</si>
  <si>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</si>
  <si>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</si>
  <si>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</si>
  <si>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</si>
  <si>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</si>
  <si>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</si>
  <si>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</si>
  <si>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</si>
  <si>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</si>
  <si>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</si>
  <si>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</si>
  <si>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</si>
  <si>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</si>
  <si>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</si>
  <si>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</si>
  <si>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</si>
  <si>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</si>
  <si>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</si>
  <si>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</si>
  <si>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</si>
  <si>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</si>
  <si>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</si>
  <si>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</si>
  <si>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</si>
  <si>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</si>
  <si>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</si>
  <si>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</si>
  <si>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</si>
  <si>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</si>
  <si>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</si>
  <si>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</si>
  <si>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</si>
  <si>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</si>
  <si>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</si>
  <si>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</si>
  <si>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</si>
  <si>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</si>
  <si>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</si>
  <si>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</si>
  <si>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</si>
  <si>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</si>
  <si>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</si>
  <si>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</si>
  <si>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</si>
  <si>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</si>
  <si>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</si>
  <si>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</si>
  <si>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</si>
  <si>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</si>
  <si>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</si>
  <si>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</si>
  <si>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</si>
  <si>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</si>
  <si>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</si>
  <si>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</si>
  <si>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</si>
  <si>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</si>
  <si>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</si>
  <si>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</si>
  <si>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</si>
  <si>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</si>
  <si>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</si>
  <si>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</si>
  <si>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</si>
  <si>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</si>
  <si>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</si>
  <si>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</si>
  <si>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</si>
  <si>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</si>
  <si>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</si>
  <si>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</si>
  <si>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</si>
  <si>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</si>
  <si>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</si>
  <si>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</si>
  <si>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</si>
  <si>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</si>
  <si>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</si>
  <si>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</si>
  <si>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</si>
  <si>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</si>
  <si>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</si>
  <si>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</si>
  <si>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</si>
  <si>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</si>
  <si>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</si>
  <si>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</si>
  <si>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</si>
  <si>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</si>
  <si>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</si>
  <si>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</si>
  <si>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</si>
  <si>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</si>
  <si>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</si>
  <si>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</si>
  <si>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</si>
  <si>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</si>
  <si>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</si>
  <si>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</si>
  <si>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</si>
  <si>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</si>
  <si>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</si>
  <si>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</si>
  <si>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</si>
  <si>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</si>
  <si>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</si>
  <si>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</si>
  <si>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</si>
  <si>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</si>
  <si>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</si>
  <si>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</si>
  <si>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</si>
  <si>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</si>
  <si>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</si>
  <si>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</si>
  <si>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</si>
  <si>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</si>
  <si>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</si>
  <si>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</si>
  <si>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</si>
  <si>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</si>
  <si>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</si>
  <si>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</si>
  <si>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</si>
  <si>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</si>
  <si>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</si>
  <si>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</si>
  <si>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</si>
  <si>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</si>
  <si>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</si>
  <si>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</si>
  <si>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</si>
  <si>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</si>
  <si>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</si>
  <si>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</si>
  <si>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</si>
  <si>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</si>
  <si>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</si>
  <si>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</si>
  <si>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</si>
  <si>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</si>
  <si>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</si>
  <si>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</si>
  <si>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</si>
  <si>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</si>
  <si>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</si>
  <si>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</si>
  <si>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</si>
  <si>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</si>
  <si>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</si>
  <si>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</si>
  <si>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</si>
  <si>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</si>
  <si>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</si>
  <si>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</si>
  <si>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</si>
  <si>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</si>
  <si>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</si>
  <si>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</si>
  <si>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</si>
  <si>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</si>
  <si>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</si>
  <si>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</si>
  <si>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</si>
  <si>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</si>
  <si>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</si>
  <si>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</si>
  <si>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</si>
  <si>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</si>
  <si>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</si>
  <si>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</si>
  <si>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</si>
  <si>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</si>
  <si>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</si>
  <si>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</si>
  <si>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</si>
  <si>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</si>
  <si>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</si>
  <si>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</si>
  <si>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</si>
  <si>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</si>
  <si>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</si>
  <si>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</si>
  <si>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</si>
  <si>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</si>
  <si>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</si>
  <si>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</si>
  <si>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</si>
  <si>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</si>
  <si>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</si>
  <si>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</si>
  <si>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</si>
  <si>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</si>
  <si>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</si>
  <si>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</si>
  <si>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</si>
  <si>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</si>
  <si>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</si>
  <si>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</si>
  <si>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</si>
  <si>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</si>
  <si>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</si>
  <si>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</si>
  <si>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</si>
  <si>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</si>
  <si>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</si>
  <si>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</si>
  <si>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</si>
  <si>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</si>
  <si>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</si>
  <si>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</si>
  <si>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</si>
  <si>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</si>
  <si>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</si>
  <si>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</si>
  <si>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</si>
  <si>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</si>
  <si>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</si>
  <si>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</si>
  <si>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</si>
  <si>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</si>
  <si>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</si>
  <si>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</si>
  <si>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</si>
  <si>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</si>
  <si>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</si>
  <si>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</si>
  <si>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</si>
  <si>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</si>
  <si>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</si>
  <si>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</si>
  <si>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</si>
  <si>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</si>
  <si>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</si>
  <si>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</si>
  <si>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</si>
  <si>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</si>
  <si>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</si>
  <si>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</si>
  <si>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</si>
  <si>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</si>
  <si>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</si>
  <si>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</si>
  <si>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</si>
  <si>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</si>
  <si>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</si>
  <si>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</si>
  <si>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</si>
  <si>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</si>
  <si>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</si>
  <si>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</si>
  <si>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</si>
  <si>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</si>
  <si>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</si>
  <si>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</si>
  <si>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</si>
  <si>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</si>
  <si>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</si>
  <si>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</si>
  <si>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</si>
  <si>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</si>
  <si>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</si>
  <si>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</si>
  <si>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</si>
  <si>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</si>
  <si>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</si>
  <si>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</si>
  <si>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</si>
  <si>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</si>
  <si>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</si>
  <si>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</si>
  <si>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</si>
  <si>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</si>
  <si>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</si>
  <si>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</si>
  <si>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</si>
  <si>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</si>
  <si>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</si>
  <si>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</si>
  <si>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</si>
  <si>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</si>
  <si>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</si>
  <si>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</si>
  <si>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</si>
  <si>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</si>
  <si>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</si>
  <si>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</si>
  <si>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</si>
  <si>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</si>
  <si>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</si>
  <si>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</si>
  <si>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</si>
  <si>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</si>
  <si>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</si>
  <si>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</si>
  <si>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</si>
  <si>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</si>
  <si>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</si>
  <si>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</si>
  <si>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</si>
  <si>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</si>
  <si>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</si>
  <si>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</si>
  <si>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</si>
  <si>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</si>
  <si>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</si>
  <si>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</si>
  <si>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</si>
  <si>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</si>
  <si>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</si>
  <si>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</si>
  <si>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</si>
  <si>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</si>
  <si>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</si>
  <si>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</si>
  <si>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</si>
  <si>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</si>
  <si>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</si>
  <si>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</si>
  <si>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</si>
  <si>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</si>
  <si>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</si>
  <si>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</si>
  <si>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</si>
  <si>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</si>
  <si>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</si>
  <si>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</si>
  <si>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</si>
  <si>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</si>
  <si>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</si>
  <si>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</si>
  <si>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</si>
  <si>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</si>
  <si>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</si>
  <si>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</si>
  <si>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</si>
  <si>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</si>
  <si>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</si>
  <si>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</si>
  <si>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</si>
  <si>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</si>
  <si>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</si>
  <si>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</si>
  <si>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</si>
  <si>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</si>
  <si>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</si>
  <si>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</si>
  <si>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</si>
  <si>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</si>
  <si>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</si>
  <si>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</si>
  <si>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</si>
  <si>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</si>
  <si>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</si>
  <si>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</si>
  <si>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</si>
  <si>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</si>
  <si>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</si>
  <si>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</si>
  <si>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</si>
  <si>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</si>
  <si>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</si>
  <si>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</si>
  <si>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</si>
  <si>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</si>
  <si>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</si>
  <si>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</si>
  <si>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</si>
  <si>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</si>
  <si>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</si>
  <si>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</si>
  <si>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</si>
  <si>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</si>
  <si>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</si>
  <si>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</si>
  <si>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</si>
  <si>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</si>
  <si>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</si>
  <si>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</si>
  <si>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</si>
  <si>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</si>
  <si>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</si>
  <si>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</si>
  <si>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</si>
  <si>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</si>
  <si>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</si>
  <si>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</si>
  <si>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</si>
  <si>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</si>
  <si>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</si>
  <si>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</si>
  <si>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</si>
  <si>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</si>
  <si>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</si>
  <si>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</si>
  <si>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</si>
  <si>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</si>
  <si>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</si>
  <si>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</si>
  <si>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</si>
  <si>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</si>
  <si>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</si>
  <si>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</si>
  <si>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</si>
  <si>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</si>
  <si>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</si>
  <si>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</si>
  <si>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</si>
  <si>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</si>
  <si>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</si>
  <si>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</si>
  <si>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</si>
  <si>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</si>
  <si>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</si>
  <si>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</si>
  <si>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</si>
  <si>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</si>
  <si>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</si>
  <si>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</si>
  <si>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</si>
  <si>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</si>
  <si>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</si>
  <si>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</si>
  <si>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</si>
  <si>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</si>
  <si>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</si>
  <si>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</si>
  <si>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</si>
  <si>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</si>
  <si>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</si>
  <si>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</si>
  <si>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</si>
  <si>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</si>
  <si>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</si>
  <si>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</si>
  <si>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</si>
  <si>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</si>
  <si>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</si>
  <si>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</si>
  <si>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</si>
  <si>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</si>
  <si>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</si>
  <si>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</si>
  <si>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</si>
  <si>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</si>
  <si>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</si>
  <si>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</si>
  <si>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</si>
  <si>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</si>
  <si>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</si>
  <si>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</si>
  <si>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</si>
  <si>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</si>
  <si>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</si>
  <si>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</si>
  <si>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</si>
  <si>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</si>
  <si>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</si>
  <si>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</si>
  <si>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</si>
  <si>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</si>
  <si>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</si>
  <si>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</si>
  <si>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</si>
  <si>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</si>
  <si>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</si>
  <si>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</si>
  <si>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</si>
  <si>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</si>
  <si>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</si>
  <si>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</si>
  <si>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</si>
  <si>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</si>
  <si>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</si>
  <si>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</si>
  <si>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</si>
  <si>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</si>
  <si>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</si>
  <si>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</si>
  <si>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</si>
  <si>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</si>
  <si>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</si>
  <si>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</si>
  <si>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</si>
  <si>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</si>
  <si>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</si>
  <si>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</si>
  <si>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</si>
  <si>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</si>
  <si>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</si>
  <si>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</si>
  <si>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</si>
  <si>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</si>
  <si>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</si>
  <si>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</si>
  <si>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</si>
  <si>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</si>
  <si>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</si>
  <si>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</si>
  <si>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</si>
  <si>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</si>
  <si>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</si>
  <si>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</si>
  <si>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</si>
  <si>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</si>
  <si>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</si>
  <si>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</si>
  <si>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</si>
  <si>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</si>
  <si>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</si>
  <si>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</si>
  <si>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</si>
  <si>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</si>
  <si>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</si>
  <si>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</si>
  <si>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</si>
  <si>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</si>
  <si>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</si>
  <si>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</si>
  <si>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</si>
  <si>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</si>
  <si>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</si>
  <si>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</si>
  <si>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</si>
  <si>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</si>
  <si>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</si>
  <si>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</si>
  <si>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</si>
  <si>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</si>
  <si>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</si>
  <si>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</si>
  <si>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</si>
  <si>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</si>
  <si>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</si>
  <si>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</si>
  <si>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</si>
  <si>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</si>
  <si>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</si>
  <si>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</si>
  <si>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</si>
  <si>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</si>
  <si>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</si>
  <si>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</si>
  <si>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</si>
  <si>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</si>
  <si>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</si>
  <si>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</si>
  <si>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</si>
  <si>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</si>
  <si>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</si>
  <si>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</si>
  <si>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</si>
  <si>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</si>
  <si>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</si>
  <si>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</si>
  <si>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</si>
  <si>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</si>
  <si>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</si>
  <si>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</si>
  <si>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</si>
  <si>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</si>
  <si>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</si>
  <si>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</si>
  <si>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</si>
  <si>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</si>
  <si>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</si>
  <si>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</si>
  <si>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</si>
  <si>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</si>
  <si>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</si>
  <si>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</si>
  <si>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</si>
  <si>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</si>
  <si>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</si>
  <si>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</si>
  <si>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</si>
  <si>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</si>
  <si>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</si>
  <si>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</si>
  <si>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</si>
  <si>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</si>
  <si>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</si>
  <si>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</si>
  <si>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</si>
  <si>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</si>
  <si>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</si>
  <si>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</si>
  <si>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</si>
  <si>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</si>
  <si>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</si>
  <si>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</si>
  <si>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</si>
  <si>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</si>
  <si>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</si>
  <si>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</si>
  <si>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</si>
  <si>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</si>
  <si>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</si>
  <si>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</si>
  <si>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</si>
  <si>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</si>
  <si>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</si>
  <si>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</si>
  <si>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</si>
  <si>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</si>
  <si>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</si>
  <si>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</si>
  <si>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</si>
  <si>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</si>
  <si>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</si>
  <si>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</si>
  <si>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</si>
  <si>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</si>
  <si>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</si>
  <si>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</si>
  <si>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</si>
  <si>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</si>
  <si>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</si>
  <si>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</si>
  <si>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</si>
  <si>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</si>
  <si>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</si>
  <si>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</si>
  <si>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</si>
  <si>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</si>
  <si>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</si>
  <si>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</si>
  <si>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</si>
  <si>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</si>
  <si>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</si>
  <si>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</si>
  <si>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</si>
  <si>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</si>
  <si>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</si>
  <si>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</si>
  <si>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</si>
  <si>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</si>
  <si>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</si>
  <si>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</si>
  <si>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</si>
  <si>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</si>
  <si>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</si>
  <si>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</si>
  <si>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</si>
  <si>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</si>
  <si>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</si>
  <si>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</si>
  <si>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</si>
  <si>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</si>
  <si>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</si>
  <si>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</si>
  <si>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</si>
  <si>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</si>
  <si>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</si>
  <si>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</si>
  <si>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</si>
  <si>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</si>
  <si>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</si>
  <si>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</si>
  <si>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</si>
  <si>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</si>
  <si>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</si>
  <si>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</si>
  <si>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</si>
  <si>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</si>
  <si>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</si>
  <si>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</si>
  <si>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</si>
  <si>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</si>
  <si>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</si>
  <si>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</si>
  <si>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</si>
  <si>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</si>
  <si>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</si>
  <si>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</si>
  <si>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</si>
  <si>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</si>
  <si>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</si>
  <si>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</si>
  <si>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</si>
  <si>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</si>
  <si>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</si>
  <si>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</si>
  <si>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</si>
  <si>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</si>
  <si>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</si>
  <si>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</si>
  <si>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</si>
  <si>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</si>
  <si>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</si>
  <si>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</si>
  <si>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</si>
  <si>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</si>
  <si>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</si>
  <si>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</si>
  <si>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</si>
  <si>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</si>
  <si>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</si>
  <si>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</si>
  <si>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</si>
  <si>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</si>
  <si>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</si>
  <si>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</si>
  <si>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</si>
  <si>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</si>
  <si>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</si>
  <si>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</si>
  <si>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</si>
  <si>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</si>
  <si>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</si>
  <si>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</si>
  <si>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</si>
  <si>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</si>
  <si>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</si>
  <si>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</si>
  <si>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</si>
  <si>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</si>
  <si>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</si>
  <si>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</si>
  <si>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</si>
  <si>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</si>
  <si>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</si>
  <si>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</si>
  <si>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</si>
  <si>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</si>
  <si>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</si>
  <si>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</si>
  <si>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</si>
  <si>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</si>
  <si>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</si>
  <si>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</si>
  <si>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</si>
  <si>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</si>
  <si>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</si>
  <si>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</si>
  <si>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</si>
  <si>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</si>
  <si>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</si>
  <si>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</si>
  <si>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</si>
  <si>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</si>
  <si>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</si>
  <si>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</si>
  <si>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</si>
  <si>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</si>
  <si>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</si>
  <si>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</si>
  <si>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</si>
  <si>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</si>
  <si>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</si>
  <si>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</si>
  <si>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</si>
  <si>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</si>
  <si>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</si>
  <si>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</si>
  <si>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</si>
  <si>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</si>
  <si>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</si>
  <si>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</si>
  <si>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</si>
  <si>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</si>
  <si>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</si>
  <si>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</si>
  <si>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</si>
  <si>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</si>
  <si>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</si>
  <si>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</si>
  <si>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</si>
  <si>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</si>
  <si>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</si>
  <si>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</si>
  <si>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</si>
  <si>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</si>
  <si>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</si>
  <si>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</si>
  <si>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</si>
  <si>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</si>
  <si>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</si>
  <si>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</si>
  <si>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</si>
  <si>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</si>
  <si>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</si>
  <si>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</si>
  <si>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</si>
  <si>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</si>
  <si>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</si>
  <si>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</si>
  <si>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</si>
  <si>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</si>
  <si>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</si>
  <si>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</si>
  <si>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</si>
  <si>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</si>
  <si>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</si>
  <si>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</si>
  <si>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</si>
  <si>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</si>
  <si>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</si>
  <si>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</si>
  <si>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</si>
  <si>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</si>
  <si>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</si>
  <si>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</si>
  <si>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</si>
  <si>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</si>
  <si>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</si>
  <si>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</si>
  <si>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</si>
  <si>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</si>
  <si>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</si>
  <si>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</si>
  <si>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</si>
  <si>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</si>
  <si>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</si>
  <si>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</si>
  <si>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</si>
  <si>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</si>
  <si>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</si>
  <si>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</si>
  <si>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</si>
  <si>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</si>
  <si>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</si>
  <si>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</si>
  <si>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</si>
  <si>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</si>
  <si>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</si>
  <si>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</si>
  <si>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</si>
  <si>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</si>
  <si>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</si>
  <si>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</si>
  <si>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</si>
  <si>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</si>
  <si>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</si>
  <si>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</si>
  <si>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</si>
  <si>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</si>
  <si>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</si>
  <si>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</si>
  <si>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</si>
  <si>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</si>
  <si>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</si>
  <si>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</si>
  <si>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</si>
  <si>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</si>
  <si>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</si>
  <si>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</si>
  <si>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</si>
  <si>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</si>
  <si>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</si>
  <si>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</si>
  <si>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</si>
  <si>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</si>
  <si>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</si>
  <si>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</si>
  <si>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</si>
  <si>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</si>
  <si>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</si>
  <si>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</si>
  <si>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</si>
  <si>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</si>
  <si>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</si>
  <si>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</si>
  <si>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</si>
  <si>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</si>
  <si>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</si>
  <si>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</si>
  <si>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</si>
  <si>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</si>
  <si>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</si>
  <si>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</si>
  <si>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</si>
  <si>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</si>
  <si>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</si>
  <si>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</si>
  <si>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</si>
  <si>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</si>
  <si>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</si>
  <si>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</si>
  <si>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</si>
  <si>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</si>
  <si>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</si>
  <si>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</si>
  <si>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</si>
  <si>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</si>
  <si>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</si>
  <si>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</si>
  <si>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</si>
  <si>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</si>
  <si>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</si>
  <si>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</si>
  <si>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</si>
  <si>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</si>
  <si>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</si>
  <si>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</si>
  <si>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</si>
  <si>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</si>
  <si>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</si>
  <si>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</si>
  <si>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</si>
  <si>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</si>
  <si>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</si>
  <si>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</si>
  <si>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</si>
  <si>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</si>
  <si>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</si>
  <si>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</si>
  <si>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</si>
  <si>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</si>
  <si>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</si>
  <si>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</si>
  <si>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</si>
  <si>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</si>
  <si>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</si>
  <si>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</si>
  <si>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</si>
  <si>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</si>
  <si>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</si>
  <si>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</si>
  <si>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</si>
  <si>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</si>
  <si>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</si>
  <si>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</si>
  <si>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</si>
  <si>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</si>
  <si>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</si>
  <si>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</si>
  <si>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</si>
  <si>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</si>
  <si>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</si>
  <si>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</si>
  <si>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</si>
  <si>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</si>
  <si>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</si>
  <si>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</si>
  <si>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</si>
  <si>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</si>
  <si>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</si>
  <si>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</si>
  <si>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</si>
  <si>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</si>
  <si>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</si>
  <si>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</si>
  <si>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</si>
  <si>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</si>
  <si>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</si>
  <si>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</si>
  <si>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</si>
  <si>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</si>
  <si>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</si>
  <si>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</si>
  <si>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</si>
  <si>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</si>
  <si>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</si>
  <si>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</si>
  <si>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</si>
  <si>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</si>
  <si>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</si>
  <si>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</si>
  <si>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</si>
  <si>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</si>
  <si>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</si>
  <si>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</si>
  <si>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</si>
  <si>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</si>
  <si>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</si>
  <si>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</si>
  <si>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</si>
  <si>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</si>
  <si>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</si>
  <si>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</si>
  <si>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</si>
  <si>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</si>
  <si>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</si>
  <si>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</si>
  <si>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</si>
  <si>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</si>
  <si>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</si>
  <si>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</si>
  <si>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</si>
  <si>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</si>
  <si>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</si>
  <si>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</si>
  <si>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</si>
  <si>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</si>
  <si>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</si>
  <si>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</si>
  <si>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</si>
  <si>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</si>
  <si>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</si>
  <si>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</si>
  <si>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</si>
  <si>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</si>
  <si>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</si>
  <si>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</si>
  <si>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</si>
  <si>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</si>
  <si>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</si>
  <si>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</si>
  <si>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</si>
  <si>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</si>
  <si>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</si>
  <si>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</si>
  <si>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</si>
  <si>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</si>
  <si>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</si>
  <si>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</si>
  <si>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</si>
  <si>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</si>
  <si>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</si>
  <si>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</si>
  <si>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</si>
  <si>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</si>
  <si>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</si>
  <si>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</si>
  <si>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</si>
  <si>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</si>
  <si>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</si>
  <si>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</si>
  <si>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</si>
  <si>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</si>
  <si>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</si>
  <si>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</si>
  <si>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</si>
  <si>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</si>
  <si>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</si>
  <si>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</si>
  <si>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</si>
  <si>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</si>
  <si>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</si>
  <si>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</si>
  <si>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</si>
  <si>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</si>
  <si>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</si>
  <si>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</si>
  <si>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</si>
  <si>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</si>
  <si>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</si>
  <si>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</si>
  <si>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</si>
  <si>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</si>
  <si>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</si>
  <si>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</si>
  <si>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</si>
  <si>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</si>
  <si>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</si>
  <si>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</si>
  <si>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</si>
  <si>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</si>
  <si>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</si>
  <si>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</si>
  <si>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</si>
  <si>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</si>
  <si>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</si>
  <si>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</si>
  <si>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</si>
  <si>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</si>
  <si>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</si>
  <si>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</si>
  <si>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</si>
  <si>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</si>
  <si>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</si>
  <si>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</si>
  <si>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</si>
  <si>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</si>
  <si>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</si>
  <si>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</si>
  <si>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</si>
  <si>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</si>
  <si>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</si>
  <si>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</si>
  <si>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</si>
  <si>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</si>
  <si>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</si>
  <si>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</si>
  <si>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</si>
  <si>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</si>
  <si>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</si>
  <si>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</si>
  <si>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</si>
  <si>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</si>
  <si>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</si>
  <si>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</si>
  <si>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</si>
  <si>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</si>
  <si>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</si>
  <si>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</si>
  <si>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</si>
  <si>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</si>
  <si>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</si>
  <si>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</si>
  <si>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</si>
  <si>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</si>
  <si>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</si>
  <si>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</si>
  <si>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</si>
  <si>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</si>
  <si>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</si>
  <si>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</si>
  <si>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</si>
  <si>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</si>
  <si>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</si>
  <si>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</si>
  <si>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</si>
  <si>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</si>
  <si>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</si>
  <si>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</si>
  <si>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</si>
  <si>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</si>
  <si>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</si>
  <si>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</si>
  <si>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</si>
  <si>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</si>
  <si>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</si>
  <si>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</si>
  <si>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</si>
  <si>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</si>
  <si>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</si>
  <si>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</si>
  <si>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</si>
  <si>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</si>
  <si>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</si>
  <si>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</si>
  <si>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</si>
  <si>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</si>
  <si>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</si>
  <si>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</si>
  <si>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</si>
  <si>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</si>
  <si>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</si>
  <si>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</si>
  <si>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</si>
  <si>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</si>
  <si>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</si>
  <si>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</si>
  <si>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</si>
  <si>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</si>
  <si>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</si>
  <si>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</si>
  <si>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</si>
  <si>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</si>
  <si>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</si>
  <si>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</si>
  <si>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</si>
  <si>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</si>
  <si>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</si>
  <si>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</si>
  <si>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</si>
  <si>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</si>
  <si>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</si>
  <si>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</si>
  <si>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</si>
  <si>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</si>
  <si>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</si>
  <si>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</si>
  <si>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</si>
  <si>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</si>
  <si>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</si>
  <si>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</si>
  <si>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</si>
  <si>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</si>
  <si>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</si>
  <si>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</si>
  <si>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</si>
  <si>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</si>
  <si>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</si>
  <si>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</si>
  <si>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</si>
  <si>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</si>
  <si>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</si>
  <si>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</si>
  <si>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</si>
  <si>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</si>
  <si>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</si>
  <si>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</si>
  <si>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</si>
  <si>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</si>
  <si>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</si>
  <si>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</si>
  <si>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</si>
  <si>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</si>
  <si>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</si>
  <si>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</si>
  <si>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</si>
  <si>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</si>
  <si>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</si>
  <si>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</si>
  <si>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</si>
  <si>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</si>
  <si>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</si>
  <si>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</si>
  <si>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</si>
  <si>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</si>
  <si>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</si>
  <si>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</si>
  <si>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</si>
  <si>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</si>
  <si>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</si>
  <si>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</si>
  <si>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</si>
  <si>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</si>
  <si>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</si>
  <si>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</si>
  <si>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</si>
  <si>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</si>
  <si>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</si>
  <si>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</si>
  <si>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</si>
  <si>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</si>
  <si>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</si>
  <si>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</si>
  <si>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</si>
  <si>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</si>
  <si>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</si>
  <si>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</si>
  <si>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</si>
  <si>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</si>
  <si>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</si>
  <si>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</si>
  <si>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</si>
  <si>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</si>
  <si>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</si>
  <si>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</si>
  <si>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</si>
  <si>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</si>
  <si>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</si>
  <si>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</si>
  <si>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</si>
  <si>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</si>
  <si>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</si>
  <si>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</si>
  <si>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</si>
  <si>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</si>
  <si>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</si>
  <si>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</si>
  <si>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</si>
  <si>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</si>
  <si>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</si>
  <si>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</si>
  <si>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</si>
  <si>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</si>
  <si>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</si>
  <si>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</si>
  <si>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</si>
  <si>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</si>
  <si>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</si>
  <si>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</si>
  <si>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</si>
  <si>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</si>
  <si>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</si>
  <si>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</si>
  <si>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</si>
  <si>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</si>
  <si>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</si>
  <si>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</si>
  <si>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</si>
  <si>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</si>
  <si>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</si>
  <si>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</si>
  <si>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</si>
  <si>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</si>
  <si>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</si>
  <si>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</si>
  <si>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</si>
  <si>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</si>
  <si>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</si>
  <si>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</si>
  <si>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</si>
  <si>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</si>
  <si>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</si>
  <si>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</si>
  <si>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</si>
  <si>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</si>
  <si>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</si>
  <si>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</si>
  <si>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</si>
  <si>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</si>
  <si>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</si>
  <si>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</si>
  <si>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</si>
  <si>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</si>
  <si>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</si>
  <si>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</si>
  <si>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</si>
  <si>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</si>
  <si>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</si>
  <si>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</si>
  <si>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</si>
  <si>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</si>
  <si>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</si>
  <si>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</si>
  <si>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</si>
  <si>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</si>
  <si>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</si>
  <si>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</si>
  <si>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</si>
  <si>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</si>
  <si>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</si>
  <si>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</si>
  <si>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</si>
  <si>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</si>
  <si>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</si>
  <si>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</si>
  <si>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</si>
  <si>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</si>
  <si>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</si>
  <si>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</si>
  <si>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</si>
  <si>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</si>
  <si>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</si>
  <si>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</si>
  <si>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</si>
  <si>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</si>
  <si>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</si>
  <si>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</si>
  <si>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</si>
  <si>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</si>
  <si>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</si>
  <si>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</si>
  <si>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</si>
  <si>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</si>
  <si>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</si>
  <si>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</si>
  <si>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</si>
  <si>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</si>
  <si>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</si>
  <si>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</si>
  <si>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</si>
  <si>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</si>
  <si>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</si>
  <si>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</si>
  <si>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</si>
  <si>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</si>
  <si>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</si>
  <si>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</si>
  <si>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</si>
  <si>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</si>
  <si>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</si>
  <si>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</si>
  <si>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</si>
  <si>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</si>
  <si>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</si>
  <si>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</si>
  <si>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</si>
  <si>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</si>
  <si>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</si>
  <si>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</si>
  <si>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</si>
  <si>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</si>
  <si>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</si>
  <si>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</si>
  <si>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</si>
  <si>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</si>
  <si>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</si>
  <si>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</si>
  <si>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</si>
  <si>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</si>
  <si>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</si>
  <si>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</si>
  <si>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</si>
  <si>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</si>
  <si>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</si>
  <si>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</si>
  <si>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</si>
  <si>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</si>
  <si>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</si>
  <si>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</si>
  <si>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</si>
  <si>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</si>
  <si>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</si>
  <si>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</si>
  <si>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</si>
  <si>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</si>
  <si>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</si>
  <si>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</si>
  <si>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</si>
  <si>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</si>
  <si>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</si>
  <si>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</si>
  <si>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</si>
  <si>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</si>
  <si>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</si>
  <si>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</si>
  <si>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</si>
  <si>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</si>
  <si>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</si>
  <si>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</si>
  <si>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</si>
  <si>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</si>
  <si>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</si>
  <si>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</si>
  <si>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</si>
  <si>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</si>
  <si>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</si>
  <si>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</si>
  <si>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</si>
  <si>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</si>
  <si>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</si>
  <si>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</si>
  <si>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</si>
  <si>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</si>
  <si>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</si>
  <si>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</si>
  <si>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</si>
  <si>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</si>
  <si>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</si>
  <si>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</si>
  <si>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</si>
  <si>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</si>
  <si>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</si>
  <si>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</si>
  <si>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</si>
  <si>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</si>
  <si>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</si>
  <si>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</si>
  <si>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</si>
  <si>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</si>
  <si>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</si>
  <si>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</si>
  <si>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</si>
  <si>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</si>
  <si>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</si>
  <si>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</si>
  <si>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</si>
  <si>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</si>
  <si>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</si>
  <si>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</si>
  <si>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</si>
  <si>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</si>
  <si>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</si>
  <si>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</si>
  <si>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</si>
  <si>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</si>
  <si>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</si>
  <si>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</si>
  <si>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</si>
  <si>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</si>
  <si>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</si>
  <si>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</si>
  <si>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</si>
  <si>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</si>
  <si>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</si>
  <si>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</si>
  <si>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</si>
  <si>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</si>
  <si>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</si>
  <si>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</si>
  <si>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</si>
  <si>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</si>
  <si>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</si>
  <si>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</si>
  <si>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</si>
  <si>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</si>
  <si>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</si>
  <si>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</si>
  <si>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</si>
  <si>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</si>
  <si>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</si>
  <si>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</si>
  <si>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</si>
  <si>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</si>
  <si>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</si>
  <si>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</si>
  <si>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</si>
  <si>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</si>
  <si>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</si>
  <si>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</si>
  <si>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</si>
  <si>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</si>
  <si>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</si>
  <si>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</si>
  <si>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</si>
  <si>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</si>
  <si>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</si>
  <si>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</si>
  <si>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</si>
  <si>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</si>
  <si>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</si>
  <si>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</si>
  <si>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</si>
  <si>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</si>
  <si>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</si>
  <si>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</si>
  <si>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</si>
  <si>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</si>
  <si>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</si>
  <si>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</si>
  <si>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</si>
  <si>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</si>
  <si>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</si>
  <si>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</si>
  <si>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</si>
  <si>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</si>
  <si>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</si>
  <si>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</si>
  <si>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</si>
  <si>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</si>
  <si>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</si>
  <si>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</si>
  <si>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</si>
  <si>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</si>
  <si>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</si>
  <si>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</si>
  <si>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</si>
  <si>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</si>
  <si>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</si>
  <si>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</si>
  <si>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</si>
  <si>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</si>
  <si>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</si>
  <si>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</si>
  <si>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</si>
  <si>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</si>
  <si>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</si>
  <si>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</si>
  <si>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</si>
  <si>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</si>
  <si>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</si>
  <si>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</si>
  <si>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</si>
  <si>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</si>
  <si>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</si>
  <si>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</si>
  <si>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</si>
  <si>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</si>
  <si>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</si>
  <si>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</si>
  <si>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</si>
  <si>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</si>
  <si>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</si>
  <si>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</si>
  <si>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</si>
  <si>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</si>
  <si>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</si>
  <si>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</si>
  <si>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</si>
  <si>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</si>
  <si>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</si>
  <si>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</si>
  <si>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</si>
  <si>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</si>
  <si>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</si>
  <si>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</si>
  <si>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</si>
  <si>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</si>
  <si>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</si>
  <si>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</si>
  <si>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</si>
  <si>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</si>
  <si>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</si>
  <si>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</si>
  <si>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</si>
  <si>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</si>
  <si>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</si>
  <si>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</si>
  <si>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</si>
  <si>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</si>
  <si>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</si>
  <si>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</si>
  <si>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</si>
  <si>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</si>
  <si>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</si>
  <si>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</si>
  <si>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</si>
  <si>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</si>
  <si>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</si>
  <si>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</si>
  <si>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</si>
  <si>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</si>
  <si>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</si>
  <si>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</si>
  <si>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</si>
  <si>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</si>
  <si>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</si>
  <si>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</si>
  <si>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</si>
  <si>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</si>
  <si>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</si>
  <si>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</si>
  <si>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</si>
  <si>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</si>
  <si>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</si>
  <si>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</si>
  <si>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</si>
  <si>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</si>
  <si>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</si>
  <si>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</si>
  <si>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</si>
  <si>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</si>
  <si>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</si>
  <si>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</si>
  <si>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</si>
  <si>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</si>
  <si>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</si>
  <si>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</si>
  <si>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</si>
  <si>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</si>
  <si>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</si>
  <si>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</si>
  <si>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</si>
  <si>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</si>
  <si>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</si>
  <si>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</si>
  <si>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</si>
  <si>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</si>
  <si>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</si>
  <si>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</si>
  <si>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</si>
  <si>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</si>
  <si>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</si>
  <si>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</si>
  <si>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</si>
  <si>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</si>
  <si>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</si>
  <si>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</si>
  <si>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</si>
  <si>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</si>
  <si>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</si>
  <si>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</si>
  <si>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</si>
  <si>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</si>
  <si>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</si>
  <si>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</si>
  <si>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</si>
  <si>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</si>
  <si>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</si>
  <si>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</si>
  <si>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</si>
  <si>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</si>
  <si>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</si>
  <si>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</si>
  <si>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</si>
  <si>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</si>
  <si>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</si>
  <si>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</si>
  <si>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</si>
  <si>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</si>
  <si>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</si>
  <si>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</si>
  <si>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</si>
  <si>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</si>
  <si>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</si>
  <si>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</si>
  <si>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</si>
  <si>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</si>
  <si>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</si>
  <si>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</si>
  <si>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</si>
  <si>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</si>
  <si>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</si>
  <si>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</si>
  <si>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</si>
  <si>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</si>
  <si>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</si>
  <si>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</si>
  <si>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</si>
  <si>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</si>
  <si>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</si>
  <si>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</si>
  <si>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</si>
  <si>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</si>
  <si>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</si>
  <si>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</si>
  <si>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</si>
  <si>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</si>
  <si>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</si>
  <si>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</si>
  <si>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</si>
  <si>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</si>
  <si>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</si>
  <si>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</si>
  <si>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</si>
  <si>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</si>
  <si>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</si>
  <si>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</si>
  <si>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</si>
  <si>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</si>
  <si>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</si>
  <si>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</si>
  <si>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</si>
  <si>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</si>
  <si>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</si>
  <si>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</si>
  <si>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</si>
  <si>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</si>
  <si>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</si>
  <si>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</si>
  <si>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</si>
  <si>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</si>
  <si>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</si>
  <si>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</si>
  <si>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</si>
  <si>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</si>
  <si>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</si>
  <si>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</si>
  <si>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</si>
  <si>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</si>
  <si>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</si>
  <si>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</si>
  <si>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</si>
  <si>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</si>
  <si>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</si>
  <si>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</si>
  <si>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</si>
  <si>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</si>
  <si>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</si>
  <si>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</si>
  <si>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</si>
  <si>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</si>
  <si>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</si>
  <si>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</si>
  <si>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</si>
  <si>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</si>
  <si>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</si>
  <si>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</si>
  <si>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</si>
  <si>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</si>
  <si>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</si>
  <si>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</si>
  <si>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</si>
  <si>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</si>
  <si>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</si>
  <si>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华通路桥集团有限公司</t>
    <phoneticPr fontId="7" type="noConversion"/>
  </si>
  <si>
    <t>房地产抵押价值</t>
  </si>
  <si>
    <t>已注销</t>
  </si>
  <si>
    <t>企业</t>
  </si>
  <si>
    <t>北京市</t>
  </si>
  <si>
    <t>海淀区车公庄西路乙19号</t>
    <phoneticPr fontId="7" type="noConversion"/>
  </si>
  <si>
    <t>房屋所有权证</t>
  </si>
  <si>
    <t>未核对原件</t>
  </si>
  <si>
    <r>
      <rPr>
        <sz val="10"/>
        <color indexed="8"/>
        <rFont val="宋体"/>
        <family val="3"/>
        <charset val="134"/>
      </rPr>
      <t>海淀区车公庄西路乙</t>
    </r>
    <r>
      <rPr>
        <sz val="10"/>
        <color indexed="8"/>
        <rFont val="Arial"/>
        <family val="2"/>
      </rPr>
      <t>19</t>
    </r>
    <r>
      <rPr>
        <sz val="10"/>
        <color indexed="8"/>
        <rFont val="宋体"/>
        <family val="3"/>
        <charset val="134"/>
      </rPr>
      <t>号</t>
    </r>
    <phoneticPr fontId="7" type="noConversion"/>
  </si>
  <si>
    <t>X京房权证海其字第045105号</t>
    <phoneticPr fontId="7" type="noConversion"/>
  </si>
  <si>
    <t>无</t>
    <phoneticPr fontId="7" type="noConversion"/>
  </si>
  <si>
    <t>其他房产</t>
    <phoneticPr fontId="7" type="noConversion"/>
  </si>
  <si>
    <t>办公</t>
  </si>
  <si>
    <t>万元</t>
  </si>
  <si>
    <t>总价</t>
  </si>
  <si>
    <t>无租约</t>
  </si>
  <si>
    <t>设定收益年期(n)</t>
  </si>
  <si>
    <t>钢混</t>
  </si>
  <si>
    <t>收益法</t>
  </si>
  <si>
    <t>比较法-办公</t>
  </si>
  <si>
    <t>售价</t>
  </si>
  <si>
    <t>40-50（含）</t>
  </si>
  <si>
    <t>30-40（含）</t>
  </si>
  <si>
    <t>办公</t>
    <phoneticPr fontId="45" type="noConversion"/>
  </si>
  <si>
    <t>低区</t>
  </si>
  <si>
    <t>低区</t>
    <phoneticPr fontId="45" type="noConversion"/>
  </si>
  <si>
    <t>中区</t>
    <phoneticPr fontId="45" type="noConversion"/>
  </si>
  <si>
    <t>高区</t>
  </si>
  <si>
    <t>高区</t>
    <phoneticPr fontId="45" type="noConversion"/>
  </si>
  <si>
    <t>华通大厦</t>
    <phoneticPr fontId="4" type="noConversion"/>
  </si>
  <si>
    <t>国兴大厦</t>
    <phoneticPr fontId="4" type="noConversion"/>
  </si>
  <si>
    <t>海淀区车公庄西路乙19号</t>
    <phoneticPr fontId="4" type="noConversion"/>
  </si>
  <si>
    <t>海淀区首体南路20号</t>
    <phoneticPr fontId="4" type="noConversion"/>
  </si>
  <si>
    <t>塔楼</t>
  </si>
  <si>
    <t>塔楼</t>
    <phoneticPr fontId="45" type="noConversion"/>
  </si>
  <si>
    <t>钢混</t>
    <phoneticPr fontId="45" type="noConversion"/>
  </si>
  <si>
    <t>普装</t>
  </si>
  <si>
    <t>普装</t>
    <phoneticPr fontId="45" type="noConversion"/>
  </si>
  <si>
    <t>甲级</t>
  </si>
  <si>
    <t>甲级</t>
    <phoneticPr fontId="45" type="noConversion"/>
  </si>
  <si>
    <t>专业</t>
    <phoneticPr fontId="45" type="noConversion"/>
  </si>
  <si>
    <t>六通</t>
    <phoneticPr fontId="45" type="noConversion"/>
  </si>
  <si>
    <t>标准</t>
  </si>
  <si>
    <t>标准</t>
    <phoneticPr fontId="45" type="noConversion"/>
  </si>
  <si>
    <t>七通</t>
  </si>
  <si>
    <t>主</t>
  </si>
  <si>
    <t>主</t>
    <phoneticPr fontId="45" type="noConversion"/>
  </si>
  <si>
    <t>电梯直达</t>
  </si>
  <si>
    <t>电梯直达</t>
    <phoneticPr fontId="45" type="noConversion"/>
  </si>
  <si>
    <t>否</t>
    <phoneticPr fontId="45" type="noConversion"/>
  </si>
  <si>
    <t>是</t>
    <phoneticPr fontId="45" type="noConversion"/>
  </si>
  <si>
    <t>否</t>
    <phoneticPr fontId="45" type="noConversion"/>
  </si>
  <si>
    <t>电梯直达</t>
    <phoneticPr fontId="33" type="noConversion"/>
  </si>
  <si>
    <t>电梯不直达</t>
  </si>
  <si>
    <t>电梯不直达</t>
    <phoneticPr fontId="3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</si>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</sst>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3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03" fillId="0" borderId="31" xfId="0" applyFont="1" applyBorder="1" applyAlignment="1" applyProtection="1">
      <alignment vertical="center" wrapText="1"/>
      <protection locked="0"/>
    </xf>
    <xf numFmtId="0" fontId="155" fillId="6" borderId="15" xfId="0" applyNumberFormat="1" applyFont="1" applyFill="1" applyBorder="1" applyAlignment="1" applyProtection="1">
      <alignment horizontal="center" vertical="center"/>
      <protection locked="0"/>
    </xf>
    <xf numFmtId="0" fontId="155" fillId="6" borderId="3" xfId="0" applyNumberFormat="1" applyFont="1" applyFill="1" applyBorder="1" applyAlignment="1" applyProtection="1">
      <alignment horizontal="center" vertical="center" wrapText="1"/>
      <protection locked="0"/>
    </xf>
    <xf numFmtId="0" fontId="155" fillId="6" borderId="7"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51"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27"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7"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72" fillId="6" borderId="19" xfId="0" applyNumberFormat="1" applyFont="1" applyFill="1" applyBorder="1" applyAlignment="1" applyProtection="1">
      <alignment horizontal="center" vertical="center" wrapText="1"/>
      <protection locked="0"/>
    </xf>
    <xf numFmtId="0" fontId="103" fillId="0" borderId="103" xfId="0" applyNumberFormat="1" applyFont="1" applyFill="1" applyBorder="1" applyAlignment="1" applyProtection="1">
      <alignment horizontal="center" vertical="center" wrapText="1"/>
      <protection locked="0"/>
    </xf>
    <xf numFmtId="0" fontId="103" fillId="0" borderId="104"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495300</xdr:colOff>
      <xdr:row>18</xdr:row>
      <xdr:rowOff>62361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3148460"/>
        </a:xfrm>
        <a:prstGeom prst="rect">
          <a:avLst/>
        </a:prstGeom>
      </xdr:spPr>
    </xdr:pic>
    <xdr:clientData/>
  </xdr:twoCellAnchor>
  <xdr:twoCellAnchor editAs="oneCell">
    <xdr:from>
      <xdr:col>7</xdr:col>
      <xdr:colOff>657224</xdr:colOff>
      <xdr:row>0</xdr:row>
      <xdr:rowOff>0</xdr:rowOff>
    </xdr:from>
    <xdr:to>
      <xdr:col>15</xdr:col>
      <xdr:colOff>114300</xdr:colOff>
      <xdr:row>18</xdr:row>
      <xdr:rowOff>2874</xdr:rowOff>
    </xdr:to>
    <xdr:pic>
      <xdr:nvPicPr>
        <xdr:cNvPr id="3" name="图片 2"/>
        <xdr:cNvPicPr>
          <a:picLocks noChangeAspect="1"/>
        </xdr:cNvPicPr>
      </xdr:nvPicPr>
      <xdr:blipFill>
        <a:blip xmlns:r="http://schemas.openxmlformats.org/officeDocument/2006/relationships" r:embed="rId2"/>
        <a:stretch>
          <a:fillRect/>
        </a:stretch>
      </xdr:blipFill>
      <xdr:spPr>
        <a:xfrm>
          <a:off x="5457824" y="0"/>
          <a:ext cx="4943476" cy="3088974"/>
        </a:xfrm>
        <a:prstGeom prst="rect">
          <a:avLst/>
        </a:prstGeom>
      </xdr:spPr>
    </xdr:pic>
    <xdr:clientData/>
  </xdr:twoCellAnchor>
  <xdr:twoCellAnchor editAs="oneCell">
    <xdr:from>
      <xdr:col>0</xdr:col>
      <xdr:colOff>1</xdr:colOff>
      <xdr:row>20</xdr:row>
      <xdr:rowOff>9526</xdr:rowOff>
    </xdr:from>
    <xdr:to>
      <xdr:col>7</xdr:col>
      <xdr:colOff>476251</xdr:colOff>
      <xdr:row>38</xdr:row>
      <xdr:rowOff>62241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3438526"/>
          <a:ext cx="5276850" cy="3138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2663</v>
      </c>
      <c r="B1" s="2847" t="s">
        <v>2734</v>
      </c>
    </row>
    <row r="2" spans="1:2" s="2850" customFormat="1" ht="15.75" thickTop="1">
      <c r="A2" s="2849" t="s">
        <v>2664</v>
      </c>
      <c r="B2" s="2835" t="str">
        <f>'预评函-封皮'!B9</f>
        <v>北京市海淀区车公庄西路乙19号房地产抵押价值预评估</v>
      </c>
    </row>
    <row r="3" spans="1:2" s="2850" customFormat="1">
      <c r="A3" s="2851" t="s">
        <v>2665</v>
      </c>
      <c r="B3" s="2836" t="str">
        <f>'预评函-封皮'!B12</f>
        <v>华通路桥集团有限公司</v>
      </c>
    </row>
    <row r="4" spans="1:2" s="2850" customFormat="1">
      <c r="A4" s="2851" t="s">
        <v>2666</v>
      </c>
      <c r="B4" s="2836" t="str">
        <f>'预评函-封皮'!B18</f>
        <v>注册房地产估价师（注册号:0）、注册房地产估价师（注册号:0)</v>
      </c>
    </row>
    <row r="5" spans="1:2" s="2848" customFormat="1" ht="15.75" thickBot="1">
      <c r="A5" s="2852" t="s">
        <v>2667</v>
      </c>
      <c r="B5" s="2837" t="str">
        <f>'预评函-封皮'!B21</f>
        <v>康正预评字号</v>
      </c>
    </row>
    <row r="6" spans="1:2" s="2850" customFormat="1" ht="15.75" thickTop="1">
      <c r="A6" s="2851" t="s">
        <v>2668</v>
      </c>
      <c r="B6" s="2835" t="str">
        <f>'预评函-1'!A4</f>
        <v>受贵公司委托，我公司对北京市海淀区车公庄西路乙19号房地产进行了预评估。</v>
      </c>
    </row>
    <row r="7" spans="1:2">
      <c r="A7" s="2851" t="s">
        <v>2669</v>
      </c>
      <c r="B7" s="2838" t="str">
        <f>'预评函-1'!A6</f>
        <v>估价对象为北京市海淀区车公庄西路乙19号房地产，为所有。根据《房屋所有权证》[X京房权证海其字第045105号]，估价对象建筑面积为123.8平方米。估价对象用途为。</v>
      </c>
    </row>
    <row r="8" spans="1:2">
      <c r="A8" s="2851" t="s">
        <v>2670</v>
      </c>
      <c r="B8" s="2838" t="str">
        <f>'预评函-1'!A8</f>
        <v>为估价委托人了解估价对象房地产市场价值提供参考依据。</v>
      </c>
    </row>
    <row r="9" spans="1:2">
      <c r="A9" s="2851" t="s">
        <v>2671</v>
      </c>
      <c r="B9" s="2838" t="str">
        <f>'预评函-1'!A10</f>
        <v>2017年9月14日（评估专业人员实地查勘之日）</v>
      </c>
    </row>
    <row r="10" spans="1:2">
      <c r="A10" s="2851" t="s">
        <v>2672</v>
      </c>
      <c r="B10" s="2838" t="str">
        <f>'预评函-1'!A13</f>
        <v>本次估价的“房地产价值”是指在正常市场情况下，在价值时点2017年9月14日，估价对象规划用途为，假定未设立法定优先受偿款下的房地产市场价值。</v>
      </c>
    </row>
    <row r="11" spans="1:2">
      <c r="A11" s="2851" t="s">
        <v>2673</v>
      </c>
      <c r="B11" s="2838"/>
    </row>
    <row r="12" spans="1:2">
      <c r="A12" s="2851" t="s">
        <v>2674</v>
      </c>
      <c r="B12" s="283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2851" t="s">
        <v>2675</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2676</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2677</v>
      </c>
      <c r="B15" s="2839" t="str">
        <f>'预评函-1'!A18</f>
        <v>本次评估采用的主估价方法为收益法和比较法。</v>
      </c>
    </row>
    <row r="16" spans="1:2" ht="15.75" thickTop="1">
      <c r="A16" s="2849" t="s">
        <v>2678</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2679</v>
      </c>
      <c r="B17" s="2838" t="str">
        <f>'预评函-2（1）'!B6</f>
        <v>北京市海淀区车公庄西路乙19号房地产</v>
      </c>
    </row>
    <row r="18" spans="1:2">
      <c r="A18" s="2851" t="s">
        <v>2680</v>
      </c>
      <c r="B18" s="2838">
        <f>'预评函-2（1）'!C6</f>
        <v>123.8</v>
      </c>
    </row>
    <row r="19" spans="1:2">
      <c r="A19" s="2851" t="s">
        <v>2681</v>
      </c>
      <c r="B19" s="2838">
        <f ca="1">'预评函-2（1）'!D7</f>
        <v>516</v>
      </c>
    </row>
    <row r="20" spans="1:2">
      <c r="A20" s="2851" t="s">
        <v>2727</v>
      </c>
      <c r="B20" s="2838" t="str">
        <f>'预评函-2（1）'!C7</f>
        <v>总价（万元）</v>
      </c>
    </row>
    <row r="21" spans="1:2">
      <c r="A21" s="2851" t="s">
        <v>2682</v>
      </c>
      <c r="B21" s="2838">
        <f ca="1">'预评函-2（1）'!D9</f>
        <v>41680</v>
      </c>
    </row>
    <row r="22" spans="1:2">
      <c r="A22" s="2851" t="s">
        <v>2683</v>
      </c>
      <c r="B22" s="2838" t="str">
        <f ca="1">'预评函-2（1）'!D8</f>
        <v>伍佰壹拾陆万元整</v>
      </c>
    </row>
    <row r="23" spans="1:2">
      <c r="A23" s="2851" t="s">
        <v>2728</v>
      </c>
      <c r="B23" s="2838">
        <f>'预评函-2（1）'!D10</f>
        <v>0</v>
      </c>
    </row>
    <row r="24" spans="1:2">
      <c r="A24" s="2851" t="s">
        <v>2729</v>
      </c>
      <c r="B24" s="2838" t="str">
        <f>'预评函-2（1）'!C10</f>
        <v>总额（万元）</v>
      </c>
    </row>
    <row r="25" spans="1:2">
      <c r="A25" s="2851" t="s">
        <v>2684</v>
      </c>
      <c r="B25" s="2838" t="str">
        <f>'预评函-2（1）'!D11</f>
        <v>零元整</v>
      </c>
    </row>
    <row r="26" spans="1:2">
      <c r="A26" s="2851" t="s">
        <v>2685</v>
      </c>
      <c r="B26" s="2838">
        <f>'预评函-2（1）'!D12</f>
        <v>0</v>
      </c>
    </row>
    <row r="27" spans="1:2">
      <c r="A27" s="2851" t="s">
        <v>2686</v>
      </c>
      <c r="B27" s="2838">
        <f>'预评函-2（1）'!D13</f>
        <v>0</v>
      </c>
    </row>
    <row r="28" spans="1:2">
      <c r="A28" s="2851" t="s">
        <v>2687</v>
      </c>
      <c r="B28" s="2838">
        <f>'预评函-2（1）'!D14</f>
        <v>0</v>
      </c>
    </row>
    <row r="29" spans="1:2">
      <c r="A29" s="2851" t="s">
        <v>2688</v>
      </c>
      <c r="B29" s="2838" t="str">
        <f>'预评函-2（1）'!D15</f>
        <v>——</v>
      </c>
    </row>
    <row r="30" spans="1:2">
      <c r="A30" s="2851" t="s">
        <v>2689</v>
      </c>
      <c r="B30" s="2838" t="e">
        <f>'预评函-2（1）'!D16</f>
        <v>#VALUE!</v>
      </c>
    </row>
    <row r="31" spans="1:2">
      <c r="A31" s="2851" t="s">
        <v>2690</v>
      </c>
      <c r="B31" s="2838">
        <f ca="1">'预评函-2（1）'!D18</f>
        <v>516</v>
      </c>
    </row>
    <row r="32" spans="1:2">
      <c r="A32" s="2851" t="s">
        <v>2691</v>
      </c>
      <c r="B32" s="2838" t="str">
        <f ca="1">'预评函-2（1）'!D19</f>
        <v>伍佰壹拾陆万元整</v>
      </c>
    </row>
    <row r="33" spans="1:2">
      <c r="A33" s="2851" t="s">
        <v>2692</v>
      </c>
      <c r="B33" s="2838" t="str">
        <f>'预评函-2（1）'!D21</f>
        <v>——</v>
      </c>
    </row>
    <row r="34" spans="1:2">
      <c r="A34" s="2851" t="s">
        <v>2693</v>
      </c>
      <c r="B34" s="2838" t="e">
        <f ca="1">'预评函-2（1）'!D23</f>
        <v>#VALUE!</v>
      </c>
    </row>
    <row r="35" spans="1:2">
      <c r="A35" s="2851" t="s">
        <v>2694</v>
      </c>
      <c r="B35" s="2838" t="e">
        <f>'预评函-2（1）'!D22</f>
        <v>#VALUE!</v>
      </c>
    </row>
    <row r="36" spans="1:2">
      <c r="A36" s="2851" t="s">
        <v>2695</v>
      </c>
      <c r="B36" s="2838">
        <f>'预评函-2（2）'!C4</f>
        <v>0</v>
      </c>
    </row>
    <row r="37" spans="1:2">
      <c r="A37" s="2851" t="s">
        <v>2696</v>
      </c>
      <c r="B37" s="2838">
        <f ca="1">'预评函-2（2）'!D4</f>
        <v>482</v>
      </c>
    </row>
    <row r="38" spans="1:2">
      <c r="A38" s="2851" t="s">
        <v>2697</v>
      </c>
      <c r="B38" s="2838">
        <f ca="1">'预评函-2（2）'!E4</f>
        <v>38934</v>
      </c>
    </row>
    <row r="39" spans="1:2">
      <c r="A39" s="2851" t="s">
        <v>2698</v>
      </c>
      <c r="B39" s="2838" t="str">
        <f ca="1">'预评函-2（2）'!D5</f>
        <v>肆佰捌拾贰万元整</v>
      </c>
    </row>
    <row r="40" spans="1:2">
      <c r="A40" s="2851" t="s">
        <v>2699</v>
      </c>
      <c r="B40" s="2838">
        <f ca="1">'预评函-2（2）'!F4</f>
        <v>34</v>
      </c>
    </row>
    <row r="41" spans="1:2">
      <c r="A41" s="2851" t="s">
        <v>2700</v>
      </c>
      <c r="B41" s="2838">
        <f ca="1">'预评函-2（2）'!G4</f>
        <v>2746</v>
      </c>
    </row>
    <row r="42" spans="1:2" s="2848" customFormat="1" ht="15.75" thickBot="1">
      <c r="A42" s="2852" t="s">
        <v>2701</v>
      </c>
      <c r="B42" s="2840" t="str">
        <f ca="1">'预评函-2（2）'!F5</f>
        <v>叁拾肆万元整</v>
      </c>
    </row>
    <row r="43" spans="1:2" ht="15.75" thickTop="1">
      <c r="A43" s="2849" t="s">
        <v>2702</v>
      </c>
      <c r="B43" s="2841" t="str">
        <f>'预评函-3'!A13</f>
        <v>2.本次评估设定估价对象房地产权属无争议，未被查封或者以其他形式限制其房地产权利，未设定抵押权等他项权利，不涉及第三方权利义务。</v>
      </c>
    </row>
    <row r="44" spans="1:2">
      <c r="A44" s="2851" t="s">
        <v>2703</v>
      </c>
      <c r="B44" s="2838" t="str">
        <f>'预评函-3'!A14</f>
        <v>——</v>
      </c>
    </row>
    <row r="45" spans="1:2">
      <c r="A45" s="2851" t="s">
        <v>2704</v>
      </c>
      <c r="B45" s="2838" t="str">
        <f>'预评函-3'!A15</f>
        <v>——</v>
      </c>
    </row>
    <row r="46" spans="1:2">
      <c r="A46" s="2851" t="s">
        <v>2705</v>
      </c>
      <c r="B46" s="2838" t="str">
        <f>'预评函-3'!A16</f>
        <v>——</v>
      </c>
    </row>
    <row r="47" spans="1:2">
      <c r="A47" s="2851" t="s">
        <v>2706</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2725</v>
      </c>
      <c r="B48" s="2838" t="str">
        <f>'预评函-3'!A18</f>
        <v>——</v>
      </c>
    </row>
    <row r="49" spans="1:2">
      <c r="A49" s="2851" t="s">
        <v>2707</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2708</v>
      </c>
      <c r="B50" s="2838" t="str">
        <f>'预评函-3'!A20</f>
        <v>6.其他需特殊说明事项：无（注意修改序号）</v>
      </c>
    </row>
    <row r="51" spans="1:2" s="2848" customFormat="1" thickBot="1">
      <c r="A51" s="2852" t="s">
        <v>2709</v>
      </c>
      <c r="B51" s="2845">
        <f>'预评函-3'!D29</f>
        <v>42551</v>
      </c>
    </row>
    <row r="52" spans="1:2" ht="15.75" thickTop="1">
      <c r="A52" s="2849" t="s">
        <v>2710</v>
      </c>
      <c r="B52" s="2844" t="str">
        <f>'预评函-3'!A4</f>
        <v>注册房地产估价师</v>
      </c>
    </row>
    <row r="53" spans="1:2">
      <c r="A53" s="2851" t="s">
        <v>2711</v>
      </c>
      <c r="B53" s="2838">
        <f>'预评函-3'!B4</f>
        <v>0</v>
      </c>
    </row>
    <row r="54" spans="1:2">
      <c r="A54" s="2851" t="s">
        <v>2712</v>
      </c>
      <c r="B54" s="2842" t="str">
        <f>'预评函-3'!A5</f>
        <v>注册房地产估价师</v>
      </c>
    </row>
    <row r="55" spans="1:2" s="2848" customFormat="1" ht="15.75" thickBot="1">
      <c r="A55" s="2852" t="s">
        <v>2713</v>
      </c>
      <c r="B55" s="2840">
        <f>'预评函-3'!B5</f>
        <v>0</v>
      </c>
    </row>
    <row r="56" spans="1:2" ht="15.75" thickTop="1">
      <c r="A56" s="2854" t="s">
        <v>2730</v>
      </c>
      <c r="B56" s="2838" t="str">
        <f>'预评函-2（1）'!B15</f>
        <v>——</v>
      </c>
    </row>
    <row r="57" spans="1:2">
      <c r="A57" s="2854" t="s">
        <v>2731</v>
      </c>
      <c r="B57" s="2838" t="str">
        <f>'预评函-2（1）'!B18</f>
        <v>3.抵押担保权已注销时的房地产抵押价值</v>
      </c>
    </row>
    <row r="58" spans="1:2" s="2848" customFormat="1" ht="15.75" thickBot="1">
      <c r="A58" s="2855" t="s">
        <v>2732</v>
      </c>
      <c r="B58" s="2839" t="str">
        <f>'预评函-2（1）'!B21</f>
        <v>——</v>
      </c>
    </row>
    <row r="59" spans="1:2" ht="15.75" thickTop="1">
      <c r="A59" s="2856" t="s">
        <v>2735</v>
      </c>
      <c r="B59" s="2836" t="str">
        <f>'预评函-2（1）'!B45</f>
        <v>单位：万元、元/平方米（单位：人民币）</v>
      </c>
    </row>
    <row r="60" spans="1:2">
      <c r="A60" s="2854" t="s">
        <v>2736</v>
      </c>
      <c r="B60" s="2838" t="str">
        <f>'预评函-2（2）'!D2</f>
        <v>出让国有建设用地使用权价值</v>
      </c>
    </row>
    <row r="61" spans="1:2" s="2850" customFormat="1">
      <c r="A61" s="2854" t="s">
        <v>2737</v>
      </c>
      <c r="B61" s="2838" t="str">
        <f>'预评函-2（2）'!A14</f>
        <v>单位：平方米、万元、元/平方米（币种：人民币）</v>
      </c>
    </row>
    <row r="62" spans="1:2" ht="28.5">
      <c r="A62" s="2854" t="s">
        <v>2901</v>
      </c>
      <c r="B62" s="2838" t="e">
        <f ca="1">'预评函-2（1）'!D38</f>
        <v>#VALUE!</v>
      </c>
    </row>
    <row r="63" spans="1:2" s="2850" customFormat="1" ht="28.5">
      <c r="A63" s="2854" t="s">
        <v>2902</v>
      </c>
      <c r="B63" s="2838">
        <f ca="1">'预评函-2（1）'!D41</f>
        <v>41680</v>
      </c>
    </row>
    <row r="64" spans="1:2">
      <c r="A64" s="2854" t="s">
        <v>2759</v>
      </c>
      <c r="B64" s="2838" t="str">
        <f>'预评函-2（2）'!A6</f>
        <v>估价师所知悉的法定优先受偿款</v>
      </c>
    </row>
    <row r="65" spans="1:2">
      <c r="A65" s="2854" t="s">
        <v>2760</v>
      </c>
      <c r="B65" s="2838" t="str">
        <f>'预评函-2（2）'!A8</f>
        <v/>
      </c>
    </row>
    <row r="66" spans="1:2">
      <c r="A66" s="2854" t="s">
        <v>2761</v>
      </c>
      <c r="B66" s="2838" t="str">
        <f>'预评函-2（2）'!A10</f>
        <v>抵押担保权已注销时的房地产抵押价值</v>
      </c>
    </row>
    <row r="67" spans="1:2" s="2848" customFormat="1" ht="15.75" thickBot="1">
      <c r="A67" s="2855" t="s">
        <v>2762</v>
      </c>
      <c r="B67" s="2839" t="str">
        <f>'预评函-2（2）'!A12</f>
        <v/>
      </c>
    </row>
    <row r="68" spans="1:2" ht="15.75" thickTop="1">
      <c r="A68" s="2857" t="s">
        <v>2766</v>
      </c>
      <c r="B68" s="2843" t="str">
        <f>'预评函-3'!A9</f>
        <v>XX</v>
      </c>
    </row>
    <row r="69" spans="1:2">
      <c r="A69" s="2851" t="s">
        <v>2900</v>
      </c>
    </row>
    <row r="70" spans="1:2">
      <c r="A70" s="2851" t="s">
        <v>2899</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9" sqref="C9"/>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1862</v>
      </c>
      <c r="B1" s="1824" t="str">
        <f>IF(B6="北京市","北京市",C6)&amp;IF(E12="房屋所有权证",B28,E28)&amp;D5&amp;"预评估"</f>
        <v>北京市海淀区车公庄西路乙19号房地产抵押价值预评估</v>
      </c>
      <c r="C1" s="1825"/>
      <c r="D1" s="1826"/>
      <c r="E1" s="1827"/>
      <c r="F1" s="2819" t="s">
        <v>1910</v>
      </c>
      <c r="G1" s="2820"/>
      <c r="I1" s="1026" t="str">
        <f>IF(B6="北京市","北京市",C6)&amp;IF(E12="房屋所有权证",B28,E28)&amp;"房地产"</f>
        <v>北京市海淀区车公庄西路乙19号房地产</v>
      </c>
    </row>
    <row r="2" spans="1:15" ht="13.5" thickTop="1">
      <c r="A2" s="2821" t="s">
        <v>1982</v>
      </c>
      <c r="B2" s="1876">
        <v>42992</v>
      </c>
      <c r="C2" s="1828" t="s">
        <v>1983</v>
      </c>
      <c r="D2" s="1876">
        <f>B2</f>
        <v>42992</v>
      </c>
      <c r="E2" s="1829"/>
      <c r="F2" s="1829"/>
      <c r="G2" s="2822"/>
      <c r="H2" s="1722"/>
    </row>
    <row r="3" spans="1:15" ht="13.5" thickBot="1">
      <c r="A3" s="2823" t="s">
        <v>1995</v>
      </c>
      <c r="B3" s="1831" t="s">
        <v>1986</v>
      </c>
      <c r="C3" s="1832">
        <f>SUMIF(注册房地产估价师,B3,估价师及机构信息!B3:B24)</f>
        <v>0</v>
      </c>
      <c r="D3" s="1831" t="s">
        <v>1986</v>
      </c>
      <c r="E3" s="1833">
        <f>SUMIF(注册房地产估价师,D3,估价师及机构信息!B3:B24)</f>
        <v>0</v>
      </c>
      <c r="F3" s="1834"/>
      <c r="G3" s="2824"/>
      <c r="H3" s="1722"/>
    </row>
    <row r="4" spans="1:15" ht="13.5" customHeight="1" thickTop="1">
      <c r="A4" s="2825" t="s">
        <v>1892</v>
      </c>
      <c r="B4" s="1835" t="s">
        <v>2914</v>
      </c>
      <c r="C4" s="1836" t="s">
        <v>1894</v>
      </c>
      <c r="D4" s="1837"/>
      <c r="E4" s="1829"/>
      <c r="F4" s="1829"/>
      <c r="G4" s="2822"/>
    </row>
    <row r="5" spans="1:15">
      <c r="A5" s="2826" t="s">
        <v>1893</v>
      </c>
      <c r="B5" s="1716"/>
      <c r="C5" s="1659" t="s">
        <v>1895</v>
      </c>
      <c r="D5" s="1846" t="s">
        <v>2915</v>
      </c>
      <c r="E5" s="1859" t="s">
        <v>2006</v>
      </c>
      <c r="F5" s="1703" t="s">
        <v>2916</v>
      </c>
      <c r="G5" s="1815"/>
      <c r="I5" s="1026" t="str">
        <f>IF(C16="否","截至估价时点，估价对象抵押权未见登记。","截至价值时点，估价对象已设定抵押。")</f>
        <v>截至价值时点，估价对象已设定抵押。</v>
      </c>
    </row>
    <row r="6" spans="1:15" ht="24">
      <c r="A6" s="2827" t="s">
        <v>1825</v>
      </c>
      <c r="B6" s="1091" t="s">
        <v>2918</v>
      </c>
      <c r="C6" s="1667" t="s">
        <v>2919</v>
      </c>
      <c r="D6" s="1668" t="s">
        <v>1897</v>
      </c>
      <c r="E6" s="1724"/>
      <c r="F6" s="1723"/>
      <c r="G6" s="1854"/>
      <c r="I6" s="1868" t="str">
        <f>IF(COUNTIF(B5,"*上海银行*"),"上海银行","")</f>
        <v/>
      </c>
    </row>
    <row r="7" spans="1:15" ht="13.5" thickBot="1">
      <c r="A7" s="2823" t="s">
        <v>1826</v>
      </c>
      <c r="B7" s="1838" t="s">
        <v>2917</v>
      </c>
      <c r="C7" s="1839" t="str">
        <f>IF(B7="自然人","姓名","名称")</f>
        <v>名称</v>
      </c>
      <c r="D7" s="1840"/>
      <c r="E7" s="1841"/>
      <c r="F7" s="1834"/>
      <c r="G7" s="2824"/>
    </row>
    <row r="8" spans="1:15" ht="26.25" thickTop="1">
      <c r="A8" s="3186" t="s">
        <v>1898</v>
      </c>
      <c r="B8" s="1795" t="s">
        <v>1899</v>
      </c>
      <c r="C8" s="3198"/>
      <c r="D8" s="3199"/>
      <c r="E8" s="1701" t="s">
        <v>1903</v>
      </c>
      <c r="F8" s="1695" t="s">
        <v>1896</v>
      </c>
      <c r="G8" s="978" t="str">
        <f>C6</f>
        <v>海淀区车公庄西路乙19号</v>
      </c>
    </row>
    <row r="9" spans="1:15">
      <c r="A9" s="3186"/>
      <c r="B9" s="1642" t="s">
        <v>1908</v>
      </c>
      <c r="C9" s="1716"/>
      <c r="D9" s="1718"/>
      <c r="E9" s="1696" t="s">
        <v>1797</v>
      </c>
      <c r="F9" s="1670"/>
      <c r="G9" s="1697"/>
    </row>
    <row r="10" spans="1:15" ht="13.5" thickBot="1">
      <c r="A10" s="3186"/>
      <c r="B10" s="1642" t="s">
        <v>1823</v>
      </c>
      <c r="C10" s="3200"/>
      <c r="D10" s="3201"/>
      <c r="E10" s="1698" t="s">
        <v>1798</v>
      </c>
      <c r="F10" s="1699"/>
      <c r="G10" s="1700"/>
    </row>
    <row r="11" spans="1:15" ht="13.5" thickBot="1">
      <c r="A11" s="3186"/>
      <c r="B11" s="1814" t="s">
        <v>1824</v>
      </c>
      <c r="C11" s="3202"/>
      <c r="D11" s="3203"/>
      <c r="E11" s="1724"/>
      <c r="F11" s="1723"/>
      <c r="G11" s="1854"/>
    </row>
    <row r="12" spans="1:15" ht="13.5" thickBot="1">
      <c r="A12" s="3189" t="s">
        <v>2292</v>
      </c>
      <c r="B12" s="1693" t="s">
        <v>2297</v>
      </c>
      <c r="C12" s="1704">
        <v>123.8</v>
      </c>
      <c r="D12" s="1693" t="s">
        <v>1891</v>
      </c>
      <c r="E12" s="1719" t="s">
        <v>2920</v>
      </c>
      <c r="F12" s="2659" t="s">
        <v>2898</v>
      </c>
      <c r="G12" s="1854"/>
    </row>
    <row r="13" spans="1:15" ht="21" customHeight="1" thickBot="1">
      <c r="A13" s="3190"/>
      <c r="B13" s="1694" t="s">
        <v>2298</v>
      </c>
      <c r="C13" s="1705"/>
      <c r="D13" s="1694" t="s">
        <v>1891</v>
      </c>
      <c r="E13" s="1706" t="s">
        <v>151</v>
      </c>
      <c r="F13" s="1723"/>
      <c r="G13" s="1854"/>
      <c r="I13" s="3176" t="s">
        <v>2003</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7" t="s">
        <v>1909</v>
      </c>
      <c r="C14" s="2658"/>
      <c r="D14" s="1720"/>
      <c r="E14" s="1720"/>
      <c r="F14" s="1723"/>
      <c r="G14" s="1854"/>
      <c r="I14" s="3176"/>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1889</v>
      </c>
      <c r="C15" s="1844"/>
      <c r="D15" s="1845"/>
      <c r="E15" s="1845"/>
      <c r="F15" s="1834"/>
      <c r="G15" s="2824"/>
      <c r="I15" s="3176"/>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1977</v>
      </c>
      <c r="B16" s="1819" t="s">
        <v>2000</v>
      </c>
      <c r="C16" s="1820"/>
      <c r="D16" s="1821" t="s">
        <v>2002</v>
      </c>
      <c r="E16" s="1822"/>
      <c r="F16" s="1848" t="str">
        <f>IF(AND(C16="是",E16="否"),"是否提供他项权证或相关说明","")</f>
        <v/>
      </c>
      <c r="G16" s="1822"/>
      <c r="J16" s="1026"/>
      <c r="K16" s="1867"/>
      <c r="L16" s="1867"/>
      <c r="M16" s="1867"/>
      <c r="O16" s="1868"/>
    </row>
    <row r="17" spans="1:15" ht="13.5" customHeight="1">
      <c r="A17" s="1813" t="s">
        <v>1978</v>
      </c>
      <c r="B17" s="3204" t="s">
        <v>1997</v>
      </c>
      <c r="C17" s="3205"/>
      <c r="D17" s="3206" t="s">
        <v>1998</v>
      </c>
      <c r="E17" s="3207"/>
      <c r="F17" s="3096" t="s">
        <v>1999</v>
      </c>
      <c r="G17" s="3098"/>
      <c r="J17" s="1026"/>
    </row>
    <row r="18" spans="1:15" ht="24">
      <c r="A18" s="1813"/>
      <c r="B18" s="1877" t="s">
        <v>2896</v>
      </c>
      <c r="C18" s="1815" t="s">
        <v>1996</v>
      </c>
      <c r="D18" s="1817" t="s">
        <v>2004</v>
      </c>
      <c r="E18" s="1818" t="s">
        <v>1973</v>
      </c>
      <c r="F18" s="3097"/>
      <c r="G18" s="3099"/>
      <c r="H18" s="1722"/>
      <c r="J18" s="1026"/>
    </row>
    <row r="19" spans="1:15" ht="21.75" customHeight="1" thickBot="1">
      <c r="A19" s="1813"/>
      <c r="B19" s="1878"/>
      <c r="C19" s="1706"/>
      <c r="D19" s="1853"/>
      <c r="E19" s="1720"/>
      <c r="F19" s="1720"/>
      <c r="G19" s="3099"/>
    </row>
    <row r="20" spans="1:15">
      <c r="A20" s="3093" t="s">
        <v>2001</v>
      </c>
      <c r="B20" s="3092" t="s">
        <v>1969</v>
      </c>
      <c r="C20" s="1847"/>
      <c r="D20" s="1812" t="s">
        <v>1969</v>
      </c>
      <c r="E20" s="1847"/>
      <c r="F20" s="1720"/>
      <c r="G20" s="3099"/>
    </row>
    <row r="21" spans="1:15">
      <c r="A21" s="3094"/>
      <c r="B21" s="1786" t="s">
        <v>1970</v>
      </c>
      <c r="C21" s="3067"/>
      <c r="D21" s="1813" t="s">
        <v>1970</v>
      </c>
      <c r="E21" s="3089"/>
      <c r="F21" s="1723"/>
      <c r="G21" s="3100"/>
    </row>
    <row r="22" spans="1:15">
      <c r="A22" s="3094"/>
      <c r="B22" s="3081" t="s">
        <v>1971</v>
      </c>
      <c r="C22" s="3088"/>
      <c r="D22" s="3081" t="s">
        <v>1971</v>
      </c>
      <c r="E22" s="3089"/>
      <c r="F22" s="1723"/>
      <c r="G22" s="3100"/>
    </row>
    <row r="23" spans="1:15" s="3085" customFormat="1" ht="21" thickBot="1">
      <c r="A23" s="3095"/>
      <c r="B23" s="3087" t="s">
        <v>1972</v>
      </c>
      <c r="C23" s="3090"/>
      <c r="D23" s="3087" t="s">
        <v>1972</v>
      </c>
      <c r="E23" s="3091"/>
      <c r="F23" s="1723"/>
      <c r="G23" s="3100"/>
      <c r="H23" s="3082"/>
      <c r="I23" s="3068"/>
      <c r="J23" s="3083"/>
      <c r="K23" s="3084"/>
      <c r="L23" s="3084"/>
      <c r="M23" s="3084"/>
      <c r="O23" s="3086"/>
    </row>
    <row r="24" spans="1:15" ht="13.5" thickBot="1">
      <c r="A24" s="1851" t="s">
        <v>1868</v>
      </c>
      <c r="B24" s="1723"/>
      <c r="C24" s="1723"/>
      <c r="D24" s="1723"/>
      <c r="E24" s="1723"/>
      <c r="F24" s="1723"/>
      <c r="G24" s="3101"/>
      <c r="I24" s="1029"/>
      <c r="K24" s="1850"/>
    </row>
    <row r="25" spans="1:15" s="1869" customFormat="1" ht="13.5" thickBot="1">
      <c r="A25" s="1669"/>
      <c r="B25" s="1787" t="s">
        <v>1974</v>
      </c>
      <c r="C25" s="1669"/>
      <c r="D25" s="1702"/>
      <c r="E25" s="1709" t="s">
        <v>1900</v>
      </c>
      <c r="F25" s="1669"/>
      <c r="G25" s="1788" t="s">
        <v>1975</v>
      </c>
      <c r="I25" s="1895"/>
      <c r="J25" s="1895"/>
      <c r="L25" s="1870"/>
      <c r="M25" s="1870"/>
      <c r="O25" s="1871"/>
    </row>
    <row r="26" spans="1:15" s="1869" customFormat="1" ht="13.5" thickBot="1">
      <c r="A26" s="1669"/>
      <c r="B26" s="1879" t="s">
        <v>2921</v>
      </c>
      <c r="C26" s="1669"/>
      <c r="D26" s="1702"/>
      <c r="E26" s="1879"/>
      <c r="F26" s="1669"/>
      <c r="G26" s="2828"/>
      <c r="I26" s="1895"/>
      <c r="J26" s="1895"/>
      <c r="L26" s="1870"/>
      <c r="M26" s="1870"/>
      <c r="O26" s="1871"/>
    </row>
    <row r="27" spans="1:15" ht="24.75" thickBot="1">
      <c r="A27" s="1684" t="s">
        <v>1869</v>
      </c>
      <c r="B27" s="3119" t="s">
        <v>2923</v>
      </c>
      <c r="C27" s="3192" t="s">
        <v>1901</v>
      </c>
      <c r="D27" s="3193"/>
      <c r="E27" s="1681"/>
      <c r="F27" s="1692" t="s">
        <v>1869</v>
      </c>
      <c r="G27" s="1681"/>
      <c r="I27" s="1029"/>
      <c r="K27" s="1850"/>
    </row>
    <row r="28" spans="1:15" ht="24.75">
      <c r="A28" s="1686" t="s">
        <v>1828</v>
      </c>
      <c r="B28" s="1681" t="s">
        <v>2922</v>
      </c>
      <c r="C28" s="3194" t="s">
        <v>1816</v>
      </c>
      <c r="D28" s="3195"/>
      <c r="E28" s="1721"/>
      <c r="F28" s="2817" t="s">
        <v>1829</v>
      </c>
      <c r="G28" s="1633"/>
      <c r="I28" s="1029"/>
      <c r="K28" s="1850"/>
    </row>
    <row r="29" spans="1:15">
      <c r="A29" s="1686" t="s">
        <v>1827</v>
      </c>
      <c r="B29" s="1721" t="s">
        <v>2924</v>
      </c>
      <c r="C29" s="3194" t="s">
        <v>1814</v>
      </c>
      <c r="D29" s="3195"/>
      <c r="E29" s="1633"/>
      <c r="F29" s="2817" t="s">
        <v>1830</v>
      </c>
      <c r="G29" s="1633"/>
      <c r="I29" s="1029"/>
      <c r="K29" s="1850"/>
    </row>
    <row r="30" spans="1:15">
      <c r="A30" s="1685" t="s">
        <v>1842</v>
      </c>
      <c r="B30" s="1721" t="s">
        <v>2925</v>
      </c>
      <c r="C30" s="3183" t="s">
        <v>1817</v>
      </c>
      <c r="D30" s="1715"/>
      <c r="E30" s="1725" t="str">
        <f>E31&amp;" "&amp;E32&amp;" "&amp;E33&amp;" "&amp;E34</f>
        <v xml:space="preserve">   </v>
      </c>
      <c r="F30" s="2817" t="s">
        <v>1832</v>
      </c>
      <c r="G30" s="1633"/>
    </row>
    <row r="31" spans="1:15">
      <c r="A31" s="1686" t="s">
        <v>1831</v>
      </c>
      <c r="B31" s="1633"/>
      <c r="C31" s="3184"/>
      <c r="D31" s="1691" t="s">
        <v>1843</v>
      </c>
      <c r="E31" s="1633"/>
      <c r="F31" s="2817" t="s">
        <v>1834</v>
      </c>
      <c r="G31" s="1633"/>
    </row>
    <row r="32" spans="1:15" ht="24.75" thickBot="1">
      <c r="A32" s="1687" t="s">
        <v>1833</v>
      </c>
      <c r="B32" s="1682"/>
      <c r="C32" s="3184"/>
      <c r="D32" s="1691" t="s">
        <v>1844</v>
      </c>
      <c r="E32" s="1633"/>
      <c r="F32" s="2817" t="s">
        <v>1835</v>
      </c>
      <c r="G32" s="1633"/>
    </row>
    <row r="33" spans="1:7">
      <c r="A33" s="1708" t="s">
        <v>1841</v>
      </c>
      <c r="B33" s="1681"/>
      <c r="C33" s="3184"/>
      <c r="D33" s="1691" t="s">
        <v>1845</v>
      </c>
      <c r="E33" s="1633"/>
      <c r="F33" s="2817" t="s">
        <v>1837</v>
      </c>
      <c r="G33" s="1633"/>
    </row>
    <row r="34" spans="1:7" ht="13.5" thickBot="1">
      <c r="A34" s="1686" t="s">
        <v>1870</v>
      </c>
      <c r="B34" s="1721"/>
      <c r="C34" s="3185"/>
      <c r="D34" s="1691" t="s">
        <v>1846</v>
      </c>
      <c r="E34" s="1633"/>
      <c r="F34" s="2818" t="s">
        <v>1839</v>
      </c>
      <c r="G34" s="1683"/>
    </row>
    <row r="35" spans="1:7">
      <c r="A35" s="1686" t="s">
        <v>1838</v>
      </c>
      <c r="B35" s="1633"/>
      <c r="C35" s="3194" t="s">
        <v>1818</v>
      </c>
      <c r="D35" s="3195"/>
      <c r="E35" s="1633"/>
      <c r="F35" s="1710" t="s">
        <v>1871</v>
      </c>
      <c r="G35" s="1681"/>
    </row>
    <row r="36" spans="1:7" ht="24.75" thickBot="1">
      <c r="A36" s="1686" t="s">
        <v>1872</v>
      </c>
      <c r="B36" s="1633"/>
      <c r="C36" s="3196" t="s">
        <v>1819</v>
      </c>
      <c r="D36" s="3197"/>
      <c r="E36" s="1682"/>
      <c r="F36" s="2816" t="s">
        <v>1873</v>
      </c>
      <c r="G36" s="1633"/>
    </row>
    <row r="37" spans="1:7" ht="13.5" thickBot="1">
      <c r="A37" s="1686" t="s">
        <v>1874</v>
      </c>
      <c r="B37" s="1633"/>
      <c r="C37" s="3181" t="s">
        <v>1820</v>
      </c>
      <c r="D37" s="2815" t="s">
        <v>1852</v>
      </c>
      <c r="E37" s="1681"/>
      <c r="F37" s="2818" t="s">
        <v>1875</v>
      </c>
      <c r="G37" s="1682"/>
    </row>
    <row r="38" spans="1:7">
      <c r="A38" s="1686" t="s">
        <v>1836</v>
      </c>
      <c r="B38" s="1633"/>
      <c r="C38" s="3187"/>
      <c r="D38" s="1691" t="s">
        <v>1853</v>
      </c>
      <c r="E38" s="1633"/>
      <c r="F38" s="1692" t="s">
        <v>1880</v>
      </c>
      <c r="G38" s="1681"/>
    </row>
    <row r="39" spans="1:7">
      <c r="A39" s="1686" t="s">
        <v>1877</v>
      </c>
      <c r="B39" s="1633"/>
      <c r="C39" s="3187" t="s">
        <v>1902</v>
      </c>
      <c r="D39" s="1691" t="s">
        <v>1850</v>
      </c>
      <c r="E39" s="1633"/>
      <c r="F39" s="2817" t="s">
        <v>1883</v>
      </c>
      <c r="G39" s="1633"/>
    </row>
    <row r="40" spans="1:7" ht="24.75" customHeight="1" thickBot="1">
      <c r="A40" s="1687" t="s">
        <v>1879</v>
      </c>
      <c r="B40" s="1682"/>
      <c r="C40" s="3188"/>
      <c r="D40" s="2814" t="s">
        <v>1851</v>
      </c>
      <c r="E40" s="1682"/>
      <c r="F40" s="2818" t="s">
        <v>1885</v>
      </c>
      <c r="G40" s="1682"/>
    </row>
    <row r="41" spans="1:7">
      <c r="A41" s="1690" t="s">
        <v>1882</v>
      </c>
      <c r="B41" s="1789"/>
      <c r="C41" s="3177" t="s">
        <v>1822</v>
      </c>
      <c r="D41" s="3178"/>
      <c r="E41" s="1789"/>
      <c r="F41" s="1692" t="s">
        <v>1876</v>
      </c>
      <c r="G41" s="1789"/>
    </row>
    <row r="42" spans="1:7">
      <c r="A42" s="1783" t="s">
        <v>1976</v>
      </c>
      <c r="B42" s="1790"/>
      <c r="C42" s="1777"/>
      <c r="D42" s="1781"/>
      <c r="E42" s="1790"/>
      <c r="F42" s="1782"/>
      <c r="G42" s="1790"/>
    </row>
    <row r="43" spans="1:7">
      <c r="A43" s="1784" t="s">
        <v>1969</v>
      </c>
      <c r="B43" s="1780"/>
      <c r="C43" s="1777"/>
      <c r="D43" s="1785" t="s">
        <v>1969</v>
      </c>
      <c r="E43" s="1780"/>
      <c r="F43" s="1784" t="s">
        <v>1969</v>
      </c>
      <c r="G43" s="1780"/>
    </row>
    <row r="44" spans="1:7">
      <c r="A44" s="1784" t="s">
        <v>1970</v>
      </c>
      <c r="B44" s="1780"/>
      <c r="C44" s="1777"/>
      <c r="D44" s="1786" t="s">
        <v>1970</v>
      </c>
      <c r="E44" s="1780"/>
      <c r="F44" s="1784" t="s">
        <v>1970</v>
      </c>
      <c r="G44" s="1780"/>
    </row>
    <row r="45" spans="1:7">
      <c r="A45" s="1784" t="s">
        <v>1971</v>
      </c>
      <c r="B45" s="1780"/>
      <c r="C45" s="1777"/>
      <c r="D45" s="1786" t="s">
        <v>1971</v>
      </c>
      <c r="E45" s="1780"/>
      <c r="F45" s="1784" t="s">
        <v>1971</v>
      </c>
      <c r="G45" s="1780"/>
    </row>
    <row r="46" spans="1:7">
      <c r="A46" s="1784" t="s">
        <v>1972</v>
      </c>
      <c r="B46" s="1780"/>
      <c r="C46" s="1777"/>
      <c r="D46" s="1786" t="s">
        <v>1972</v>
      </c>
      <c r="E46" s="1780"/>
      <c r="F46" s="1784" t="s">
        <v>1972</v>
      </c>
      <c r="G46" s="1780"/>
    </row>
    <row r="47" spans="1:7">
      <c r="A47" s="1779"/>
      <c r="B47" s="1780"/>
      <c r="C47" s="1777"/>
      <c r="D47" s="1781"/>
      <c r="E47" s="1780"/>
      <c r="F47" s="1782"/>
      <c r="G47" s="1780"/>
    </row>
    <row r="48" spans="1:7" ht="13.5" thickBot="1">
      <c r="A48" s="1687" t="s">
        <v>1884</v>
      </c>
      <c r="B48" s="1707"/>
      <c r="C48" s="3179" t="s">
        <v>1815</v>
      </c>
      <c r="D48" s="3180"/>
      <c r="E48" s="1776"/>
      <c r="F48" s="2818" t="s">
        <v>1878</v>
      </c>
      <c r="G48" s="1682"/>
    </row>
    <row r="49" spans="1:15">
      <c r="A49" s="1686" t="s">
        <v>1881</v>
      </c>
      <c r="B49" s="1775"/>
      <c r="C49" s="3181" t="s">
        <v>1847</v>
      </c>
      <c r="D49" s="3182"/>
      <c r="E49" s="1778"/>
      <c r="F49" s="1872"/>
      <c r="G49" s="1873"/>
    </row>
    <row r="50" spans="1:15" ht="13.5" thickBot="1">
      <c r="A50" s="1688" t="s">
        <v>1840</v>
      </c>
      <c r="B50" s="1775"/>
      <c r="C50" s="3188" t="s">
        <v>1821</v>
      </c>
      <c r="D50" s="3191"/>
      <c r="E50" s="1682"/>
      <c r="F50" s="1723"/>
      <c r="G50" s="1854"/>
    </row>
    <row r="51" spans="1:15">
      <c r="A51" s="1688" t="s">
        <v>1849</v>
      </c>
      <c r="B51" s="1633"/>
      <c r="C51" s="1723"/>
      <c r="D51" s="1723"/>
      <c r="E51" s="1723"/>
      <c r="F51" s="1723"/>
      <c r="G51" s="1854"/>
    </row>
    <row r="52" spans="1:15" ht="24.75" thickBot="1">
      <c r="A52" s="1689" t="s">
        <v>1848</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46" t="s">
        <v>2</v>
      </c>
      <c r="B1" s="3146" t="s">
        <v>22</v>
      </c>
      <c r="C1" s="3146" t="s">
        <v>23</v>
      </c>
      <c r="D1" s="3208" t="s">
        <v>207</v>
      </c>
      <c r="E1" s="3208" t="s">
        <v>208</v>
      </c>
      <c r="F1" s="3208"/>
      <c r="G1" s="3208"/>
      <c r="H1" s="3208"/>
      <c r="I1" s="3208"/>
      <c r="J1" s="3208"/>
      <c r="K1" s="3208"/>
      <c r="L1" s="3208"/>
      <c r="M1" s="3208"/>
    </row>
    <row r="2" spans="1:13" ht="27" customHeight="1">
      <c r="A2" s="3146"/>
      <c r="B2" s="3146"/>
      <c r="C2" s="3146"/>
      <c r="D2" s="3208"/>
      <c r="E2" s="3208" t="s">
        <v>191</v>
      </c>
      <c r="F2" s="3208" t="s">
        <v>192</v>
      </c>
      <c r="G2" s="3208"/>
      <c r="H2" s="3208"/>
      <c r="I2" s="3208"/>
      <c r="J2" s="3208" t="s">
        <v>193</v>
      </c>
      <c r="K2" s="3208"/>
      <c r="L2" s="3208"/>
      <c r="M2" s="3208"/>
    </row>
    <row r="3" spans="1:13" ht="28.5">
      <c r="A3" s="3146"/>
      <c r="B3" s="3146"/>
      <c r="C3" s="3146"/>
      <c r="D3" s="3208"/>
      <c r="E3" s="320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08" t="s">
        <v>209</v>
      </c>
      <c r="B9" s="3208"/>
      <c r="C9" s="320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42992</v>
      </c>
      <c r="C2" s="2078"/>
      <c r="D2" s="3209" t="s">
        <v>2285</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2203</v>
      </c>
      <c r="B3" s="2016" t="s">
        <v>2927</v>
      </c>
      <c r="C3" s="2078"/>
      <c r="D3" s="3210"/>
      <c r="E3" s="2041" t="s">
        <v>2895</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2204</v>
      </c>
      <c r="B4" s="2016" t="s">
        <v>2928</v>
      </c>
      <c r="C4" s="2078"/>
      <c r="D4" s="3210"/>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2289</v>
      </c>
      <c r="B5" s="2318">
        <f>项目基本情况!C12</f>
        <v>123.8</v>
      </c>
      <c r="C5" s="2078"/>
      <c r="D5" s="2042" t="s">
        <v>2286</v>
      </c>
      <c r="E5" s="611">
        <v>123.8</v>
      </c>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2288</v>
      </c>
      <c r="B6" s="2319">
        <f>项目基本情况!C13</f>
        <v>0</v>
      </c>
      <c r="C6" s="2078"/>
      <c r="D6" s="2042" t="s">
        <v>2287</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1" t="s">
        <v>2926</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2" t="s">
        <v>604</v>
      </c>
      <c r="B11" s="1653">
        <v>50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4" t="s">
        <v>605</v>
      </c>
      <c r="B12" s="2999"/>
      <c r="C12" s="2078"/>
      <c r="D12" s="27" t="s">
        <v>626</v>
      </c>
      <c r="E12" s="220">
        <v>220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5" t="s">
        <v>606</v>
      </c>
      <c r="B13" s="1656">
        <f>IF(B12="",B11-(YEAR($B$2)-B26+B23),ROUNDDOWN(MIN((B12-$B$2)/365,B11),2))</f>
        <v>31.5</v>
      </c>
      <c r="C13" s="2087"/>
      <c r="D13" s="176" t="s">
        <v>627</v>
      </c>
      <c r="E13" s="222"/>
      <c r="F13" s="3042" t="s">
        <v>2867</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4" t="s">
        <v>607</v>
      </c>
      <c r="B14" s="1657">
        <f>IF(ISERROR(ROUND(POWER(1+B15,B11-B13)*(POWER(1+B15,B13)-1)/(POWER(1+B15,B11)-1),3)),0,ROUND(POWER(1+B15,B11-B13)*(POWER(1+B15,B13)-1)/(POWER(1+B15,B11)-1),3))</f>
        <v>0.82499999999999996</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4"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4" t="s">
        <v>609</v>
      </c>
      <c r="B16" s="213">
        <v>0.05</v>
      </c>
      <c r="C16" s="2078"/>
      <c r="D16" s="29" t="s">
        <v>630</v>
      </c>
      <c r="E16" s="999">
        <v>0</v>
      </c>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8" t="s">
        <v>610</v>
      </c>
      <c r="B17" s="1671">
        <v>8.5000000000000006E-2</v>
      </c>
      <c r="C17" s="2078"/>
      <c r="D17" s="1643" t="s">
        <v>611</v>
      </c>
      <c r="E17" s="1644">
        <v>2500</v>
      </c>
      <c r="F17" s="2153"/>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5" t="str">
        <f>IF(B25=0,"建安总额","在建建安")</f>
        <v>建安总额</v>
      </c>
      <c r="E18" s="1646">
        <f>ROUND(B5*E17*IF(B25=0,1,E20),0)</f>
        <v>309500</v>
      </c>
      <c r="F18" s="2320">
        <f>ROUND(E5*E17*IF(B25=0,1,E20),0)</f>
        <v>309500</v>
      </c>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5" t="str">
        <f>IF(B25=0,"——","续建建安")</f>
        <v>——</v>
      </c>
      <c r="E19" s="1646" t="str">
        <f>IF(B25=0,"——",ROUND(B5*E17*(1-E20),0))</f>
        <v>——</v>
      </c>
      <c r="F19" s="2320" t="str">
        <f>IF(B25=0,"——",ROUND(E5*E17*(1-E20),0))</f>
        <v>——</v>
      </c>
      <c r="G19" s="2078"/>
      <c r="H19" s="2078"/>
      <c r="I19" s="2078"/>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7">
        <f>1-(2017-2000)/60</f>
        <v>0.71666666666666667</v>
      </c>
      <c r="F20" s="2153"/>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1.5</v>
      </c>
      <c r="C21" s="2078"/>
      <c r="D21" s="27" t="s">
        <v>631</v>
      </c>
      <c r="E21" s="1000">
        <v>0.03</v>
      </c>
      <c r="F21" s="3045" t="s">
        <v>2868</v>
      </c>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2519</v>
      </c>
      <c r="B22" s="2526">
        <v>1.5</v>
      </c>
      <c r="C22" s="2078"/>
      <c r="D22" s="27" t="s">
        <v>632</v>
      </c>
      <c r="E22" s="223">
        <v>0</v>
      </c>
      <c r="F22" s="3045" t="s">
        <v>2869</v>
      </c>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1.5</v>
      </c>
      <c r="C23" s="2078"/>
      <c r="D23" s="27" t="s">
        <v>633</v>
      </c>
      <c r="E23" s="220">
        <v>200</v>
      </c>
      <c r="F23" s="3045" t="s">
        <v>2870</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2517</v>
      </c>
      <c r="B24" s="2922">
        <f>B20+B22</f>
        <v>1.5</v>
      </c>
      <c r="C24" s="2078"/>
      <c r="D24" s="29" t="s">
        <v>634</v>
      </c>
      <c r="E24" s="3000">
        <v>1.4999999999999999E-2</v>
      </c>
      <c r="F24" s="3045" t="s">
        <v>2871</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2518</v>
      </c>
      <c r="B25" s="2523">
        <f>B21-B22</f>
        <v>0</v>
      </c>
      <c r="C25" s="2074"/>
      <c r="D25" s="26" t="s">
        <v>635</v>
      </c>
      <c r="E25" s="1000">
        <v>0.02</v>
      </c>
      <c r="F25" s="3045" t="s">
        <v>2872</v>
      </c>
      <c r="I25" s="2075"/>
      <c r="AE25" s="2074"/>
      <c r="AF25" s="2074"/>
      <c r="AG25" s="2074"/>
      <c r="AH25" s="2074"/>
      <c r="AI25" s="2074"/>
      <c r="AJ25" s="2074"/>
      <c r="AK25" s="2074"/>
      <c r="AL25" s="2074"/>
      <c r="AM25" s="2074"/>
      <c r="AN25" s="2074"/>
      <c r="AO25" s="2074"/>
    </row>
    <row r="26" spans="1:41" ht="15.75" thickBot="1">
      <c r="A26" s="1903" t="s">
        <v>2015</v>
      </c>
      <c r="B26" s="3120">
        <v>2000</v>
      </c>
      <c r="C26" s="2078"/>
      <c r="D26" s="27" t="s">
        <v>636</v>
      </c>
      <c r="E26" s="223">
        <v>0.02</v>
      </c>
      <c r="F26" s="3045" t="s">
        <v>2872</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2873</v>
      </c>
      <c r="G27" s="2080"/>
      <c r="H27" s="2080"/>
      <c r="K27" s="2078"/>
      <c r="N27" s="2078"/>
      <c r="AE27" s="2074"/>
      <c r="AF27" s="2074"/>
      <c r="AG27" s="2074"/>
      <c r="AH27" s="2074"/>
      <c r="AI27" s="2074"/>
      <c r="AJ27" s="2074"/>
      <c r="AK27" s="2074"/>
      <c r="AL27" s="2074"/>
      <c r="AM27" s="2074"/>
      <c r="AN27" s="2074"/>
      <c r="AO27" s="2074"/>
    </row>
    <row r="28" spans="1:41" ht="14.25" thickBot="1">
      <c r="A28" s="9" t="s">
        <v>1886</v>
      </c>
      <c r="B28" s="3007" t="s">
        <v>2929</v>
      </c>
      <c r="C28" s="2074"/>
      <c r="D28" s="1649" t="s">
        <v>612</v>
      </c>
      <c r="E28" s="1650">
        <v>0.15</v>
      </c>
      <c r="F28" s="3046"/>
      <c r="G28" s="2080"/>
      <c r="H28" s="2080"/>
      <c r="K28" s="2078"/>
      <c r="N28" s="2078"/>
      <c r="AE28" s="2074"/>
      <c r="AF28" s="2074"/>
      <c r="AG28" s="2074"/>
      <c r="AH28" s="2074"/>
      <c r="AI28" s="2074"/>
      <c r="AJ28" s="2074"/>
      <c r="AK28" s="2074"/>
      <c r="AL28" s="2074"/>
      <c r="AM28" s="2074"/>
      <c r="AN28" s="2074"/>
      <c r="AO28" s="2074"/>
    </row>
    <row r="29" spans="1:41" ht="14.25">
      <c r="A29" s="1654" t="str">
        <f>IF(B28="租赁期内按合同租金","合同租金","市场租金")</f>
        <v>市场租金</v>
      </c>
      <c r="B29" s="212">
        <v>6.5</v>
      </c>
      <c r="C29" s="2074"/>
      <c r="D29" s="175" t="s">
        <v>638</v>
      </c>
      <c r="E29" s="1648">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4" t="s">
        <v>2445</v>
      </c>
      <c r="B30" s="2487">
        <f ca="1">存贷款利率!I1</f>
        <v>1.4999999999999999E-2</v>
      </c>
      <c r="C30" s="2074"/>
      <c r="D30" s="1028" t="s">
        <v>639</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4" t="s">
        <v>613</v>
      </c>
      <c r="B31" s="213">
        <v>0.02</v>
      </c>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4" t="s">
        <v>614</v>
      </c>
      <c r="B32" s="213">
        <v>0.05</v>
      </c>
      <c r="C32" s="2074"/>
      <c r="D32" s="28" t="s">
        <v>641</v>
      </c>
      <c r="E32" s="226">
        <v>7.0000000000000007E-2</v>
      </c>
      <c r="F32" s="3040" t="s">
        <v>2874</v>
      </c>
      <c r="G32" s="2080"/>
      <c r="H32" s="2080"/>
      <c r="K32" s="2078"/>
      <c r="L32" s="2078"/>
      <c r="M32" s="2078"/>
      <c r="N32" s="2078"/>
      <c r="AE32" s="2074"/>
      <c r="AF32" s="2074"/>
      <c r="AG32" s="2074"/>
      <c r="AH32" s="2074"/>
      <c r="AI32" s="2074"/>
      <c r="AJ32" s="2074"/>
      <c r="AK32" s="2074"/>
      <c r="AL32" s="2074"/>
      <c r="AM32" s="2074"/>
      <c r="AN32" s="2074"/>
      <c r="AO32" s="2074"/>
    </row>
    <row r="33" spans="1:41" ht="14.25">
      <c r="A33" s="1654" t="s">
        <v>546</v>
      </c>
      <c r="B33" s="2422">
        <f>收益法!J54</f>
        <v>31.5</v>
      </c>
      <c r="C33" s="2074"/>
      <c r="D33" s="28" t="s">
        <v>642</v>
      </c>
      <c r="E33" s="224">
        <v>0.03</v>
      </c>
      <c r="F33" s="3039" t="s">
        <v>2875</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2"/>
      <c r="C34" s="2074"/>
      <c r="D34" s="28" t="s">
        <v>643</v>
      </c>
      <c r="E34" s="224">
        <v>0.02</v>
      </c>
      <c r="F34" s="3039" t="s">
        <v>2876</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4" t="s">
        <v>602</v>
      </c>
      <c r="B35" s="1661"/>
      <c r="C35" s="2074"/>
      <c r="D35" s="178" t="s">
        <v>644</v>
      </c>
      <c r="E35" s="227"/>
      <c r="F35" s="3047" t="s">
        <v>2877</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2" t="str">
        <f>IF(B28="租赁期内按合同租金","租金","——")</f>
        <v>——</v>
      </c>
      <c r="B36" s="1673"/>
      <c r="C36" s="2074"/>
      <c r="D36" s="177" t="s">
        <v>645</v>
      </c>
      <c r="E36" s="228">
        <v>0.03</v>
      </c>
      <c r="F36" s="3043" t="s">
        <v>2879</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4" t="str">
        <f>IF(B28="租赁期内按合同租金","年租金增长率","——")</f>
        <v>——</v>
      </c>
      <c r="B37" s="213"/>
      <c r="C37" s="2074"/>
      <c r="D37" s="29" t="s">
        <v>646</v>
      </c>
      <c r="E37" s="224">
        <v>5.0000000000000001E-4</v>
      </c>
      <c r="F37" s="3043" t="s">
        <v>2880</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4"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4"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18</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3" t="s">
        <v>1813</v>
      </c>
      <c r="B41" s="1674"/>
      <c r="C41" s="2074"/>
      <c r="D41" s="27" t="s">
        <v>650</v>
      </c>
      <c r="E41" s="12" t="s">
        <v>1381</v>
      </c>
      <c r="F41" s="3041" t="s">
        <v>2878</v>
      </c>
      <c r="G41" s="2090" t="s">
        <v>2866</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4" t="s">
        <v>2226</v>
      </c>
      <c r="B42" s="1660">
        <v>365</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4" t="s">
        <v>615</v>
      </c>
      <c r="B43" s="212"/>
      <c r="C43" s="2074"/>
      <c r="D43" s="13" t="s">
        <v>168</v>
      </c>
      <c r="E43" s="212">
        <v>24</v>
      </c>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4" t="s">
        <v>616</v>
      </c>
      <c r="B44" s="1675">
        <v>1.4999999999999999E-2</v>
      </c>
      <c r="C44" s="2153" t="s">
        <v>2382</v>
      </c>
      <c r="D44" s="13" t="s">
        <v>163</v>
      </c>
      <c r="E44" s="212">
        <v>18</v>
      </c>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4" t="s">
        <v>617</v>
      </c>
      <c r="B45" s="1676">
        <v>1.5E-3</v>
      </c>
      <c r="C45" s="2153" t="s">
        <v>2383</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9" t="s">
        <v>618</v>
      </c>
      <c r="B46" s="1677">
        <v>0.02</v>
      </c>
      <c r="C46" s="2153" t="s">
        <v>2384</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2862</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2863</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2864</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2865</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11" t="s">
        <v>667</v>
      </c>
      <c r="B1" s="3212"/>
      <c r="C1" s="3212"/>
      <c r="D1" s="3212"/>
      <c r="E1" s="3212"/>
      <c r="F1" s="3212"/>
      <c r="G1" s="3212"/>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668</v>
      </c>
      <c r="D2" s="1033"/>
      <c r="E2" s="1034"/>
      <c r="F2" s="1027"/>
      <c r="G2" s="1032" t="s">
        <v>669</v>
      </c>
      <c r="H2" s="2102"/>
      <c r="I2" s="2102"/>
      <c r="J2" s="2102"/>
      <c r="K2" s="2102"/>
      <c r="L2" s="2102"/>
      <c r="M2" s="2102"/>
      <c r="N2" s="2102"/>
      <c r="O2" s="2102"/>
      <c r="P2" s="2102"/>
      <c r="Q2" s="2102"/>
      <c r="R2" s="2102"/>
    </row>
    <row r="3" spans="1:29" ht="54">
      <c r="A3" s="879" t="s">
        <v>670</v>
      </c>
      <c r="B3" s="18" t="s">
        <v>37</v>
      </c>
      <c r="C3" s="3049" t="s">
        <v>671</v>
      </c>
      <c r="D3" s="2104"/>
      <c r="E3" s="888" t="s">
        <v>670</v>
      </c>
      <c r="F3" s="1035" t="s">
        <v>94</v>
      </c>
      <c r="G3" s="3053" t="s">
        <v>2882</v>
      </c>
      <c r="H3" s="2102"/>
      <c r="I3" s="2102"/>
      <c r="J3" s="2102"/>
      <c r="K3" s="2102"/>
      <c r="L3" s="2102"/>
      <c r="M3" s="2102"/>
      <c r="N3" s="2102"/>
      <c r="O3" s="2102"/>
      <c r="P3" s="2102"/>
      <c r="Q3" s="2102"/>
      <c r="R3" s="2102"/>
    </row>
    <row r="4" spans="1:29" ht="40.5">
      <c r="A4" s="888"/>
      <c r="B4" s="2066" t="s">
        <v>672</v>
      </c>
      <c r="C4" s="3050" t="s">
        <v>673</v>
      </c>
      <c r="D4" s="2104"/>
      <c r="E4" s="1036"/>
      <c r="F4" s="2071" t="s">
        <v>674</v>
      </c>
      <c r="G4" s="3051" t="s">
        <v>675</v>
      </c>
      <c r="H4" s="2102"/>
      <c r="I4" s="2102"/>
      <c r="J4" s="2102"/>
      <c r="K4" s="2102"/>
      <c r="L4" s="2102"/>
      <c r="M4" s="2102"/>
      <c r="N4" s="2102"/>
      <c r="O4" s="2102"/>
      <c r="P4" s="2102"/>
      <c r="Q4" s="2102"/>
      <c r="R4" s="2102"/>
    </row>
    <row r="5" spans="1:29" ht="40.5">
      <c r="A5" s="888"/>
      <c r="B5" s="2066" t="s">
        <v>676</v>
      </c>
      <c r="C5" s="3050" t="s">
        <v>677</v>
      </c>
      <c r="D5" s="2104"/>
      <c r="E5" s="1036"/>
      <c r="F5" s="2544" t="s">
        <v>2534</v>
      </c>
      <c r="G5" s="3051" t="s">
        <v>2536</v>
      </c>
      <c r="H5" s="2102"/>
      <c r="I5" s="2102"/>
      <c r="J5" s="2102"/>
      <c r="K5" s="2102"/>
      <c r="L5" s="2102"/>
      <c r="M5" s="2102"/>
      <c r="N5" s="2102"/>
      <c r="O5" s="2102"/>
      <c r="P5" s="2102"/>
      <c r="Q5" s="2102"/>
      <c r="R5" s="2102"/>
    </row>
    <row r="6" spans="1:29" ht="54">
      <c r="A6" s="888"/>
      <c r="B6" s="2066" t="s">
        <v>67</v>
      </c>
      <c r="C6" s="3051" t="s">
        <v>651</v>
      </c>
      <c r="D6" s="2104"/>
      <c r="E6" s="1036"/>
      <c r="F6" s="2544" t="s">
        <v>2535</v>
      </c>
      <c r="G6" s="3051" t="s">
        <v>2537</v>
      </c>
      <c r="H6" s="2102"/>
      <c r="I6" s="2102"/>
      <c r="J6" s="2102"/>
      <c r="K6" s="2102"/>
      <c r="L6" s="2102"/>
      <c r="M6" s="2102"/>
      <c r="N6" s="2102"/>
      <c r="O6" s="2102"/>
      <c r="P6" s="2102"/>
      <c r="Q6" s="2102"/>
      <c r="R6" s="2102"/>
    </row>
    <row r="7" spans="1:29" ht="41.25" thickBot="1">
      <c r="A7" s="888"/>
      <c r="B7" s="2066" t="s">
        <v>2534</v>
      </c>
      <c r="C7" s="3051" t="s">
        <v>2536</v>
      </c>
      <c r="D7" s="2105"/>
      <c r="E7" s="1037"/>
      <c r="F7" s="1038" t="s">
        <v>652</v>
      </c>
      <c r="G7" s="3054" t="s">
        <v>2881</v>
      </c>
      <c r="H7" s="2102"/>
      <c r="I7" s="2102"/>
      <c r="J7" s="2102"/>
      <c r="K7" s="2102"/>
      <c r="L7" s="2102"/>
      <c r="M7" s="2102"/>
      <c r="N7" s="2102"/>
      <c r="O7" s="2102"/>
      <c r="P7" s="2102"/>
      <c r="Q7" s="2102"/>
      <c r="R7" s="2102"/>
    </row>
    <row r="8" spans="1:29" ht="27">
      <c r="A8" s="888"/>
      <c r="B8" s="2544" t="s">
        <v>2535</v>
      </c>
      <c r="C8" s="3051" t="s">
        <v>2537</v>
      </c>
      <c r="D8" s="2105"/>
      <c r="E8" s="2105"/>
      <c r="F8" s="2106"/>
      <c r="G8" s="2106"/>
      <c r="H8" s="2102"/>
      <c r="I8" s="2102"/>
      <c r="J8" s="2102"/>
      <c r="K8" s="2102"/>
      <c r="L8" s="2102"/>
      <c r="M8" s="2102"/>
      <c r="N8" s="2102"/>
      <c r="O8" s="2102"/>
      <c r="P8" s="2102"/>
      <c r="Q8" s="2102"/>
      <c r="R8" s="2102"/>
    </row>
    <row r="9" spans="1:29" ht="40.5">
      <c r="A9" s="888"/>
      <c r="B9" s="2066" t="s">
        <v>68</v>
      </c>
      <c r="C9" s="3050" t="s">
        <v>653</v>
      </c>
      <c r="D9" s="2104"/>
      <c r="E9" s="2105"/>
      <c r="F9" s="2106"/>
      <c r="G9" s="2106"/>
      <c r="H9" s="2102"/>
      <c r="I9" s="2102"/>
      <c r="J9" s="2102"/>
      <c r="K9" s="2102"/>
      <c r="L9" s="2102"/>
      <c r="M9" s="2102"/>
      <c r="N9" s="2102"/>
      <c r="O9" s="2102"/>
      <c r="P9" s="2102"/>
      <c r="Q9" s="2102"/>
      <c r="R9" s="2102"/>
    </row>
    <row r="10" spans="1:29" s="11" customFormat="1" ht="14.25" thickBot="1">
      <c r="A10" s="1039"/>
      <c r="B10" s="2070" t="s">
        <v>654</v>
      </c>
      <c r="C10" s="3052"/>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655</v>
      </c>
      <c r="B13" s="2543"/>
      <c r="C13" s="2543"/>
      <c r="D13" s="1033"/>
      <c r="E13" s="2543"/>
      <c r="F13" s="2543"/>
      <c r="G13" s="2543"/>
    </row>
    <row r="14" spans="1:29" ht="14.25" thickBot="1">
      <c r="A14" s="1040"/>
      <c r="B14" s="1041"/>
      <c r="C14" s="1042" t="s">
        <v>656</v>
      </c>
      <c r="D14" s="2104"/>
      <c r="E14" s="1043"/>
      <c r="F14" s="1043"/>
      <c r="G14" s="1032" t="s">
        <v>657</v>
      </c>
    </row>
    <row r="15" spans="1:29" ht="54">
      <c r="A15" s="17" t="s">
        <v>658</v>
      </c>
      <c r="B15" s="6" t="s">
        <v>37</v>
      </c>
      <c r="C15" s="1044" t="str">
        <f>C3</f>
        <v>估价对象周边居住用地比例、居住小区规模和社区发展完善程度，综合评价居住社区成熟度一般</v>
      </c>
      <c r="D15" s="2104"/>
      <c r="E15" s="2552" t="s">
        <v>659</v>
      </c>
      <c r="F15" s="6" t="s">
        <v>660</v>
      </c>
      <c r="G15" s="881" t="str">
        <f>G3</f>
        <v>估价对象位于XX开发区，园区建设成熟度XX，产业集聚程度XX</v>
      </c>
    </row>
    <row r="16" spans="1:29" ht="40.5">
      <c r="A16" s="2555"/>
      <c r="B16" s="1045" t="s">
        <v>661</v>
      </c>
      <c r="C16" s="1046" t="str">
        <f>C4</f>
        <v>估价对象位于XX商圈，周边商业氛围成熟，人流量大，商业繁华度好</v>
      </c>
      <c r="D16" s="2104"/>
      <c r="E16" s="2553"/>
      <c r="F16" s="2065" t="s">
        <v>662</v>
      </c>
      <c r="G16" s="883" t="str">
        <f>G4</f>
        <v>估价对象周边道路状况、公共交通通达情况、停车便捷程度，综合评价交通便捷度较好</v>
      </c>
    </row>
    <row r="17" spans="1:18" ht="40.5">
      <c r="A17" s="2555"/>
      <c r="B17" s="1045" t="s">
        <v>663</v>
      </c>
      <c r="C17" s="1046" t="str">
        <f>C5</f>
        <v>估价对象位于XX商圈，周边办公楼项目较多，入驻率高，办公集聚程度较好</v>
      </c>
      <c r="D17" s="2105"/>
      <c r="E17" s="2553"/>
      <c r="F17" s="2065" t="s">
        <v>664</v>
      </c>
      <c r="G17" s="3055"/>
    </row>
    <row r="18" spans="1:18" ht="54">
      <c r="A18" s="2555"/>
      <c r="B18" s="2065" t="s">
        <v>67</v>
      </c>
      <c r="C18" s="883" t="str">
        <f>C6</f>
        <v>估价对象周边道路状况、公共交通通达情况、停车便捷程度，综合评价交通便捷度较好</v>
      </c>
      <c r="D18" s="2105"/>
      <c r="E18" s="2553"/>
      <c r="F18" s="2065" t="s">
        <v>652</v>
      </c>
      <c r="G18" s="883" t="str">
        <f>G7</f>
        <v>该园区内是否有污染型企业，绿化情况，卫生条件，整体环境状况判断</v>
      </c>
    </row>
    <row r="19" spans="1:18" ht="27">
      <c r="A19" s="2555"/>
      <c r="B19" s="2065" t="s">
        <v>86</v>
      </c>
      <c r="C19" s="3055"/>
      <c r="D19" s="2104"/>
      <c r="E19" s="2553"/>
      <c r="F19" s="2544" t="s">
        <v>2534</v>
      </c>
      <c r="G19" s="883" t="str">
        <f>G5</f>
        <v>估价对象所在区域公共配套设施齐备情况</v>
      </c>
    </row>
    <row r="20" spans="1:18" ht="40.5">
      <c r="A20" s="2555"/>
      <c r="B20" s="2065" t="s">
        <v>85</v>
      </c>
      <c r="C20" s="1046" t="str">
        <f>C9</f>
        <v>区域自然环境：；人文环境；综合评价环境状况一般</v>
      </c>
      <c r="D20" s="2105"/>
      <c r="E20" s="2553"/>
      <c r="F20" s="2544" t="s">
        <v>2535</v>
      </c>
      <c r="G20" s="883" t="str">
        <f>G6</f>
        <v>估价对象所在区域基础设施水平</v>
      </c>
    </row>
    <row r="21" spans="1:18" ht="27">
      <c r="A21" s="2555"/>
      <c r="B21" s="2544" t="s">
        <v>2534</v>
      </c>
      <c r="C21" s="883" t="str">
        <f>C7</f>
        <v>估价对象所在区域公共配套设施齐备情况</v>
      </c>
      <c r="D21" s="2104"/>
      <c r="E21" s="2553"/>
      <c r="F21" s="2065" t="s">
        <v>84</v>
      </c>
      <c r="G21" s="179"/>
    </row>
    <row r="22" spans="1:18" ht="27">
      <c r="A22" s="2555"/>
      <c r="B22" s="2544" t="s">
        <v>2535</v>
      </c>
      <c r="C22" s="883" t="str">
        <f>C8</f>
        <v>估价对象所在区域基础设施水平</v>
      </c>
      <c r="D22" s="2104"/>
      <c r="E22" s="2553"/>
      <c r="F22" s="2065" t="s">
        <v>665</v>
      </c>
      <c r="G22" s="172"/>
    </row>
    <row r="23" spans="1:18" s="2102" customFormat="1" ht="14.25" thickBot="1">
      <c r="A23" s="2555"/>
      <c r="B23" s="2065" t="s">
        <v>84</v>
      </c>
      <c r="C23" s="179"/>
      <c r="D23" s="2116"/>
      <c r="E23" s="2554"/>
      <c r="F23" s="2069" t="s">
        <v>666</v>
      </c>
      <c r="G23" s="180"/>
      <c r="H23" s="2116"/>
      <c r="I23" s="2117"/>
      <c r="J23" s="2116"/>
      <c r="K23" s="2116"/>
      <c r="L23" s="2117"/>
      <c r="M23" s="2116"/>
      <c r="N23" s="2116"/>
      <c r="O23" s="2117"/>
      <c r="P23" s="2116"/>
      <c r="Q23" s="2116"/>
      <c r="R23" s="2118"/>
    </row>
    <row r="24" spans="1:18" s="2102" customFormat="1" ht="14.25" thickBot="1">
      <c r="A24" s="2556"/>
      <c r="B24" s="2069" t="s">
        <v>83</v>
      </c>
      <c r="C24" s="1047">
        <f>C10</f>
        <v>0</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3017" t="s">
        <v>2820</v>
      </c>
      <c r="B1" s="3017">
        <f>SUM(B14:B23)</f>
        <v>123.8</v>
      </c>
      <c r="C1" s="3018"/>
      <c r="D1" s="3018"/>
      <c r="E1" s="3018"/>
      <c r="F1" s="3018"/>
      <c r="G1" s="3022"/>
    </row>
    <row r="2" spans="1:9" ht="16.5">
      <c r="A2" s="3017" t="s">
        <v>2821</v>
      </c>
      <c r="B2" s="3017">
        <f>SUM(C14:C23)</f>
        <v>0</v>
      </c>
      <c r="C2" s="3018"/>
      <c r="D2" s="3018"/>
      <c r="E2" s="3018"/>
      <c r="F2" s="3018"/>
      <c r="G2" s="3022"/>
    </row>
    <row r="3" spans="1:9" ht="16.5">
      <c r="A3" s="3017" t="s">
        <v>2822</v>
      </c>
      <c r="B3" s="3020">
        <f>项目基本情况!D2</f>
        <v>42992</v>
      </c>
      <c r="C3" s="3018"/>
      <c r="D3" s="3018"/>
      <c r="E3" s="3018"/>
      <c r="F3" s="3018"/>
      <c r="G3" s="3022"/>
    </row>
    <row r="4" spans="1:9" ht="33">
      <c r="A4" s="3017" t="s">
        <v>2823</v>
      </c>
      <c r="B4" s="3017" t="s">
        <v>2824</v>
      </c>
      <c r="C4" s="3017" t="s">
        <v>2825</v>
      </c>
      <c r="D4" s="3017" t="s">
        <v>2826</v>
      </c>
      <c r="E4" s="3018"/>
      <c r="F4" s="3022"/>
      <c r="G4" s="3022"/>
    </row>
    <row r="5" spans="1:9" ht="16.5">
      <c r="A5" s="3017" t="s">
        <v>2827</v>
      </c>
      <c r="B5" s="3017" t="e">
        <f ca="1">SUM(D14:D23)</f>
        <v>#REF!</v>
      </c>
      <c r="C5" s="3017" t="e">
        <f ca="1">ROUND(B5*10000/$B$1,0)</f>
        <v>#REF!</v>
      </c>
      <c r="D5" s="3017" t="e">
        <f ca="1">ROUND(B5*10000/$B$2,0)</f>
        <v>#REF!</v>
      </c>
      <c r="E5" s="3018"/>
      <c r="F5" s="3022"/>
      <c r="G5" s="3022"/>
    </row>
    <row r="6" spans="1:9" ht="16.5">
      <c r="A6" s="3017" t="s">
        <v>2828</v>
      </c>
      <c r="B6" s="3017">
        <f>SUM(G14:G23)</f>
        <v>0</v>
      </c>
      <c r="C6" s="3017">
        <f t="shared" ref="C6:C8" si="0">ROUND(B6*10000/$B$1,0)</f>
        <v>0</v>
      </c>
      <c r="D6" s="3017" t="e">
        <f t="shared" ref="D6:D8" si="1">ROUND(B6*10000/$B$2,0)</f>
        <v>#DIV/0!</v>
      </c>
      <c r="E6" s="3018"/>
      <c r="F6" s="3022"/>
      <c r="G6" s="3022"/>
    </row>
    <row r="7" spans="1:9" ht="16.5">
      <c r="A7" s="3017" t="s">
        <v>2829</v>
      </c>
      <c r="B7" s="3017" t="e">
        <f ca="1">SUM(H14:H23)</f>
        <v>#REF!</v>
      </c>
      <c r="C7" s="3017" t="e">
        <f ca="1">ROUND(B7*10000/$B$1,0)</f>
        <v>#REF!</v>
      </c>
      <c r="D7" s="3017" t="e">
        <f t="shared" ca="1" si="1"/>
        <v>#REF!</v>
      </c>
      <c r="E7" s="3018"/>
      <c r="F7" s="3022"/>
      <c r="G7" s="3022"/>
    </row>
    <row r="8" spans="1:9" ht="16.5">
      <c r="A8" s="3017" t="s">
        <v>2830</v>
      </c>
      <c r="B8" s="3017">
        <f>SUM(I14:I23)</f>
        <v>0</v>
      </c>
      <c r="C8" s="3017">
        <f t="shared" si="0"/>
        <v>0</v>
      </c>
      <c r="D8" s="3017" t="e">
        <f t="shared" si="1"/>
        <v>#DIV/0!</v>
      </c>
      <c r="E8" s="3018"/>
      <c r="F8" s="3022"/>
      <c r="G8" s="3022"/>
    </row>
    <row r="9" spans="1:9" ht="16.5">
      <c r="A9" s="3017" t="s">
        <v>2831</v>
      </c>
      <c r="B9" s="3023"/>
      <c r="C9" s="3018"/>
      <c r="D9" s="3018"/>
      <c r="E9" s="3018"/>
      <c r="F9" s="3022"/>
      <c r="G9" s="3022"/>
    </row>
    <row r="10" spans="1:9" ht="16.5">
      <c r="A10" s="3017" t="s">
        <v>2832</v>
      </c>
      <c r="B10" s="3023"/>
      <c r="C10" s="3018"/>
      <c r="D10" s="3018"/>
      <c r="E10" s="3018"/>
      <c r="F10" s="3022"/>
      <c r="G10" s="3022"/>
    </row>
    <row r="11" spans="1:9" ht="16.5">
      <c r="A11" s="3017" t="s">
        <v>2848</v>
      </c>
      <c r="B11" s="3023"/>
      <c r="C11" s="3018"/>
      <c r="D11" s="3018"/>
      <c r="E11" s="3018"/>
      <c r="F11" s="3022"/>
      <c r="G11" s="3022"/>
    </row>
    <row r="12" spans="1:9" ht="16.5">
      <c r="A12" s="3018"/>
      <c r="B12" s="3018"/>
      <c r="C12" s="3018"/>
      <c r="D12" s="3018"/>
      <c r="E12" s="3018"/>
      <c r="F12" s="3022"/>
      <c r="G12" s="3022"/>
    </row>
    <row r="13" spans="1:9" ht="33">
      <c r="A13" s="3027" t="s">
        <v>2847</v>
      </c>
      <c r="B13" s="3021" t="s">
        <v>2820</v>
      </c>
      <c r="C13" s="3021" t="s">
        <v>2821</v>
      </c>
      <c r="D13" s="3021" t="s">
        <v>2833</v>
      </c>
      <c r="E13" s="3017" t="s">
        <v>2825</v>
      </c>
      <c r="F13" s="3017" t="s">
        <v>2826</v>
      </c>
      <c r="G13" s="3021" t="s">
        <v>2834</v>
      </c>
      <c r="H13" s="3021" t="s">
        <v>2835</v>
      </c>
      <c r="I13" s="3021" t="s">
        <v>2836</v>
      </c>
    </row>
    <row r="14" spans="1:9" ht="16.5">
      <c r="A14" s="3024" t="s">
        <v>2846</v>
      </c>
      <c r="B14" s="3021">
        <f>项目基本情况!C12</f>
        <v>123.8</v>
      </c>
      <c r="C14" s="3021">
        <f>项目基本情况!C13</f>
        <v>0</v>
      </c>
      <c r="D14" s="3021" t="e">
        <f ca="1">IF('数据-取费表'!B3="万元",IF(A14="估价对象1（结果表）",结果表!H121,'结果表 (1修多)'!H124),IF(A14="估价对象1（结果表）",结果表!H121,'结果表 (1修多)'!H124)/10000)</f>
        <v>#REF!</v>
      </c>
      <c r="E14" s="3021" t="e">
        <f ca="1">ROUND(D14*10000/B14,0)</f>
        <v>#REF!</v>
      </c>
      <c r="F14" s="3021" t="e">
        <f ca="1">ROUND(D14*10000/C14,0)</f>
        <v>#REF!</v>
      </c>
      <c r="G14" s="3021" t="str">
        <f>IF('数据-取费表'!B3="万元",IF(A14="估价对象1（结果表）",结果表!D125,'结果表 (1修多)'!D128),IF(A14="估价对象1（结果表）",结果表!D125,'结果表 (1修多)'!D128)/10000)</f>
        <v>——</v>
      </c>
      <c r="H14" s="3021" t="e">
        <f ca="1">IF('数据-取费表'!B3="万元",IF(A14="估价对象1（结果表）",结果表!D127,'结果表 (1修多)'!D130),IF(A14="估价对象1（结果表）",结果表!D127,'结果表 (1修多)'!D130)/10000)</f>
        <v>#REF!</v>
      </c>
      <c r="I14" s="3021" t="str">
        <f>IF('数据-取费表'!B3="万元",IF(A14="估价对象1（结果表）",结果表!D129,'结果表 (1修多)'!D132),IF(A14="估价对象1（结果表）",结果表!D129,'结果表 (1修多)'!D132)/10000)</f>
        <v>——</v>
      </c>
    </row>
    <row r="15" spans="1:9" ht="16.5">
      <c r="A15" s="3019" t="s">
        <v>2837</v>
      </c>
      <c r="B15" s="3025"/>
      <c r="C15" s="3025"/>
      <c r="D15" s="3025"/>
      <c r="E15" s="3021" t="e">
        <f t="shared" ref="E15:E23" si="2">ROUND(D15*10000/B15,0)</f>
        <v>#DIV/0!</v>
      </c>
      <c r="F15" s="3021" t="e">
        <f t="shared" ref="F15:F23" si="3">ROUND(D15*10000/C15,0)</f>
        <v>#DIV/0!</v>
      </c>
      <c r="G15" s="3026"/>
      <c r="H15" s="3026"/>
      <c r="I15" s="3025"/>
    </row>
    <row r="16" spans="1:9" ht="16.5">
      <c r="A16" s="3019" t="s">
        <v>2838</v>
      </c>
      <c r="B16" s="3025"/>
      <c r="C16" s="3025"/>
      <c r="D16" s="3025"/>
      <c r="E16" s="3021" t="e">
        <f t="shared" si="2"/>
        <v>#DIV/0!</v>
      </c>
      <c r="F16" s="3021" t="e">
        <f t="shared" si="3"/>
        <v>#DIV/0!</v>
      </c>
      <c r="G16" s="3026"/>
      <c r="H16" s="3026"/>
      <c r="I16" s="3025"/>
    </row>
    <row r="17" spans="1:9" ht="16.5">
      <c r="A17" s="3019" t="s">
        <v>2839</v>
      </c>
      <c r="B17" s="3025"/>
      <c r="C17" s="3025"/>
      <c r="D17" s="3025"/>
      <c r="E17" s="3021" t="e">
        <f t="shared" si="2"/>
        <v>#DIV/0!</v>
      </c>
      <c r="F17" s="3021" t="e">
        <f t="shared" si="3"/>
        <v>#DIV/0!</v>
      </c>
      <c r="G17" s="3026"/>
      <c r="H17" s="3026"/>
      <c r="I17" s="3025"/>
    </row>
    <row r="18" spans="1:9" ht="16.5">
      <c r="A18" s="3019" t="s">
        <v>2840</v>
      </c>
      <c r="B18" s="3025"/>
      <c r="C18" s="3025"/>
      <c r="D18" s="3025"/>
      <c r="E18" s="3021" t="e">
        <f t="shared" si="2"/>
        <v>#DIV/0!</v>
      </c>
      <c r="F18" s="3021" t="e">
        <f t="shared" si="3"/>
        <v>#DIV/0!</v>
      </c>
      <c r="G18" s="3025"/>
      <c r="H18" s="3025"/>
      <c r="I18" s="3025"/>
    </row>
    <row r="19" spans="1:9" ht="16.5">
      <c r="A19" s="3019" t="s">
        <v>2841</v>
      </c>
      <c r="B19" s="3025"/>
      <c r="C19" s="3025"/>
      <c r="D19" s="3025"/>
      <c r="E19" s="3021" t="e">
        <f t="shared" si="2"/>
        <v>#DIV/0!</v>
      </c>
      <c r="F19" s="3021" t="e">
        <f t="shared" si="3"/>
        <v>#DIV/0!</v>
      </c>
      <c r="G19" s="3025"/>
      <c r="H19" s="3025"/>
      <c r="I19" s="3025"/>
    </row>
    <row r="20" spans="1:9" ht="16.5">
      <c r="A20" s="3019" t="s">
        <v>2842</v>
      </c>
      <c r="B20" s="3025"/>
      <c r="C20" s="3025"/>
      <c r="D20" s="3025"/>
      <c r="E20" s="3021" t="e">
        <f t="shared" si="2"/>
        <v>#DIV/0!</v>
      </c>
      <c r="F20" s="3021" t="e">
        <f t="shared" si="3"/>
        <v>#DIV/0!</v>
      </c>
      <c r="G20" s="3025"/>
      <c r="H20" s="3025"/>
      <c r="I20" s="3025"/>
    </row>
    <row r="21" spans="1:9" ht="16.5">
      <c r="A21" s="3019" t="s">
        <v>2843</v>
      </c>
      <c r="B21" s="3025"/>
      <c r="C21" s="3025"/>
      <c r="D21" s="3025"/>
      <c r="E21" s="3021" t="e">
        <f t="shared" si="2"/>
        <v>#DIV/0!</v>
      </c>
      <c r="F21" s="3021" t="e">
        <f t="shared" si="3"/>
        <v>#DIV/0!</v>
      </c>
      <c r="G21" s="3025"/>
      <c r="H21" s="3025"/>
      <c r="I21" s="3025"/>
    </row>
    <row r="22" spans="1:9" ht="16.5">
      <c r="A22" s="3019" t="s">
        <v>2844</v>
      </c>
      <c r="B22" s="3025"/>
      <c r="C22" s="3025"/>
      <c r="D22" s="3025"/>
      <c r="E22" s="3021" t="e">
        <f t="shared" si="2"/>
        <v>#DIV/0!</v>
      </c>
      <c r="F22" s="3021" t="e">
        <f t="shared" si="3"/>
        <v>#DIV/0!</v>
      </c>
      <c r="G22" s="3025"/>
      <c r="H22" s="3025"/>
      <c r="I22" s="3025"/>
    </row>
    <row r="23" spans="1:9" ht="16.5">
      <c r="A23" s="3019" t="s">
        <v>2845</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52" zoomScaleNormal="100" zoomScaleSheetLayoutView="100" zoomScalePageLayoutView="80" workbookViewId="0">
      <selection activeCell="I121" sqref="I121"/>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82" t="str">
        <f>项目基本情况!B1</f>
        <v>北京市海淀区车公庄西路乙19号房地产抵押价值预评估</v>
      </c>
      <c r="B2" s="3282"/>
      <c r="C2" s="3282"/>
      <c r="D2" s="3282"/>
      <c r="E2" s="3282"/>
      <c r="F2" s="3282"/>
      <c r="G2" s="3282"/>
      <c r="H2" s="3282"/>
      <c r="I2" s="3282"/>
    </row>
    <row r="3" spans="1:12" ht="12">
      <c r="A3" s="3285" t="s">
        <v>8</v>
      </c>
      <c r="B3" s="3286"/>
      <c r="C3" s="3286"/>
      <c r="D3" s="3286"/>
      <c r="E3" s="3286"/>
      <c r="F3" s="3286"/>
      <c r="G3" s="3286"/>
      <c r="H3" s="3286"/>
      <c r="I3" s="3286"/>
    </row>
    <row r="4" spans="1:12" ht="13.5">
      <c r="A4" s="237" t="s">
        <v>9</v>
      </c>
      <c r="B4" s="1809" t="s">
        <v>10</v>
      </c>
      <c r="C4" s="238" t="s">
        <v>2932</v>
      </c>
      <c r="D4" s="238" t="s">
        <v>2933</v>
      </c>
      <c r="E4" s="3288" t="s">
        <v>679</v>
      </c>
      <c r="F4" s="3289"/>
      <c r="G4" s="3289"/>
      <c r="H4" s="3289"/>
      <c r="I4" s="3290"/>
      <c r="K4" s="1226" t="str">
        <f>IF(ISNUMBER(FIND("比较法",结果表!C4)),"比较法",IF(ISNUMBER(FIND("成本法",结果表!C4)),"成本法",IF(ISNUMBER(FIND("假设开发法",结果表!C4)),"假设开发法",IF(ISNUMBER(FIND("收益法",结果表!C4)),"收益法","基准地价系数修正法"))))</f>
        <v>收益法</v>
      </c>
      <c r="L4" s="1226" t="str">
        <f>IF(ISNUMBER(FIND("比较法",结果表!D4)),"比较法",IF(ISNUMBER(FIND("成本法",结果表!D4)),"成本法",IF(ISNUMBER(FIND("假设开发法",结果表!D4)),"假设开发法",IF(ISNUMBER(FIND("收益法",结果表!D4)),"收益法","基准地价系数修正法"))))</f>
        <v>比较法</v>
      </c>
    </row>
    <row r="5" spans="1:12" ht="12.75">
      <c r="A5" s="3254" t="s">
        <v>11</v>
      </c>
      <c r="B5" s="3271">
        <v>25</v>
      </c>
      <c r="C5" s="3266"/>
      <c r="D5" s="3284"/>
      <c r="E5" s="272" t="s">
        <v>722</v>
      </c>
      <c r="F5" s="239"/>
      <c r="G5" s="239"/>
      <c r="H5" s="239"/>
      <c r="I5" s="240"/>
    </row>
    <row r="6" spans="1:12" ht="12.75">
      <c r="A6" s="3254"/>
      <c r="B6" s="3271"/>
      <c r="C6" s="3287"/>
      <c r="D6" s="3284"/>
      <c r="E6" s="272" t="s">
        <v>723</v>
      </c>
      <c r="F6" s="239"/>
      <c r="G6" s="239"/>
      <c r="H6" s="239"/>
      <c r="I6" s="240"/>
    </row>
    <row r="7" spans="1:12" ht="12.75">
      <c r="A7" s="3254"/>
      <c r="B7" s="3271"/>
      <c r="C7" s="3267"/>
      <c r="D7" s="3284"/>
      <c r="E7" s="272" t="s">
        <v>724</v>
      </c>
      <c r="F7" s="239"/>
      <c r="G7" s="239"/>
      <c r="H7" s="239"/>
      <c r="I7" s="240"/>
    </row>
    <row r="8" spans="1:12" ht="12.75">
      <c r="A8" s="3254" t="s">
        <v>12</v>
      </c>
      <c r="B8" s="3271">
        <v>15</v>
      </c>
      <c r="C8" s="3266"/>
      <c r="D8" s="3284"/>
      <c r="E8" s="272" t="s">
        <v>725</v>
      </c>
      <c r="F8" s="239"/>
      <c r="G8" s="239"/>
      <c r="H8" s="239"/>
      <c r="I8" s="240"/>
    </row>
    <row r="9" spans="1:12" ht="12.75">
      <c r="A9" s="3254"/>
      <c r="B9" s="3271"/>
      <c r="C9" s="3267"/>
      <c r="D9" s="3284"/>
      <c r="E9" s="272" t="s">
        <v>726</v>
      </c>
      <c r="F9" s="239"/>
      <c r="G9" s="239"/>
      <c r="H9" s="239"/>
      <c r="I9" s="240"/>
    </row>
    <row r="10" spans="1:12" ht="12.75">
      <c r="A10" s="3254" t="s">
        <v>13</v>
      </c>
      <c r="B10" s="3271">
        <v>15</v>
      </c>
      <c r="C10" s="3266"/>
      <c r="D10" s="3284"/>
      <c r="E10" s="272" t="s">
        <v>727</v>
      </c>
      <c r="F10" s="239"/>
      <c r="G10" s="239"/>
      <c r="H10" s="239"/>
      <c r="I10" s="240"/>
    </row>
    <row r="11" spans="1:12" ht="12.75">
      <c r="A11" s="3254"/>
      <c r="B11" s="3271"/>
      <c r="C11" s="3267"/>
      <c r="D11" s="3284"/>
      <c r="E11" s="272" t="s">
        <v>728</v>
      </c>
      <c r="F11" s="239"/>
      <c r="G11" s="239"/>
      <c r="H11" s="239"/>
      <c r="I11" s="240"/>
    </row>
    <row r="12" spans="1:12" ht="12.75">
      <c r="A12" s="3254" t="s">
        <v>14</v>
      </c>
      <c r="B12" s="3271">
        <v>15</v>
      </c>
      <c r="C12" s="3266"/>
      <c r="D12" s="3284"/>
      <c r="E12" s="272" t="s">
        <v>729</v>
      </c>
      <c r="F12" s="239"/>
      <c r="G12" s="239"/>
      <c r="H12" s="239"/>
      <c r="I12" s="240"/>
    </row>
    <row r="13" spans="1:12" ht="12.75">
      <c r="A13" s="3254"/>
      <c r="B13" s="3271"/>
      <c r="C13" s="3267"/>
      <c r="D13" s="3284"/>
      <c r="E13" s="272" t="s">
        <v>730</v>
      </c>
      <c r="F13" s="239"/>
      <c r="G13" s="239"/>
      <c r="H13" s="239"/>
      <c r="I13" s="240"/>
    </row>
    <row r="14" spans="1:12" ht="12.75">
      <c r="A14" s="3254" t="s">
        <v>15</v>
      </c>
      <c r="B14" s="3271">
        <v>30</v>
      </c>
      <c r="C14" s="3266">
        <v>5</v>
      </c>
      <c r="D14" s="3284">
        <v>5</v>
      </c>
      <c r="E14" s="272" t="s">
        <v>731</v>
      </c>
      <c r="F14" s="239"/>
      <c r="G14" s="239"/>
      <c r="H14" s="239"/>
      <c r="I14" s="240"/>
    </row>
    <row r="15" spans="1:12" ht="12.75">
      <c r="A15" s="3254"/>
      <c r="B15" s="3271"/>
      <c r="C15" s="3287"/>
      <c r="D15" s="3284"/>
      <c r="E15" s="272" t="s">
        <v>732</v>
      </c>
      <c r="F15" s="239"/>
      <c r="G15" s="239"/>
      <c r="H15" s="239"/>
      <c r="I15" s="240"/>
    </row>
    <row r="16" spans="1:12" ht="12.75">
      <c r="A16" s="3254"/>
      <c r="B16" s="3271"/>
      <c r="C16" s="3267"/>
      <c r="D16" s="3284"/>
      <c r="E16" s="272" t="s">
        <v>733</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SUMIF(INDIRECT("'"&amp;C4&amp;"'"&amp;"!A:A"),结果表!B19,INDIRECT("'"&amp;C4&amp;"'"&amp;"!B:B"))</f>
        <v>496</v>
      </c>
      <c r="D19" s="276">
        <f ca="1">SUMIF(INDIRECT("'"&amp;D4&amp;"'"&amp;"!A:A"),结果表!B19,INDIRECT("'"&amp;D4&amp;"'"&amp;"!B:B"))</f>
        <v>536</v>
      </c>
      <c r="E19" s="243" t="s">
        <v>186</v>
      </c>
      <c r="F19" s="244" t="s">
        <v>18</v>
      </c>
      <c r="G19" s="277">
        <f ca="1">ROUND(C19*$C$18+D19*$D$18,0)</f>
        <v>516</v>
      </c>
      <c r="H19" s="2017" t="str">
        <f>'数据-取费表'!B3</f>
        <v>万元</v>
      </c>
      <c r="I19" s="1059"/>
    </row>
    <row r="20" spans="1:35" ht="14.25">
      <c r="A20" s="245"/>
      <c r="B20" s="246" t="s">
        <v>19</v>
      </c>
      <c r="C20" s="278">
        <f ca="1">SUMIF(INDIRECT("'"&amp;C4&amp;"'"&amp;"!A:A"),结果表!B20,INDIRECT("'"&amp;C4&amp;"'"&amp;"!B:B"))</f>
        <v>40036</v>
      </c>
      <c r="D20" s="279">
        <f ca="1">SUMIF(INDIRECT("'"&amp;D4&amp;"'"&amp;"!A:A"),结果表!B20,INDIRECT("'"&amp;D4&amp;"'"&amp;"!B:B"))</f>
        <v>43320</v>
      </c>
      <c r="E20" s="245"/>
      <c r="F20" s="246" t="s">
        <v>19</v>
      </c>
      <c r="G20" s="280">
        <f ca="1">ROUND(C20*$C$18+D20*$D$18,0)</f>
        <v>41678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8.0645161290322509E-2</v>
      </c>
      <c r="E22" s="1059"/>
      <c r="F22" s="1059"/>
      <c r="G22" s="1059"/>
      <c r="H22" s="1059"/>
      <c r="I22" s="1059"/>
    </row>
    <row r="23" spans="1:35" ht="12.75" thickBot="1">
      <c r="A23" s="1059"/>
      <c r="B23" s="1059"/>
      <c r="C23" s="1059"/>
      <c r="D23" s="1059"/>
      <c r="E23" s="1059"/>
      <c r="F23" s="1059"/>
      <c r="G23" s="1059"/>
      <c r="H23" s="1059"/>
      <c r="I23" s="1059"/>
    </row>
    <row r="24" spans="1:35" ht="21.75" customHeight="1">
      <c r="A24" s="3293" t="s">
        <v>184</v>
      </c>
      <c r="B24" s="244" t="s">
        <v>18</v>
      </c>
      <c r="C24" s="277">
        <f>D30</f>
        <v>0</v>
      </c>
      <c r="D24" s="251"/>
      <c r="E24" s="1059"/>
      <c r="F24" s="1059"/>
      <c r="G24" s="1059"/>
      <c r="H24" s="1059"/>
      <c r="I24" s="1059"/>
    </row>
    <row r="25" spans="1:35" ht="21.75" customHeight="1">
      <c r="A25" s="3294"/>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总价</v>
      </c>
      <c r="C32" s="1975">
        <f ca="1">IF(B32="总价",G19-C24,G20-C25)</f>
        <v>516</v>
      </c>
      <c r="D32" s="1059" t="str">
        <f>IF(B32="楼面单价","元/平方米",H19)</f>
        <v>万元</v>
      </c>
      <c r="E32" s="1059"/>
      <c r="F32" s="1059"/>
      <c r="G32" s="1059"/>
      <c r="H32" s="1059"/>
      <c r="I32" s="1059"/>
    </row>
    <row r="33" spans="1:16" ht="13.5">
      <c r="A33" s="1971" t="s">
        <v>680</v>
      </c>
      <c r="B33" s="1972"/>
      <c r="C33" s="1973"/>
      <c r="D33" s="1889"/>
      <c r="E33" s="1887" t="s">
        <v>2008</v>
      </c>
      <c r="F33" s="1884" t="str">
        <f>IF(B32="楼面单价","取值（单价）","取值（总价）")</f>
        <v>取值（总价）</v>
      </c>
      <c r="G33" s="1059"/>
      <c r="H33" s="1059"/>
      <c r="I33" s="1059"/>
    </row>
    <row r="34" spans="1:16" ht="15">
      <c r="A34" s="259"/>
      <c r="B34" s="260" t="s">
        <v>683</v>
      </c>
      <c r="C34" s="289">
        <f ca="1">IF(D33="自定义",F34,C32-C35)</f>
        <v>482</v>
      </c>
      <c r="D34" s="1888">
        <f ca="1">IF(D33="自定义",ROUND(C34/C32,3),1-D35)</f>
        <v>0.93399999999999994</v>
      </c>
      <c r="E34" s="1885" t="s">
        <v>2009</v>
      </c>
      <c r="F34" s="3013">
        <v>2000</v>
      </c>
      <c r="G34" s="1059"/>
      <c r="H34" s="1059"/>
      <c r="I34" s="1059"/>
    </row>
    <row r="35" spans="1:16" ht="15.75" thickBot="1">
      <c r="A35" s="262"/>
      <c r="B35" s="263" t="s">
        <v>685</v>
      </c>
      <c r="C35" s="290">
        <f ca="1">IF(D33="自定义",F35,ROUND(C32*D35,0))</f>
        <v>34</v>
      </c>
      <c r="D35" s="1883">
        <f ca="1">IF(D33="自定义",ROUND(C35/C32,3),IF(D33="成本法成本比率",成本法!C56,IF(D33="收益法收益比率",收益法!J38,收益法!J41)))</f>
        <v>6.6000000000000003E-2</v>
      </c>
      <c r="E35" s="1886" t="s">
        <v>2010</v>
      </c>
      <c r="F35" s="296">
        <v>4460</v>
      </c>
      <c r="G35" s="1059"/>
      <c r="H35" s="1059"/>
      <c r="I35" s="1059"/>
    </row>
    <row r="36" spans="1:16" ht="15.75" thickBot="1">
      <c r="A36" s="3268" t="s">
        <v>681</v>
      </c>
      <c r="B36" s="258" t="s">
        <v>682</v>
      </c>
      <c r="C36" s="286">
        <v>0</v>
      </c>
      <c r="D36" s="1890"/>
      <c r="E36" s="1794"/>
      <c r="F36" s="1794"/>
      <c r="G36" s="1059"/>
      <c r="H36" s="1059"/>
      <c r="I36" s="1059"/>
    </row>
    <row r="37" spans="1:16" ht="15.75" thickBot="1">
      <c r="A37" s="3269"/>
      <c r="B37" s="5" t="s">
        <v>684</v>
      </c>
      <c r="C37" s="288">
        <v>0</v>
      </c>
      <c r="D37" s="8"/>
      <c r="E37" s="8"/>
      <c r="F37" s="1794"/>
      <c r="G37" s="8"/>
      <c r="H37" s="8"/>
      <c r="I37" s="8"/>
    </row>
    <row r="38" spans="1:16" ht="15.75" thickBot="1">
      <c r="A38" s="3270"/>
      <c r="B38" s="261" t="s">
        <v>686</v>
      </c>
      <c r="C38" s="1001">
        <v>0</v>
      </c>
      <c r="D38" s="1062" t="s">
        <v>687</v>
      </c>
      <c r="E38" s="8"/>
      <c r="F38" s="1794"/>
      <c r="G38" s="8"/>
      <c r="H38" s="8"/>
      <c r="I38" s="8"/>
    </row>
    <row r="39" spans="1:16" ht="13.5">
      <c r="A39" s="245" t="s">
        <v>688</v>
      </c>
      <c r="B39" s="264" t="s">
        <v>689</v>
      </c>
      <c r="C39" s="265" t="s">
        <v>690</v>
      </c>
      <c r="D39" s="265" t="s">
        <v>691</v>
      </c>
      <c r="E39" s="266" t="s">
        <v>692</v>
      </c>
      <c r="F39" s="1794"/>
      <c r="G39" s="8"/>
      <c r="H39" s="8"/>
      <c r="I39" s="8"/>
    </row>
    <row r="40" spans="1:16" ht="13.5">
      <c r="A40" s="1063" t="s">
        <v>693</v>
      </c>
      <c r="B40" s="291"/>
      <c r="C40" s="292"/>
      <c r="D40" s="292"/>
      <c r="E40" s="293"/>
      <c r="F40" s="1794"/>
      <c r="G40" s="8"/>
      <c r="H40" s="8"/>
      <c r="I40" s="8"/>
    </row>
    <row r="41" spans="1:16" ht="13.5">
      <c r="A41" s="1063" t="s">
        <v>694</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695</v>
      </c>
      <c r="B44" s="1068"/>
      <c r="C44" s="1068"/>
      <c r="D44" s="1069"/>
      <c r="E44" s="1069"/>
      <c r="F44" s="1070"/>
      <c r="G44" s="1070"/>
      <c r="H44" s="1070"/>
      <c r="I44" s="1070"/>
      <c r="J44" s="1227" t="s">
        <v>215</v>
      </c>
      <c r="K44" s="1228"/>
      <c r="L44" s="1228"/>
      <c r="M44" s="1228"/>
      <c r="N44" s="1228"/>
      <c r="O44" s="1228"/>
      <c r="P44" s="1226"/>
    </row>
    <row r="45" spans="1:16" ht="14.25" customHeight="1" thickBot="1">
      <c r="A45" s="3275" t="s">
        <v>714</v>
      </c>
      <c r="B45" s="3276"/>
      <c r="C45" s="3277"/>
      <c r="D45" s="297">
        <f ca="1">ROUND(I102*F45,0)</f>
        <v>516</v>
      </c>
      <c r="E45" s="298" t="s">
        <v>715</v>
      </c>
      <c r="F45" s="299">
        <v>1</v>
      </c>
      <c r="G45" s="300" t="s">
        <v>716</v>
      </c>
      <c r="H45" s="1059"/>
      <c r="I45" s="1059"/>
      <c r="J45" s="3347" t="s">
        <v>216</v>
      </c>
      <c r="K45" s="3347"/>
      <c r="L45" s="3347"/>
      <c r="M45" s="3347"/>
      <c r="N45" s="3347"/>
      <c r="O45" s="3347"/>
      <c r="P45" s="1226"/>
    </row>
    <row r="46" spans="1:16" ht="14.25" customHeight="1">
      <c r="A46" s="3258" t="s">
        <v>300</v>
      </c>
      <c r="B46" s="3259"/>
      <c r="C46" s="3259"/>
      <c r="D46" s="3259"/>
      <c r="E46" s="3259"/>
      <c r="F46" s="3259"/>
      <c r="G46" s="3260"/>
      <c r="H46" s="1071"/>
      <c r="I46" s="1025"/>
      <c r="J46" s="3030">
        <v>1</v>
      </c>
      <c r="K46" s="3347" t="s">
        <v>217</v>
      </c>
      <c r="L46" s="3347"/>
      <c r="M46" s="3348" t="str">
        <f>项目基本情况!B1</f>
        <v>北京市海淀区车公庄西路乙19号房地产抵押价值预评估</v>
      </c>
      <c r="N46" s="3348"/>
      <c r="O46" s="3348"/>
      <c r="P46" s="1226"/>
    </row>
    <row r="47" spans="1:16" ht="12" customHeight="1">
      <c r="A47" s="302" t="s">
        <v>301</v>
      </c>
      <c r="B47" s="303"/>
      <c r="C47" s="304"/>
      <c r="D47" s="305" t="s">
        <v>302</v>
      </c>
      <c r="E47" s="197" t="s">
        <v>303</v>
      </c>
      <c r="F47" s="306" t="s">
        <v>717</v>
      </c>
      <c r="G47" s="307" t="s">
        <v>718</v>
      </c>
      <c r="H47" s="1071"/>
      <c r="I47" s="1025"/>
      <c r="J47" s="3030">
        <v>2</v>
      </c>
      <c r="K47" s="3347" t="s">
        <v>218</v>
      </c>
      <c r="L47" s="3347"/>
      <c r="M47" s="3349">
        <f>'数据-取费表'!B2</f>
        <v>42992</v>
      </c>
      <c r="N47" s="3349"/>
      <c r="O47" s="3349"/>
      <c r="P47" s="1226"/>
    </row>
    <row r="48" spans="1:16" ht="25.5">
      <c r="A48" s="3272" t="s">
        <v>304</v>
      </c>
      <c r="B48" s="3273"/>
      <c r="C48" s="3273"/>
      <c r="D48" s="272">
        <f ca="1">IF(H48="情况1",0,IF(H48="情况2",D52,IF(H48="情况3",D53,IF(H48="情况4",D54))))</f>
        <v>28</v>
      </c>
      <c r="E48" s="1806" t="str">
        <f>IF(H48="情况4","(销售额-原购置价)×税（费）率","销售额×税（费）率")</f>
        <v>销售额×税（费）率</v>
      </c>
      <c r="F48" s="308">
        <f>IF(H48="情况1","免征",'数据-取费表'!E29)</f>
        <v>5.6000000000000001E-2</v>
      </c>
      <c r="G48" s="267" t="s">
        <v>696</v>
      </c>
      <c r="H48" s="1220" t="s">
        <v>1049</v>
      </c>
      <c r="I48" s="1071"/>
      <c r="J48" s="3030">
        <v>3</v>
      </c>
      <c r="K48" s="3347" t="s">
        <v>697</v>
      </c>
      <c r="L48" s="3347"/>
      <c r="M48" s="3350">
        <f ca="1">I102</f>
        <v>516</v>
      </c>
      <c r="N48" s="3350"/>
      <c r="O48" s="3350"/>
      <c r="P48" s="1226"/>
    </row>
    <row r="49" spans="1:16" ht="25.5" customHeight="1">
      <c r="A49" s="309" t="s">
        <v>719</v>
      </c>
      <c r="B49" s="3263" t="s">
        <v>720</v>
      </c>
      <c r="C49" s="3263"/>
      <c r="D49" s="310">
        <v>0</v>
      </c>
      <c r="E49" s="196" t="s">
        <v>721</v>
      </c>
      <c r="F49" s="201" t="s">
        <v>178</v>
      </c>
      <c r="G49" s="3340"/>
      <c r="H49" s="1059"/>
      <c r="I49" s="1072"/>
      <c r="J49" s="3030">
        <v>4</v>
      </c>
      <c r="K49" s="3347" t="str">
        <f>IF(项目基本情况!F5="房地产抵押价值","房地产抵押价值","抵押担保权已注销时的房地产抵押价值")</f>
        <v>抵押担保权已注销时的房地产抵押价值</v>
      </c>
      <c r="L49" s="3347"/>
      <c r="M49" s="3350">
        <f ca="1">IF(项目基本情况!E8="房地产抵押价值",I110,I112)</f>
        <v>516</v>
      </c>
      <c r="N49" s="3350"/>
      <c r="O49" s="3350"/>
      <c r="P49" s="1226"/>
    </row>
    <row r="50" spans="1:16" ht="25.5" customHeight="1">
      <c r="A50" s="311"/>
      <c r="B50" s="3263" t="s">
        <v>307</v>
      </c>
      <c r="C50" s="3263"/>
      <c r="D50" s="312"/>
      <c r="E50" s="204"/>
      <c r="F50" s="313"/>
      <c r="G50" s="3341"/>
      <c r="H50" s="1059"/>
      <c r="I50" s="1072"/>
      <c r="J50" s="3347" t="s">
        <v>219</v>
      </c>
      <c r="K50" s="3347"/>
      <c r="L50" s="3347"/>
      <c r="M50" s="3347"/>
      <c r="N50" s="3347"/>
      <c r="O50" s="3347"/>
      <c r="P50" s="1226"/>
    </row>
    <row r="51" spans="1:16" ht="12" customHeight="1">
      <c r="A51" s="314"/>
      <c r="B51" s="3263" t="s">
        <v>308</v>
      </c>
      <c r="C51" s="3263"/>
      <c r="D51" s="315"/>
      <c r="E51" s="203"/>
      <c r="F51" s="313"/>
      <c r="G51" s="3342"/>
      <c r="H51" s="1059"/>
      <c r="I51" s="1072"/>
      <c r="J51" s="3028" t="s">
        <v>220</v>
      </c>
      <c r="K51" s="3347" t="s">
        <v>221</v>
      </c>
      <c r="L51" s="3347"/>
      <c r="M51" s="3028" t="s">
        <v>222</v>
      </c>
      <c r="N51" s="3028" t="s">
        <v>223</v>
      </c>
      <c r="O51" s="3028" t="s">
        <v>224</v>
      </c>
      <c r="P51" s="1226"/>
    </row>
    <row r="52" spans="1:16" ht="24" customHeight="1">
      <c r="A52" s="316" t="s">
        <v>309</v>
      </c>
      <c r="B52" s="3263" t="s">
        <v>310</v>
      </c>
      <c r="C52" s="3263"/>
      <c r="D52" s="315">
        <f ca="1">ROUND(D45*'数据-取费表'!E29/(1+'数据-取费表'!F30),0)</f>
        <v>28</v>
      </c>
      <c r="E52" s="193" t="s">
        <v>311</v>
      </c>
      <c r="F52" s="317">
        <f>'数据-取费表'!E29</f>
        <v>5.6000000000000001E-2</v>
      </c>
      <c r="G52" s="268"/>
      <c r="H52" s="1059"/>
      <c r="I52" s="1072"/>
      <c r="J52" s="3030">
        <v>1</v>
      </c>
      <c r="K52" s="3304" t="s">
        <v>698</v>
      </c>
      <c r="L52" s="3304"/>
      <c r="M52" s="1229">
        <f ca="1">D48</f>
        <v>28</v>
      </c>
      <c r="N52" s="3029" t="str">
        <f>E48</f>
        <v>销售额×税（费）率</v>
      </c>
      <c r="O52" s="1230">
        <f>F48</f>
        <v>5.6000000000000001E-2</v>
      </c>
      <c r="P52" s="1226"/>
    </row>
    <row r="53" spans="1:16" ht="12" customHeight="1">
      <c r="A53" s="316" t="s">
        <v>312</v>
      </c>
      <c r="B53" s="3264" t="s">
        <v>313</v>
      </c>
      <c r="C53" s="3265"/>
      <c r="D53" s="315">
        <f ca="1">ROUND(D45*'数据-取费表'!E29/(1+'数据-取费表'!F30),0)</f>
        <v>28</v>
      </c>
      <c r="E53" s="193" t="s">
        <v>311</v>
      </c>
      <c r="F53" s="317">
        <f>'数据-取费表'!E29</f>
        <v>5.6000000000000001E-2</v>
      </c>
      <c r="G53" s="268"/>
      <c r="H53" s="1059"/>
      <c r="I53" s="1072"/>
      <c r="J53" s="3030">
        <v>2</v>
      </c>
      <c r="K53" s="3304" t="s">
        <v>699</v>
      </c>
      <c r="L53" s="3304"/>
      <c r="M53" s="1229">
        <f t="shared" ref="M53:O54" ca="1" si="1">D55</f>
        <v>0</v>
      </c>
      <c r="N53" s="3029" t="str">
        <f t="shared" si="1"/>
        <v>销售额×税（费）率</v>
      </c>
      <c r="O53" s="1230">
        <f t="shared" si="1"/>
        <v>5.0000000000000001E-4</v>
      </c>
      <c r="P53" s="1226"/>
    </row>
    <row r="54" spans="1:16" ht="12" customHeight="1">
      <c r="A54" s="316" t="s">
        <v>314</v>
      </c>
      <c r="B54" s="3264" t="s">
        <v>315</v>
      </c>
      <c r="C54" s="3265"/>
      <c r="D54" s="315">
        <f ca="1">C68</f>
        <v>27</v>
      </c>
      <c r="E54" s="203" t="s">
        <v>316</v>
      </c>
      <c r="F54" s="317">
        <f>'数据-取费表'!E29</f>
        <v>5.6000000000000001E-2</v>
      </c>
      <c r="G54" s="268"/>
      <c r="H54" s="1073"/>
      <c r="I54" s="1072"/>
      <c r="J54" s="3030">
        <v>3</v>
      </c>
      <c r="K54" s="3304" t="s">
        <v>700</v>
      </c>
      <c r="L54" s="3304"/>
      <c r="M54" s="1229">
        <f t="shared" ca="1" si="1"/>
        <v>292</v>
      </c>
      <c r="N54" s="3029" t="str">
        <f t="shared" si="1"/>
        <v>增值额×税（费）率</v>
      </c>
      <c r="O54" s="1231" t="str">
        <f t="shared" si="1"/>
        <v>——</v>
      </c>
      <c r="P54" s="1226"/>
    </row>
    <row r="55" spans="1:16" ht="24" customHeight="1">
      <c r="A55" s="3278" t="s">
        <v>317</v>
      </c>
      <c r="B55" s="3273"/>
      <c r="C55" s="3273"/>
      <c r="D55" s="318">
        <f ca="1">IF(H55="个人住宅",0,ROUND(D45*I55,0))</f>
        <v>0</v>
      </c>
      <c r="E55" s="193" t="s">
        <v>318</v>
      </c>
      <c r="F55" s="317">
        <f>IF(H55="正常",I55,"免征")</f>
        <v>5.0000000000000001E-4</v>
      </c>
      <c r="G55" s="268"/>
      <c r="H55" s="1220" t="s">
        <v>157</v>
      </c>
      <c r="I55" s="319">
        <f>'数据-取费表'!E37</f>
        <v>5.0000000000000001E-4</v>
      </c>
      <c r="J55" s="3030">
        <f>IF(H59="非个人房产","",4)</f>
        <v>4</v>
      </c>
      <c r="K55" s="3304" t="str">
        <f>IF(H59="非个人房产","——","个人所得税")</f>
        <v>个人所得税</v>
      </c>
      <c r="L55" s="3304"/>
      <c r="M55" s="1232">
        <f ca="1">D59</f>
        <v>5</v>
      </c>
      <c r="N55" s="1233" t="str">
        <f>E59</f>
        <v>销售额×税（费）率</v>
      </c>
      <c r="O55" s="1234">
        <f>F59</f>
        <v>0.01</v>
      </c>
      <c r="P55" s="1226"/>
    </row>
    <row r="56" spans="1:16" ht="24.75">
      <c r="A56" s="3278" t="s">
        <v>319</v>
      </c>
      <c r="B56" s="3273"/>
      <c r="C56" s="3273"/>
      <c r="D56" s="318">
        <f ca="1">IF(H56="个人住宅",D57,D58)</f>
        <v>292</v>
      </c>
      <c r="E56" s="193" t="s">
        <v>320</v>
      </c>
      <c r="F56" s="317" t="str">
        <f>IF(H56="正常",F58,"免征")</f>
        <v>——</v>
      </c>
      <c r="G56" s="1074" t="s">
        <v>701</v>
      </c>
      <c r="H56" s="1219" t="s">
        <v>157</v>
      </c>
      <c r="I56" s="167"/>
      <c r="J56" s="3030" t="str">
        <f>IF(项目基本情况!I6="上海银行",IF(J55="",4,J55+1),"")</f>
        <v/>
      </c>
      <c r="K56" s="3323" t="str">
        <f>IF(项目基本情况!I6="上海银行","其他处置费用","")</f>
        <v/>
      </c>
      <c r="L56" s="3324"/>
      <c r="M56" s="1229" t="str">
        <f>IF(项目基本情况!I6="上海银行",M69,"")</f>
        <v/>
      </c>
      <c r="N56" s="3338" t="str">
        <f>IF(项目基本情况!I6="上海银行","包含处置中涉及的律师、诉讼、拍卖、评估等费用","")</f>
        <v/>
      </c>
      <c r="O56" s="3339"/>
      <c r="P56" s="1226"/>
    </row>
    <row r="57" spans="1:16" ht="12.75">
      <c r="A57" s="316" t="s">
        <v>305</v>
      </c>
      <c r="B57" s="3261" t="s">
        <v>321</v>
      </c>
      <c r="C57" s="3274"/>
      <c r="D57" s="320">
        <v>0</v>
      </c>
      <c r="E57" s="196" t="s">
        <v>306</v>
      </c>
      <c r="F57" s="287"/>
      <c r="G57" s="268"/>
      <c r="H57" s="167"/>
      <c r="I57" s="167"/>
      <c r="J57" s="3353">
        <f>IF(AND(J55="",J56=""),4,IF(项目基本情况!I6="上海银行",J56+1,J55+1))</f>
        <v>5</v>
      </c>
      <c r="K57" s="3304" t="s">
        <v>702</v>
      </c>
      <c r="L57" s="1235" t="s">
        <v>225</v>
      </c>
      <c r="M57" s="1236"/>
      <c r="N57" s="1237">
        <f ca="1">SUMIF(M52:M56,"&lt;9e307")</f>
        <v>325</v>
      </c>
      <c r="O57" s="1238"/>
      <c r="P57" s="3031">
        <f ca="1">N57/M49</f>
        <v>0.62984496124031009</v>
      </c>
    </row>
    <row r="58" spans="1:16" ht="24.75">
      <c r="A58" s="316" t="s">
        <v>309</v>
      </c>
      <c r="B58" s="3261" t="s">
        <v>322</v>
      </c>
      <c r="C58" s="3262"/>
      <c r="D58" s="318">
        <f ca="1">IF(H58="转让取得",C81,C97)</f>
        <v>292</v>
      </c>
      <c r="E58" s="193" t="s">
        <v>320</v>
      </c>
      <c r="F58" s="197" t="s">
        <v>178</v>
      </c>
      <c r="G58" s="268"/>
      <c r="H58" s="1219" t="s">
        <v>1048</v>
      </c>
      <c r="I58" s="167"/>
      <c r="J58" s="3353"/>
      <c r="K58" s="3304"/>
      <c r="L58" s="1235" t="s">
        <v>226</v>
      </c>
      <c r="M58" s="1239"/>
      <c r="N58" s="1240" t="str">
        <f ca="1">IF(H19="元",NUMBERSTRING(INT(N57),2)&amp;"元整",NUMBERSTRING(INT(N57*10000),2)&amp;"元整")</f>
        <v>叁佰贰拾伍万元整</v>
      </c>
      <c r="O58" s="1241"/>
      <c r="P58" s="1226"/>
    </row>
    <row r="59" spans="1:16" ht="26.25" thickBot="1">
      <c r="A59" s="3279" t="s">
        <v>323</v>
      </c>
      <c r="B59" s="3280"/>
      <c r="C59" s="3280"/>
      <c r="D59" s="321">
        <f ca="1">IF(H59="非个人房产","——",IF(H59="个人住宅",0,ROUND(D45*I59,0)))</f>
        <v>5</v>
      </c>
      <c r="E59" s="322" t="str">
        <f>IF(H59="非个人房产","——","销售额×税（费）率")</f>
        <v>销售额×税（费）率</v>
      </c>
      <c r="F59" s="323">
        <f>IF(H59="非个人房产","——",IF(H59="个人住宅","免征",I59))</f>
        <v>0.01</v>
      </c>
      <c r="G59" s="1075" t="s">
        <v>175</v>
      </c>
      <c r="H59" s="1219" t="s">
        <v>2858</v>
      </c>
      <c r="I59" s="324">
        <v>0.01</v>
      </c>
      <c r="J59" s="3302">
        <f>J57+1</f>
        <v>6</v>
      </c>
      <c r="K59" s="3304" t="s">
        <v>179</v>
      </c>
      <c r="L59" s="3029" t="s">
        <v>225</v>
      </c>
      <c r="M59" s="1242"/>
      <c r="N59" s="1243">
        <f ca="1">M49-N57</f>
        <v>191</v>
      </c>
      <c r="O59" s="1244"/>
      <c r="P59" s="1226"/>
    </row>
    <row r="60" spans="1:16" ht="12" customHeight="1">
      <c r="A60" s="1715"/>
      <c r="B60" s="1059"/>
      <c r="C60" s="1059"/>
      <c r="D60" s="1059"/>
      <c r="E60" s="167"/>
      <c r="F60" s="167"/>
      <c r="G60" s="167"/>
      <c r="H60" s="168"/>
      <c r="I60" s="1059"/>
      <c r="J60" s="3303"/>
      <c r="K60" s="3304"/>
      <c r="L60" s="1235" t="s">
        <v>226</v>
      </c>
      <c r="M60" s="1239"/>
      <c r="N60" s="1240" t="str">
        <f ca="1">IF(H19="元",NUMBERSTRING(INT(N59),2)&amp;"元整",NUMBERSTRING(INT(N59*10000),2)&amp;"元整")</f>
        <v>壹佰玖拾壹万元整</v>
      </c>
      <c r="O60" s="1241"/>
      <c r="P60" s="1226"/>
    </row>
    <row r="61" spans="1:16" ht="13.5" thickBot="1">
      <c r="A61" s="3281" t="s">
        <v>324</v>
      </c>
      <c r="B61" s="3281"/>
      <c r="C61" s="3281"/>
      <c r="D61" s="3281"/>
      <c r="E61" s="3281"/>
      <c r="F61" s="167"/>
      <c r="G61" s="167"/>
      <c r="H61" s="168"/>
      <c r="I61" s="1059"/>
      <c r="J61" s="3030">
        <f>J59+1</f>
        <v>7</v>
      </c>
      <c r="K61" s="3304" t="s">
        <v>227</v>
      </c>
      <c r="L61" s="3304"/>
      <c r="M61" s="1245"/>
      <c r="N61" s="1246">
        <f ca="1">IF(H19="元",ROUND(N59/项目基本情况!C12,0),ROUND(N59*10000/项目基本情况!C12,0))</f>
        <v>15428</v>
      </c>
      <c r="O61" s="1247"/>
      <c r="P61" s="1226"/>
    </row>
    <row r="62" spans="1:16" ht="12.75">
      <c r="A62" s="3291" t="s">
        <v>325</v>
      </c>
      <c r="B62" s="3292"/>
      <c r="C62" s="1807"/>
      <c r="D62" s="1807"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491</v>
      </c>
      <c r="D63" s="329"/>
      <c r="E63" s="330"/>
      <c r="F63" s="167"/>
      <c r="G63" s="167"/>
      <c r="H63" s="168"/>
      <c r="I63" s="1059"/>
      <c r="J63" s="3325" t="s">
        <v>2849</v>
      </c>
      <c r="K63" s="3035" t="s">
        <v>2850</v>
      </c>
      <c r="L63" s="3036">
        <f ca="1">IF(M49&gt;10000,M49*0.5%,IF(AND(M49&gt;1000,M49&lt;=10000),M49*1%,IF(AND(M49&gt;100,M49&lt;=1000),M49*3%,IF(AND(M49&gt;10,M49&lt;=100),M49*5%,M49*8%))))</f>
        <v>15.479999999999999</v>
      </c>
      <c r="M63" s="197">
        <f ca="1">ROUND(L63,1)</f>
        <v>15.5</v>
      </c>
      <c r="N63" s="1226"/>
      <c r="O63" s="1226"/>
      <c r="P63" s="1226"/>
    </row>
    <row r="64" spans="1:16" ht="12.75">
      <c r="A64" s="331" t="s">
        <v>228</v>
      </c>
      <c r="B64" s="332" t="s">
        <v>327</v>
      </c>
      <c r="C64" s="333">
        <f ca="1">D45</f>
        <v>516</v>
      </c>
      <c r="D64" s="334" t="s">
        <v>169</v>
      </c>
      <c r="E64" s="335"/>
      <c r="F64" s="167"/>
      <c r="G64" s="167"/>
      <c r="H64" s="168"/>
      <c r="I64" s="1059"/>
      <c r="J64" s="3325"/>
      <c r="K64" s="3035" t="s">
        <v>2851</v>
      </c>
      <c r="L64" s="3036">
        <f ca="1">IF(M49&gt;2000,M49*0.5%,IF(AND(M49&gt;1000,M49&lt;=2000),M49*0.6%,IF(AND(M49&gt;500,M49&lt;=1000),M49*0.7%,IF(AND(M49&gt;200,M49&lt;=500),M49*0.8%,IF(AND(M49&gt;100,M49&lt;=200),M49*0.9%,IF(AND(M49&gt;50,M49&lt;=100),M49*1%,IF(AND(M49&gt;20,M49&lt;=50),M49*1.5%,IF(AND(M49&gt;10,M49&lt;=20),M49*2%,IF(AND(M49&gt;1,M49&lt;=10),M49*2.5%)))))))))</f>
        <v>3.6119999999999997</v>
      </c>
      <c r="M64" s="197">
        <f t="shared" ref="M64:M65" ca="1" si="2">ROUND(L64,1)</f>
        <v>3.6</v>
      </c>
      <c r="N64" s="3037" t="s">
        <v>2852</v>
      </c>
      <c r="O64" s="1226"/>
      <c r="P64" s="1226"/>
    </row>
    <row r="65" spans="1:35" ht="12.75">
      <c r="A65" s="331" t="s">
        <v>229</v>
      </c>
      <c r="B65" s="332" t="s">
        <v>328</v>
      </c>
      <c r="C65" s="336"/>
      <c r="D65" s="334"/>
      <c r="E65" s="335"/>
      <c r="F65" s="167"/>
      <c r="G65" s="167"/>
      <c r="H65" s="168"/>
      <c r="I65" s="1059"/>
      <c r="J65" s="3325"/>
      <c r="K65" s="3035" t="s">
        <v>2853</v>
      </c>
      <c r="L65" s="3036">
        <f ca="1">IF(M49&gt;1000,M49*0.1%,IF(AND(M49&gt;500,M49&lt;=1000),M49*0.5%,IF(AND(M49&gt;50,M49&lt;=500),M49*1%,IF(AND(M49&gt;1,M49&lt;=50),M49*1.5%))))</f>
        <v>2.58</v>
      </c>
      <c r="M65" s="197">
        <f t="shared" ca="1" si="2"/>
        <v>2.6</v>
      </c>
      <c r="N65" s="3037" t="s">
        <v>2852</v>
      </c>
      <c r="O65" s="1226"/>
      <c r="P65" s="1226"/>
    </row>
    <row r="66" spans="1:35" ht="12.75">
      <c r="A66" s="337" t="s">
        <v>177</v>
      </c>
      <c r="B66" s="338" t="s">
        <v>329</v>
      </c>
      <c r="C66" s="339"/>
      <c r="D66" s="340" t="s">
        <v>169</v>
      </c>
      <c r="E66" s="3063" t="s">
        <v>2893</v>
      </c>
      <c r="F66" s="167"/>
      <c r="G66" s="167"/>
      <c r="H66" s="168"/>
      <c r="I66" s="1059"/>
      <c r="J66" s="3325"/>
      <c r="K66" s="3035" t="s">
        <v>2854</v>
      </c>
      <c r="L66" s="3036">
        <f ca="1">M49*0.5%</f>
        <v>2.58</v>
      </c>
      <c r="M66" s="197">
        <f ca="1">IF(L66&gt;0.5,0.5,ROUND(L66,0))</f>
        <v>0.5</v>
      </c>
      <c r="N66" s="3037" t="s">
        <v>2855</v>
      </c>
      <c r="O66" s="1226"/>
      <c r="P66" s="1226"/>
    </row>
    <row r="67" spans="1:35" ht="12.75">
      <c r="A67" s="337" t="s">
        <v>170</v>
      </c>
      <c r="B67" s="338" t="s">
        <v>330</v>
      </c>
      <c r="C67" s="341">
        <f ca="1">C63-C66</f>
        <v>491</v>
      </c>
      <c r="D67" s="334" t="s">
        <v>169</v>
      </c>
      <c r="E67" s="335"/>
      <c r="F67" s="167"/>
      <c r="G67" s="167"/>
      <c r="H67" s="168"/>
      <c r="I67" s="1059"/>
      <c r="J67" s="3325"/>
      <c r="K67" s="3035" t="s">
        <v>2856</v>
      </c>
      <c r="L67" s="3036">
        <f ca="1">IF(M49&gt;=10000,(8.25+(M49-10000)*0.01%),IF(AND(M49&gt;=8000,M49&lt;10000),(7.85+(M49-8000)*0.02%),IF(AND(M49&gt;=5000,M49&lt;8000),(6.65+(M49-5000)*0.04%),IF(AND(M49&gt;=2000,M49&lt;5000),(4.25+(PM49-2000)*0.08%),IF(AND(M49&gt;=1000,M49&lt;2000),(2.75+(M49-1000)*0.15%),IF(AND(M49&gt;=100,M49&lt;1000),(0.5+(M49-100)*0.25%),IF(AND(M49&gt;0,M49&lt;100),M49*0.5%)))))))</f>
        <v>1.54</v>
      </c>
      <c r="M67" s="197">
        <f ca="1">ROUND(L67*0.9,1)</f>
        <v>1.4</v>
      </c>
      <c r="N67" s="1226"/>
      <c r="O67" s="1226"/>
      <c r="P67" s="1226"/>
    </row>
    <row r="68" spans="1:35" ht="13.5" thickBot="1">
      <c r="A68" s="342" t="s">
        <v>176</v>
      </c>
      <c r="B68" s="343" t="s">
        <v>331</v>
      </c>
      <c r="C68" s="344">
        <f ca="1">IF(C67&lt;=0,0,ROUND(C67*D68,0))</f>
        <v>27</v>
      </c>
      <c r="D68" s="345">
        <f>'数据-取费表'!E29</f>
        <v>5.6000000000000001E-2</v>
      </c>
      <c r="E68" s="346"/>
      <c r="F68" s="167"/>
      <c r="G68" s="167"/>
      <c r="H68" s="168"/>
      <c r="I68" s="1059"/>
      <c r="J68" s="3325"/>
      <c r="K68" s="3035" t="s">
        <v>2857</v>
      </c>
      <c r="L68" s="3036">
        <f ca="1">IF(M49&gt;10000,M49*0.5%,IF(AND(M49&gt;5000,M49&lt;=10000),M49*1%,IF(AND(M49&gt;1000,M49&lt;=5000),M49*2%,IF(AND(M49&gt;200,M49&lt;=1000),M49*3%,M49*5%))))</f>
        <v>15.479999999999999</v>
      </c>
      <c r="M68" s="197">
        <f ca="1">ROUND(L68,1)</f>
        <v>15.5</v>
      </c>
      <c r="N68" s="1226"/>
      <c r="O68" s="1226"/>
      <c r="P68" s="1226"/>
    </row>
    <row r="69" spans="1:35" s="1061" customFormat="1" ht="7.5" customHeight="1">
      <c r="A69" s="1076"/>
      <c r="B69" s="1077"/>
      <c r="C69" s="1078"/>
      <c r="D69" s="1079"/>
      <c r="E69" s="1756"/>
      <c r="F69" s="167"/>
      <c r="G69" s="167"/>
      <c r="H69" s="168"/>
      <c r="I69" s="1059"/>
      <c r="J69" s="3325"/>
      <c r="K69" s="3035" t="s">
        <v>194</v>
      </c>
      <c r="L69" s="3038"/>
      <c r="M69" s="197">
        <f ca="1">ROUND(SUM(M63:M68),0)</f>
        <v>39</v>
      </c>
      <c r="N69" s="3031">
        <f ca="1">M69/M49</f>
        <v>7.5581395348837205E-2</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95" t="s">
        <v>332</v>
      </c>
      <c r="B70" s="3296"/>
      <c r="C70" s="3296"/>
      <c r="D70" s="3296"/>
      <c r="E70" s="3296"/>
      <c r="F70" s="3296"/>
      <c r="G70" s="3296"/>
      <c r="H70" s="3296"/>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291" t="s">
        <v>325</v>
      </c>
      <c r="B71" s="3292"/>
      <c r="C71" s="1807"/>
      <c r="D71" s="1807"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491</v>
      </c>
      <c r="D72" s="334" t="s">
        <v>169</v>
      </c>
      <c r="E72" s="2432" t="s">
        <v>2424</v>
      </c>
      <c r="F72" s="1803"/>
      <c r="G72" s="1803"/>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3</v>
      </c>
      <c r="D73" s="334" t="s">
        <v>169</v>
      </c>
      <c r="E73" s="1804"/>
      <c r="F73" s="1803"/>
      <c r="G73" s="1803"/>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4"/>
      <c r="F74" s="1803"/>
      <c r="G74" s="1803"/>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1046</v>
      </c>
      <c r="G75" s="355" t="s">
        <v>711</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64" t="s">
        <v>341</v>
      </c>
      <c r="F76" s="3263"/>
      <c r="G76" s="3263"/>
      <c r="H76" s="3283"/>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712</v>
      </c>
      <c r="F77" s="360"/>
      <c r="G77" s="1216" t="s">
        <v>2422</v>
      </c>
      <c r="H77" s="1808"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3</v>
      </c>
      <c r="D78" s="362">
        <f>'数据-取费表'!E31</f>
        <v>6.000000000000001E-3</v>
      </c>
      <c r="E78" s="3255" t="s">
        <v>2423</v>
      </c>
      <c r="F78" s="3256"/>
      <c r="G78" s="3256"/>
      <c r="H78" s="3257"/>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488</v>
      </c>
      <c r="D79" s="334" t="s">
        <v>169</v>
      </c>
      <c r="E79" s="1804"/>
      <c r="F79" s="1803"/>
      <c r="G79" s="1803"/>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162.66666666666666</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292</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295" t="s">
        <v>347</v>
      </c>
      <c r="B83" s="3296"/>
      <c r="C83" s="3296"/>
      <c r="D83" s="3296"/>
      <c r="E83" s="3296"/>
      <c r="F83" s="3296"/>
      <c r="G83" s="3296"/>
      <c r="H83" s="3296"/>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291" t="s">
        <v>325</v>
      </c>
      <c r="B84" s="3292"/>
      <c r="C84" s="1807"/>
      <c r="D84" s="1807"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491</v>
      </c>
      <c r="D85" s="334" t="s">
        <v>169</v>
      </c>
      <c r="E85" s="2431" t="s">
        <v>2421</v>
      </c>
      <c r="F85" s="1803"/>
      <c r="G85" s="1803"/>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3</v>
      </c>
      <c r="D86" s="373"/>
      <c r="E86" s="1804"/>
      <c r="F86" s="1803"/>
      <c r="G86" s="180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800"/>
      <c r="F87" s="1801"/>
      <c r="G87" s="1801"/>
      <c r="H87" s="180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1"/>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1"/>
      <c r="G89" s="1801"/>
      <c r="H89" s="1802"/>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1"/>
      <c r="G90" s="1801"/>
      <c r="H90" s="180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27" t="s">
        <v>713</v>
      </c>
      <c r="F91" s="3256"/>
      <c r="G91" s="3256"/>
      <c r="H91" s="1218" t="s">
        <v>2202</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27" t="s">
        <v>356</v>
      </c>
      <c r="F92" s="3256"/>
      <c r="G92" s="3256"/>
      <c r="H92" s="3257"/>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3</v>
      </c>
      <c r="D93" s="362">
        <f>'数据-取费表'!E31</f>
        <v>6.000000000000001E-3</v>
      </c>
      <c r="E93" s="3255" t="s">
        <v>2423</v>
      </c>
      <c r="F93" s="3256"/>
      <c r="G93" s="3256"/>
      <c r="H93" s="325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27" t="s">
        <v>358</v>
      </c>
      <c r="F94" s="3256"/>
      <c r="G94" s="3256"/>
      <c r="H94" s="325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488</v>
      </c>
      <c r="D95" s="334" t="s">
        <v>169</v>
      </c>
      <c r="E95" s="1804"/>
      <c r="F95" s="1803"/>
      <c r="G95" s="1803"/>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162.66666666666666</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292</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20" t="s">
        <v>241</v>
      </c>
      <c r="B99" s="3321"/>
      <c r="C99" s="3321"/>
      <c r="D99" s="3322"/>
      <c r="E99" s="1059"/>
      <c r="F99" s="3332" t="s">
        <v>2764</v>
      </c>
      <c r="G99" s="3333"/>
      <c r="H99" s="3333"/>
      <c r="I99" s="3334"/>
    </row>
    <row r="100" spans="1:35" ht="14.25">
      <c r="A100" s="3335" t="s">
        <v>212</v>
      </c>
      <c r="B100" s="3336"/>
      <c r="C100" s="1084" t="str">
        <f>C4</f>
        <v>收益法</v>
      </c>
      <c r="D100" s="1085" t="str">
        <f>D4</f>
        <v>比较法-办公</v>
      </c>
      <c r="E100" s="1059"/>
      <c r="F100" s="3220" t="s">
        <v>1860</v>
      </c>
      <c r="G100" s="3221"/>
      <c r="H100" s="3220" t="s">
        <v>2007</v>
      </c>
      <c r="I100" s="3337"/>
    </row>
    <row r="101" spans="1:35" ht="15.75">
      <c r="A101" s="3312" t="s">
        <v>213</v>
      </c>
      <c r="B101" s="1678" t="str">
        <f>IF(H19="元","总价（元）","总价（万元）")</f>
        <v>总价（万元）</v>
      </c>
      <c r="C101" s="1051">
        <f ca="1">C19</f>
        <v>496</v>
      </c>
      <c r="D101" s="1052">
        <f ca="1">D19</f>
        <v>536</v>
      </c>
      <c r="E101" s="1059"/>
      <c r="F101" s="3220" t="str">
        <f>项目基本情况!I1</f>
        <v>北京市海淀区车公庄西路乙19号房地产</v>
      </c>
      <c r="G101" s="3221"/>
      <c r="H101" s="3218">
        <f>项目基本情况!C12</f>
        <v>123.8</v>
      </c>
      <c r="I101" s="3219"/>
    </row>
    <row r="102" spans="1:35" ht="15.75">
      <c r="A102" s="3312"/>
      <c r="B102" s="1678" t="s">
        <v>1861</v>
      </c>
      <c r="C102" s="1053">
        <f ca="1">C20</f>
        <v>40036</v>
      </c>
      <c r="D102" s="1054">
        <f ca="1">D20</f>
        <v>43320</v>
      </c>
      <c r="E102" s="1059"/>
      <c r="F102" s="3247" t="s">
        <v>1866</v>
      </c>
      <c r="G102" s="3248"/>
      <c r="H102" s="1880" t="str">
        <f>C106</f>
        <v>总价（万元）</v>
      </c>
      <c r="I102" s="3069">
        <f ca="1">H121</f>
        <v>516</v>
      </c>
    </row>
    <row r="103" spans="1:35" ht="15">
      <c r="A103" s="3312" t="s">
        <v>214</v>
      </c>
      <c r="B103" s="1679" t="str">
        <f>B101</f>
        <v>总价（万元）</v>
      </c>
      <c r="C103" s="1055">
        <f ca="1">H121</f>
        <v>516</v>
      </c>
      <c r="D103" s="1056"/>
      <c r="E103" s="1059"/>
      <c r="F103" s="3247"/>
      <c r="G103" s="3248"/>
      <c r="H103" s="1880" t="s">
        <v>1858</v>
      </c>
      <c r="I103" s="1766">
        <f ca="1">I121</f>
        <v>41680</v>
      </c>
    </row>
    <row r="104" spans="1:35" ht="15.75" thickBot="1">
      <c r="A104" s="3313"/>
      <c r="B104" s="1680" t="s">
        <v>1859</v>
      </c>
      <c r="C104" s="1057">
        <f ca="1">I121</f>
        <v>41680</v>
      </c>
      <c r="D104" s="1058"/>
      <c r="E104" s="1059"/>
      <c r="F104" s="3330"/>
      <c r="G104" s="3331"/>
      <c r="H104" s="3314"/>
      <c r="I104" s="3315"/>
    </row>
    <row r="105" spans="1:35" ht="15.75">
      <c r="A105" s="3320" t="s">
        <v>2763</v>
      </c>
      <c r="B105" s="3321"/>
      <c r="C105" s="3321"/>
      <c r="D105" s="3322"/>
      <c r="E105" s="1059"/>
      <c r="F105" s="3318" t="s">
        <v>1962</v>
      </c>
      <c r="G105" s="3319"/>
      <c r="H105" s="1881" t="str">
        <f>C108</f>
        <v>总额（万元）</v>
      </c>
      <c r="I105" s="3069">
        <f>SUMIF(I106:I108,"&lt;9E307")</f>
        <v>0</v>
      </c>
    </row>
    <row r="106" spans="1:35" ht="15">
      <c r="A106" s="3234" t="s">
        <v>2425</v>
      </c>
      <c r="B106" s="3235"/>
      <c r="C106" s="1880" t="str">
        <f>B101</f>
        <v>总价（万元）</v>
      </c>
      <c r="D106" s="1767">
        <f ca="1">H121</f>
        <v>516</v>
      </c>
      <c r="E106" s="1059"/>
      <c r="F106" s="3236" t="s">
        <v>1863</v>
      </c>
      <c r="G106" s="3237"/>
      <c r="H106" s="1881" t="str">
        <f>C109</f>
        <v>总额（万元）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34"/>
      <c r="B107" s="3235"/>
      <c r="C107" s="1880" t="s">
        <v>1966</v>
      </c>
      <c r="D107" s="1768">
        <f ca="1">I121</f>
        <v>41680</v>
      </c>
      <c r="E107" s="1059"/>
      <c r="F107" s="3236" t="s">
        <v>1864</v>
      </c>
      <c r="G107" s="3237"/>
      <c r="H107" s="1881" t="str">
        <f>C110</f>
        <v>总额（万元）</v>
      </c>
      <c r="I107" s="1766">
        <f>C37</f>
        <v>0</v>
      </c>
      <c r="K107" s="2125"/>
    </row>
    <row r="108" spans="1:35" ht="15">
      <c r="A108" s="3241" t="s">
        <v>1962</v>
      </c>
      <c r="B108" s="3242"/>
      <c r="C108" s="1881" t="str">
        <f>IF(H19="元","总额（元）","总额（万元）")</f>
        <v>总额（万元）</v>
      </c>
      <c r="D108" s="1767">
        <f>IF(D36="正常操作",I106+I107+I108,I107+I108)</f>
        <v>0</v>
      </c>
      <c r="E108" s="1059"/>
      <c r="F108" s="3236" t="s">
        <v>1865</v>
      </c>
      <c r="G108" s="3237"/>
      <c r="H108" s="1881" t="str">
        <f>C111</f>
        <v>总额（万元）</v>
      </c>
      <c r="I108" s="1766">
        <f>C38</f>
        <v>0</v>
      </c>
    </row>
    <row r="109" spans="1:35" ht="14.25">
      <c r="A109" s="3236" t="s">
        <v>1863</v>
      </c>
      <c r="B109" s="3237"/>
      <c r="C109" s="1881" t="str">
        <f>C108</f>
        <v>总额（万元）</v>
      </c>
      <c r="D109" s="855">
        <f>IF(D36="同一抵押权人同一抵押物续贷",C36&amp;"（未扣减，详见特别提示）",C36)</f>
        <v>0</v>
      </c>
      <c r="E109" s="1059"/>
      <c r="F109" s="3330"/>
      <c r="G109" s="3331"/>
      <c r="H109" s="3316"/>
      <c r="I109" s="3317"/>
    </row>
    <row r="110" spans="1:35" ht="28.5" customHeight="1">
      <c r="A110" s="3236" t="s">
        <v>1864</v>
      </c>
      <c r="B110" s="3237"/>
      <c r="C110" s="1881" t="str">
        <f>C108</f>
        <v>总额（万元）</v>
      </c>
      <c r="D110" s="855">
        <f>C37</f>
        <v>0</v>
      </c>
      <c r="E110" s="1059"/>
      <c r="F110" s="3222" t="str">
        <f>IF(项目基本情况!F5="已注销","——","3.房地产抵押价值")</f>
        <v>——</v>
      </c>
      <c r="G110" s="3223"/>
      <c r="H110" s="3075" t="str">
        <f>C112</f>
        <v>总价（万元）</v>
      </c>
      <c r="I110" s="3076" t="str">
        <f>IF(F110="——","——",I102-I105)</f>
        <v>——</v>
      </c>
    </row>
    <row r="111" spans="1:35" ht="14.25">
      <c r="A111" s="3236" t="s">
        <v>1865</v>
      </c>
      <c r="B111" s="3237"/>
      <c r="C111" s="1881" t="str">
        <f>C108</f>
        <v>总额（万元）</v>
      </c>
      <c r="D111" s="855">
        <f>C38</f>
        <v>0</v>
      </c>
      <c r="E111" s="1059"/>
      <c r="F111" s="3351"/>
      <c r="G111" s="3352"/>
      <c r="H111" s="1880" t="s">
        <v>1858</v>
      </c>
      <c r="I111" s="3077" t="e">
        <f ca="1">D113</f>
        <v>#VALUE!</v>
      </c>
    </row>
    <row r="112" spans="1:35" ht="26.25" customHeight="1">
      <c r="A112" s="3234" t="str">
        <f>IF(项目基本情况!F5="已注销","——","3.房地产抵押价值")</f>
        <v>——</v>
      </c>
      <c r="B112" s="3235"/>
      <c r="C112" s="1880" t="str">
        <f>B101</f>
        <v>总价（万元）</v>
      </c>
      <c r="D112" s="1767" t="str">
        <f>IF(A112="——","——",D106-D108)</f>
        <v>——</v>
      </c>
      <c r="E112" s="1059"/>
      <c r="F112" s="3222" t="str">
        <f>IF(项目基本情况!F5="已注销及未注销","4.抵押担保权已注销时的房地产抵押价值",IF(项目基本情况!F5="已注销","3.抵押担保权已注销时的房地产抵押价值","——"))</f>
        <v>3.抵押担保权已注销时的房地产抵押价值</v>
      </c>
      <c r="G112" s="3223"/>
      <c r="H112" s="3075" t="str">
        <f>C114</f>
        <v>总价（万元）</v>
      </c>
      <c r="I112" s="3076">
        <f ca="1">IF(F112="——","——",I102-I107-I108)</f>
        <v>516</v>
      </c>
    </row>
    <row r="113" spans="1:15" ht="14.25">
      <c r="A113" s="3234"/>
      <c r="B113" s="3235"/>
      <c r="C113" s="1880" t="s">
        <v>1858</v>
      </c>
      <c r="D113" s="1768" t="e">
        <f ca="1">ROUND(IF(D112=D106,D107,IF(H19="元",D112/项目基本情况!C12,D112*10000/项目基本情况!C12)),0)</f>
        <v>#VALUE!</v>
      </c>
      <c r="E113" s="1059"/>
      <c r="F113" s="3351"/>
      <c r="G113" s="3352"/>
      <c r="H113" s="1880" t="s">
        <v>1858</v>
      </c>
      <c r="I113" s="3078">
        <f ca="1">D115</f>
        <v>41680</v>
      </c>
    </row>
    <row r="114" spans="1:15" ht="15.75">
      <c r="A114" s="3234" t="str">
        <f>IF(项目基本情况!F5="已注销及未注销","4.抵押担保权已注销时的房地产抵押价值",IF(项目基本情况!F5="已注销","3.抵押担保权已注销时的房地产抵押价值","——"))</f>
        <v>3.抵押担保权已注销时的房地产抵押价值</v>
      </c>
      <c r="B114" s="3235"/>
      <c r="C114" s="1880" t="str">
        <f>B101</f>
        <v>总价（万元）</v>
      </c>
      <c r="D114" s="1767">
        <f ca="1">IF(A114="——","——",D106-D110-D111)</f>
        <v>516</v>
      </c>
      <c r="E114" s="1059"/>
      <c r="F114" s="3222" t="str">
        <f>IF(项目基本情况!G5="抵押净值",IF(OR(项目基本情况!F5="已注销",项目基本情况!F5="房地产抵押价值"),"4.抵押净值","5.抵押净值"),"——")</f>
        <v>——</v>
      </c>
      <c r="G114" s="3223"/>
      <c r="H114" s="1880" t="str">
        <f>C116</f>
        <v>总价（万元）</v>
      </c>
      <c r="I114" s="3069" t="str">
        <f>IF(F114="——","——",N59)</f>
        <v>——</v>
      </c>
    </row>
    <row r="115" spans="1:15" ht="15.75" thickBot="1">
      <c r="A115" s="3234"/>
      <c r="B115" s="3235"/>
      <c r="C115" s="1880" t="s">
        <v>1858</v>
      </c>
      <c r="D115" s="1768">
        <f ca="1">IF(A114="——","——",ROUND(IF(D114=D106,D107,IF(H19="元",D114/项目基本情况!C12,D114*10000/项目基本情况!C12)),0))</f>
        <v>41680</v>
      </c>
      <c r="E115" s="1059"/>
      <c r="F115" s="3224"/>
      <c r="G115" s="3225"/>
      <c r="H115" s="1882" t="s">
        <v>1858</v>
      </c>
      <c r="I115" s="3079" t="e">
        <f ca="1">D117</f>
        <v>#VALUE!</v>
      </c>
    </row>
    <row r="116" spans="1:15" ht="15">
      <c r="A116" s="3234" t="str">
        <f>IF(项目基本情况!G5="抵押净值",IF(OR(项目基本情况!F5="已注销",项目基本情况!F5="房地产抵押价值"),"4.抵押净值","5.抵押净值"),"——")</f>
        <v>——</v>
      </c>
      <c r="B116" s="3235"/>
      <c r="C116" s="1880" t="str">
        <f>B101</f>
        <v>总价（万元）</v>
      </c>
      <c r="D116" s="1767" t="str">
        <f>IF(A116="——","——",N59)</f>
        <v>——</v>
      </c>
      <c r="E116" s="1059"/>
      <c r="F116" s="3346"/>
      <c r="G116" s="3346"/>
      <c r="H116" s="3299"/>
      <c r="I116" s="3299"/>
      <c r="N116" s="1891"/>
      <c r="O116" s="1891"/>
    </row>
    <row r="117" spans="1:15" ht="15" thickBot="1">
      <c r="A117" s="3239"/>
      <c r="B117" s="3240"/>
      <c r="C117" s="1882" t="s">
        <v>1858</v>
      </c>
      <c r="D117" s="1769" t="e">
        <f ca="1">IF(D116=D112,D113,IF(A116="——","——",N61))</f>
        <v>#VALUE!</v>
      </c>
      <c r="E117" s="1059"/>
      <c r="F117" s="3214" t="str">
        <f>IF(B32="总价","（以上估价结果中单价为总价除以建筑面积得出）","（以上估价结果中总价为楼面单价乘以建筑面积得出）")</f>
        <v>（以上估价结果中单价为总价除以建筑面积得出）</v>
      </c>
      <c r="G117" s="3214"/>
      <c r="H117" s="3214"/>
      <c r="I117" s="3214"/>
      <c r="N117" s="1891"/>
      <c r="O117" s="1891"/>
    </row>
    <row r="118" spans="1:15" ht="13.5">
      <c r="A118" s="3300" t="s">
        <v>2894</v>
      </c>
      <c r="B118" s="3301"/>
      <c r="C118" s="3301"/>
      <c r="D118" s="3301"/>
      <c r="E118" s="3301"/>
      <c r="F118" s="3301"/>
      <c r="G118" s="3301"/>
      <c r="H118" s="3301"/>
      <c r="I118" s="3301"/>
    </row>
    <row r="119" spans="1:15" ht="13.5">
      <c r="A119" s="3215" t="s">
        <v>3</v>
      </c>
      <c r="B119" s="3245" t="s">
        <v>1887</v>
      </c>
      <c r="C119" s="3245" t="s">
        <v>703</v>
      </c>
      <c r="D119" s="3328" t="s">
        <v>211</v>
      </c>
      <c r="E119" s="3329"/>
      <c r="F119" s="3216" t="s">
        <v>1888</v>
      </c>
      <c r="G119" s="3216"/>
      <c r="H119" s="3216" t="s">
        <v>4</v>
      </c>
      <c r="I119" s="3326"/>
    </row>
    <row r="120" spans="1:15" ht="13.5">
      <c r="A120" s="3215"/>
      <c r="B120" s="3246"/>
      <c r="C120" s="3246"/>
      <c r="D120" s="1799" t="s">
        <v>5</v>
      </c>
      <c r="E120" s="1799" t="s">
        <v>704</v>
      </c>
      <c r="F120" s="1799" t="s">
        <v>5</v>
      </c>
      <c r="G120" s="1799" t="s">
        <v>6</v>
      </c>
      <c r="H120" s="1799" t="s">
        <v>5</v>
      </c>
      <c r="I120" s="1810" t="s">
        <v>6</v>
      </c>
    </row>
    <row r="121" spans="1:15" ht="40.5">
      <c r="A121" s="1798" t="str">
        <f>项目基本情况!I1</f>
        <v>北京市海淀区车公庄西路乙19号房地产</v>
      </c>
      <c r="B121" s="1805">
        <f>项目基本情况!C12</f>
        <v>123.8</v>
      </c>
      <c r="C121" s="1805">
        <f>项目基本情况!C13</f>
        <v>0</v>
      </c>
      <c r="D121" s="1805">
        <f ca="1">ROUND(IF(B32="总价",C34,IF('数据-取费表'!B3="万元",E121*B121/10000,E121*B121)),0)</f>
        <v>482</v>
      </c>
      <c r="E121" s="1805">
        <f ca="1">ROUND(IF(B32="楼面单价",C34,IF(H19="元",D121/B121,D121*10000/B121)),0)</f>
        <v>38934</v>
      </c>
      <c r="F121" s="1805">
        <f ca="1">ROUND(IF(B32="总价",C35,IF('数据-取费表'!B3="万元",G121*B121/10000,G121*B121)),0)</f>
        <v>34</v>
      </c>
      <c r="G121" s="1805">
        <f ca="1">ROUND(IF(B32="楼面单价",C35,IF(H19="元",F121/B121,F121*10000/B121)),0)</f>
        <v>2746</v>
      </c>
      <c r="H121" s="1805">
        <f ca="1">ROUND(IF(B32="总价",C32,IF('数据-取费表'!B3="万元",I121*B121/10000,I121*B121)),0)</f>
        <v>516</v>
      </c>
      <c r="I121" s="855">
        <f ca="1">ROUND(IF(B32="楼面单价",C32,IF(H19="元",H121/B121,H121*10000/B121)),0)</f>
        <v>41680</v>
      </c>
    </row>
    <row r="122" spans="1:15" ht="13.5">
      <c r="A122" s="3215" t="s">
        <v>7</v>
      </c>
      <c r="B122" s="3216"/>
      <c r="C122" s="3216"/>
      <c r="D122" s="3249" t="str">
        <f ca="1">IF(H19="元",NUMBERSTRING(INT(D121),2)&amp;"元整",NUMBERSTRING(INT(D121*10000),2)&amp;"元整")</f>
        <v>肆佰捌拾贰万元整</v>
      </c>
      <c r="E122" s="3305"/>
      <c r="F122" s="3249" t="str">
        <f ca="1">IF(H19="元",NUMBERSTRING(INT(F121),2)&amp;"元整",NUMBERSTRING(INT(F121*10000),2)&amp;"元整")</f>
        <v>叁拾肆万元整</v>
      </c>
      <c r="G122" s="3305"/>
      <c r="H122" s="3249" t="str">
        <f ca="1">IF(H19="元",NUMBERSTRING(INT(H121),2)&amp;"元整",NUMBERSTRING(INT(H121*10000),2)&amp;"元整")</f>
        <v>伍佰壹拾陆万元整</v>
      </c>
      <c r="I122" s="3250"/>
    </row>
    <row r="123" spans="1:15" ht="15">
      <c r="A123" s="3306" t="str">
        <f>IF(项目基本情况!D5="房地产市场价值","——",MID(A108,3,LEN(A108)-2))</f>
        <v>估价师所知悉的法定优先受偿款</v>
      </c>
      <c r="B123" s="3307"/>
      <c r="C123" s="3308"/>
      <c r="D123" s="3226">
        <f>I105</f>
        <v>0</v>
      </c>
      <c r="E123" s="3227"/>
      <c r="F123" s="3227"/>
      <c r="G123" s="3227"/>
      <c r="H123" s="3227"/>
      <c r="I123" s="3228"/>
    </row>
    <row r="124" spans="1:15" ht="13.5">
      <c r="A124" s="3309" t="s">
        <v>7</v>
      </c>
      <c r="B124" s="3310"/>
      <c r="C124" s="3311"/>
      <c r="D124" s="3229">
        <f>H109</f>
        <v>0</v>
      </c>
      <c r="E124" s="3230"/>
      <c r="F124" s="3230"/>
      <c r="G124" s="3230"/>
      <c r="H124" s="3230"/>
      <c r="I124" s="3231"/>
    </row>
    <row r="125" spans="1:15" ht="15">
      <c r="A125" s="3232" t="str">
        <f>IF(项目基本情况!D5="房地产市场价值","——",MID(A112,3,LEN(A112)-2))</f>
        <v/>
      </c>
      <c r="B125" s="3233"/>
      <c r="C125" s="3233"/>
      <c r="D125" s="3226" t="str">
        <f>I110</f>
        <v>——</v>
      </c>
      <c r="E125" s="3227"/>
      <c r="F125" s="3227"/>
      <c r="G125" s="3227"/>
      <c r="H125" s="3227"/>
      <c r="I125" s="3228"/>
    </row>
    <row r="126" spans="1:15" ht="13.5">
      <c r="A126" s="3215" t="s">
        <v>7</v>
      </c>
      <c r="B126" s="3216"/>
      <c r="C126" s="3216"/>
      <c r="D126" s="3229" t="e">
        <f ca="1">I111</f>
        <v>#VALUE!</v>
      </c>
      <c r="E126" s="3230"/>
      <c r="F126" s="3230"/>
      <c r="G126" s="3230"/>
      <c r="H126" s="3230"/>
      <c r="I126" s="3231"/>
    </row>
    <row r="127" spans="1:15" ht="15.75" thickBot="1">
      <c r="A127" s="3232" t="str">
        <f>IF(项目基本情况!D5="房地产市场价值","——",MID(A114,3,LEN(A114)-2))</f>
        <v>抵押担保权已注销时的房地产抵押价值</v>
      </c>
      <c r="B127" s="3233"/>
      <c r="C127" s="3233"/>
      <c r="D127" s="3343">
        <f ca="1">I112</f>
        <v>516</v>
      </c>
      <c r="E127" s="3344"/>
      <c r="F127" s="3344"/>
      <c r="G127" s="3344"/>
      <c r="H127" s="3344"/>
      <c r="I127" s="3345"/>
    </row>
    <row r="128" spans="1:15" ht="15" thickTop="1" thickBot="1">
      <c r="A128" s="3215" t="s">
        <v>7</v>
      </c>
      <c r="B128" s="3216"/>
      <c r="C128" s="3217"/>
      <c r="D128" s="3298">
        <f ca="1">I113</f>
        <v>41680</v>
      </c>
      <c r="E128" s="3298"/>
      <c r="F128" s="3298"/>
      <c r="G128" s="3298"/>
      <c r="H128" s="3298"/>
      <c r="I128" s="3298"/>
    </row>
    <row r="129" spans="1:9" ht="16.5" thickTop="1" thickBot="1">
      <c r="A129" s="3232" t="str">
        <f>IF(项目基本情况!D5="房地产市场价值","——",MID(F114,3,LEN(F114)-2))</f>
        <v/>
      </c>
      <c r="B129" s="3233"/>
      <c r="C129" s="3297"/>
      <c r="D129" s="3238" t="str">
        <f>I114</f>
        <v>——</v>
      </c>
      <c r="E129" s="3238"/>
      <c r="F129" s="3238"/>
      <c r="G129" s="3238"/>
      <c r="H129" s="3238"/>
      <c r="I129" s="3238"/>
    </row>
    <row r="130" spans="1:9" ht="15" thickTop="1" thickBot="1">
      <c r="A130" s="3243" t="s">
        <v>7</v>
      </c>
      <c r="B130" s="3244"/>
      <c r="C130" s="3244"/>
      <c r="D130" s="3251">
        <f>H116</f>
        <v>0</v>
      </c>
      <c r="E130" s="3252"/>
      <c r="F130" s="3252"/>
      <c r="G130" s="3252"/>
      <c r="H130" s="3252"/>
      <c r="I130" s="3253"/>
    </row>
    <row r="131" spans="1:9" ht="12">
      <c r="A131" s="1756" t="str">
        <f>IF(H19="元","单位：平方米、元、元/平方米（币种：人民币）","单位：平方米、万元、元/平方米（币种：人民币）")</f>
        <v>单位：平方米、万元、元/平方米（币种：人民币）</v>
      </c>
      <c r="B131" s="1756"/>
      <c r="C131" s="1756"/>
      <c r="D131" s="1756"/>
      <c r="E131" s="1756"/>
      <c r="F131" s="1756"/>
      <c r="G131" s="1756"/>
      <c r="H131" s="1756"/>
      <c r="I131" s="1756"/>
    </row>
    <row r="132" spans="1:9" ht="12.75" thickBot="1">
      <c r="A132" s="3213" t="str">
        <f>IF(B32="总价","（以上估价结果中楼面单价为总价除以建筑面积得出）","（以上估价结果中总价为楼面单价乘以建筑面积得出）")</f>
        <v>（以上估价结果中楼面单价为总价除以建筑面积得出）</v>
      </c>
      <c r="B132" s="3213"/>
      <c r="C132" s="3213"/>
      <c r="D132" s="3213"/>
      <c r="E132" s="3213"/>
      <c r="F132" s="3213"/>
      <c r="G132" s="3213"/>
      <c r="H132" s="3213"/>
      <c r="I132" s="3213"/>
    </row>
    <row r="133" spans="1:9" ht="21.75" customHeight="1">
      <c r="A133" s="1892" t="s">
        <v>705</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706</v>
      </c>
      <c r="G139" s="1261"/>
      <c r="H139" s="1261"/>
      <c r="I139" s="1262" t="s">
        <v>707</v>
      </c>
    </row>
    <row r="140" spans="1:9" ht="21.75" customHeight="1">
      <c r="A140" s="1259"/>
      <c r="B140" s="1263" t="s">
        <v>708</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709</v>
      </c>
    </row>
    <row r="143" spans="1:9" ht="21.75" customHeight="1">
      <c r="A143" s="1259"/>
      <c r="B143" s="1263" t="s">
        <v>710</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709</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zoomScale="90" zoomScaleNormal="90" workbookViewId="0">
      <selection activeCell="D2" sqref="D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988</v>
      </c>
      <c r="B1" s="2890" t="s">
        <v>989</v>
      </c>
      <c r="C1" s="2891" t="s">
        <v>217</v>
      </c>
      <c r="D1" s="2895"/>
      <c r="E1" s="2893" t="s">
        <v>2934</v>
      </c>
      <c r="F1" s="2894" t="s">
        <v>990</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991</v>
      </c>
      <c r="B2" s="2885">
        <f>IF(D2="——",IF(C2="元",ROUND(C50*D3,0),ROUND(C50*D3/10000,0)),IF(C2="元",ROUND(C50*D3,0),ROUND(C50*D3/10000,0))-E2)</f>
        <v>536</v>
      </c>
      <c r="C2" s="32" t="str">
        <f>'数据-取费表'!B3</f>
        <v>万元</v>
      </c>
      <c r="D2" s="2886" t="s">
        <v>2898</v>
      </c>
      <c r="E2" s="3032">
        <f ca="1">SUMIF(INDIRECT("'"&amp;G2&amp;"'"&amp;"!A:A"),"承租人权益价值",INDIRECT("'"&amp;G2&amp;"'"&amp;"!c:c"))</f>
        <v>0</v>
      </c>
      <c r="F2" s="2887" t="str">
        <f>C2</f>
        <v>万元</v>
      </c>
      <c r="G2" s="2888" t="s">
        <v>2969</v>
      </c>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992</v>
      </c>
      <c r="B3" s="811">
        <f>ROUND(IF(D2="——",C50,IF(C2="万元",B2*10000/D3,B2/D3)),0)</f>
        <v>43320</v>
      </c>
      <c r="C3" s="89" t="s">
        <v>993</v>
      </c>
      <c r="D3" s="596">
        <f>IF(C1="仅计算典型户型",'数据-取费表'!E5,'数据-取费表'!B5)</f>
        <v>123.8</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994</v>
      </c>
      <c r="B4" s="91"/>
      <c r="C4" s="3380" t="s">
        <v>995</v>
      </c>
      <c r="D4" s="3381"/>
      <c r="E4" s="3382" t="s">
        <v>996</v>
      </c>
      <c r="F4" s="3383"/>
      <c r="G4" s="3380" t="s">
        <v>997</v>
      </c>
      <c r="H4" s="3381"/>
      <c r="I4" s="3380" t="s">
        <v>998</v>
      </c>
      <c r="J4" s="3381"/>
      <c r="K4" s="139" t="s">
        <v>999</v>
      </c>
      <c r="L4" s="2162"/>
      <c r="M4" s="2163"/>
      <c r="N4" s="2163"/>
      <c r="O4" s="2163"/>
      <c r="P4" s="3384" t="s">
        <v>994</v>
      </c>
      <c r="Q4" s="3373"/>
      <c r="R4" s="3366" t="s">
        <v>996</v>
      </c>
      <c r="S4" s="3367"/>
      <c r="T4" s="3366" t="s">
        <v>997</v>
      </c>
      <c r="U4" s="3367"/>
      <c r="V4" s="3388" t="s">
        <v>998</v>
      </c>
      <c r="W4" s="3388"/>
      <c r="X4" s="1133"/>
      <c r="Y4" s="3366" t="s">
        <v>994</v>
      </c>
      <c r="Z4" s="3367"/>
      <c r="AA4" s="3377" t="s">
        <v>996</v>
      </c>
      <c r="AB4" s="3377" t="s">
        <v>997</v>
      </c>
      <c r="AC4" s="3377" t="s">
        <v>998</v>
      </c>
    </row>
    <row r="5" spans="1:29">
      <c r="A5" s="93"/>
      <c r="B5" s="94"/>
      <c r="C5" s="3391" t="s">
        <v>2943</v>
      </c>
      <c r="D5" s="3392"/>
      <c r="E5" s="3391" t="s">
        <v>2943</v>
      </c>
      <c r="F5" s="3392"/>
      <c r="G5" s="3391" t="s">
        <v>2944</v>
      </c>
      <c r="H5" s="3392"/>
      <c r="I5" s="3391" t="s">
        <v>2944</v>
      </c>
      <c r="J5" s="3392"/>
      <c r="K5" s="139"/>
      <c r="L5" s="2162"/>
      <c r="M5" s="2163"/>
      <c r="N5" s="2163"/>
      <c r="O5" s="2163"/>
      <c r="P5" s="3385"/>
      <c r="Q5" s="3374"/>
      <c r="R5" s="3368"/>
      <c r="S5" s="3369"/>
      <c r="T5" s="3368"/>
      <c r="U5" s="3369"/>
      <c r="V5" s="3388"/>
      <c r="W5" s="3388"/>
      <c r="X5" s="1133"/>
      <c r="Y5" s="3368"/>
      <c r="Z5" s="3369"/>
      <c r="AA5" s="3378"/>
      <c r="AB5" s="3378"/>
      <c r="AC5" s="3378"/>
    </row>
    <row r="6" spans="1:29" ht="14.25" thickBot="1">
      <c r="A6" s="95"/>
      <c r="B6" s="96"/>
      <c r="C6" s="3393" t="s">
        <v>2945</v>
      </c>
      <c r="D6" s="3394"/>
      <c r="E6" s="3393" t="s">
        <v>2945</v>
      </c>
      <c r="F6" s="3394"/>
      <c r="G6" s="3393" t="s">
        <v>2946</v>
      </c>
      <c r="H6" s="3394"/>
      <c r="I6" s="3393" t="s">
        <v>2946</v>
      </c>
      <c r="J6" s="3394"/>
      <c r="K6" s="139" t="s">
        <v>1000</v>
      </c>
      <c r="L6" s="2162"/>
      <c r="M6" s="2163"/>
      <c r="N6" s="2163"/>
      <c r="O6" s="2163"/>
      <c r="P6" s="3386"/>
      <c r="Q6" s="3387"/>
      <c r="R6" s="3368"/>
      <c r="S6" s="3369"/>
      <c r="T6" s="3370"/>
      <c r="U6" s="3371"/>
      <c r="V6" s="3388"/>
      <c r="W6" s="3388"/>
      <c r="X6" s="1133"/>
      <c r="Y6" s="3370"/>
      <c r="Z6" s="3371"/>
      <c r="AA6" s="3379"/>
      <c r="AB6" s="3379"/>
      <c r="AC6" s="3379"/>
    </row>
    <row r="7" spans="1:29" s="11" customFormat="1" ht="15" thickBot="1">
      <c r="A7" s="872" t="s">
        <v>1001</v>
      </c>
      <c r="B7" s="873"/>
      <c r="C7" s="607">
        <f>'数据-取费表'!B2</f>
        <v>42992</v>
      </c>
      <c r="D7" s="608">
        <v>100</v>
      </c>
      <c r="E7" s="875">
        <f>C7</f>
        <v>42992</v>
      </c>
      <c r="F7" s="610">
        <f>SUMIF(59:59,YEAR(E7)&amp;"-"&amp;MONTH(E7),60:60)</f>
        <v>100</v>
      </c>
      <c r="G7" s="876">
        <f>C7</f>
        <v>42992</v>
      </c>
      <c r="H7" s="608">
        <f>SUMIF(59:59,YEAR(G7)&amp;"-"&amp;MONTH(G7),60:60)</f>
        <v>100</v>
      </c>
      <c r="I7" s="876">
        <f>C7</f>
        <v>42992</v>
      </c>
      <c r="J7" s="608">
        <f>SUMIF(59:59,YEAR(I7)&amp;"-"&amp;MONTH(I7),60:60)</f>
        <v>100</v>
      </c>
      <c r="K7" s="877"/>
      <c r="L7" s="2164"/>
      <c r="M7" s="2106"/>
      <c r="N7" s="2106"/>
      <c r="O7" s="2106"/>
      <c r="P7" s="3372" t="s">
        <v>1001</v>
      </c>
      <c r="Q7" s="3372"/>
      <c r="R7" s="1135" t="s">
        <v>61</v>
      </c>
      <c r="S7" s="1136">
        <f t="shared" ref="S7:S15" si="0">F7</f>
        <v>100</v>
      </c>
      <c r="T7" s="1135" t="s">
        <v>61</v>
      </c>
      <c r="U7" s="1136">
        <f t="shared" ref="U7:U15" si="1">H7</f>
        <v>100</v>
      </c>
      <c r="V7" s="1135" t="s">
        <v>61</v>
      </c>
      <c r="W7" s="1136">
        <f t="shared" ref="W7:W15" si="2">J7</f>
        <v>100</v>
      </c>
      <c r="X7" s="184"/>
      <c r="Y7" s="3364" t="s">
        <v>1001</v>
      </c>
      <c r="Z7" s="3365"/>
      <c r="AA7" s="1137">
        <f>D7/F7</f>
        <v>1</v>
      </c>
      <c r="AB7" s="1137">
        <f>D7/H7</f>
        <v>1</v>
      </c>
      <c r="AC7" s="1137">
        <f>D7/J7</f>
        <v>1</v>
      </c>
    </row>
    <row r="8" spans="1:29" s="11" customFormat="1" ht="15" thickBot="1">
      <c r="A8" s="872" t="s">
        <v>1002</v>
      </c>
      <c r="B8" s="873"/>
      <c r="C8" s="878" t="s">
        <v>1003</v>
      </c>
      <c r="D8" s="608">
        <v>100</v>
      </c>
      <c r="E8" s="878" t="s">
        <v>157</v>
      </c>
      <c r="F8" s="610">
        <f>SUMIF(62:62,E8,63:63)-SUMIF(62:62,C8,63:63)+100</f>
        <v>100</v>
      </c>
      <c r="G8" s="878" t="s">
        <v>157</v>
      </c>
      <c r="H8" s="608">
        <f>SUMIF(62:62,G8,63:63)-SUMIF(62:62,C8,63:63)+100</f>
        <v>100</v>
      </c>
      <c r="I8" s="878" t="s">
        <v>157</v>
      </c>
      <c r="J8" s="608">
        <f>SUMIF(62:62,I8,63:63)-SUMIF(62:62,C8,63:63)+100</f>
        <v>100</v>
      </c>
      <c r="K8" s="877"/>
      <c r="L8" s="2164"/>
      <c r="M8" s="2106"/>
      <c r="N8" s="2106"/>
      <c r="O8" s="2106"/>
      <c r="P8" s="3372" t="s">
        <v>939</v>
      </c>
      <c r="Q8" s="3365"/>
      <c r="R8" s="1135" t="s">
        <v>61</v>
      </c>
      <c r="S8" s="1136">
        <f t="shared" si="0"/>
        <v>100</v>
      </c>
      <c r="T8" s="1135" t="s">
        <v>61</v>
      </c>
      <c r="U8" s="1136">
        <f t="shared" si="1"/>
        <v>100</v>
      </c>
      <c r="V8" s="1135" t="s">
        <v>61</v>
      </c>
      <c r="W8" s="1136">
        <f t="shared" si="2"/>
        <v>100</v>
      </c>
      <c r="X8" s="184"/>
      <c r="Y8" s="3364" t="s">
        <v>939</v>
      </c>
      <c r="Z8" s="3365"/>
      <c r="AA8" s="1137">
        <f t="shared" ref="AA8:AA47" si="3">D8/F8</f>
        <v>1</v>
      </c>
      <c r="AB8" s="1137">
        <f t="shared" ref="AB8:AB47" si="4">D8/H8</f>
        <v>1</v>
      </c>
      <c r="AC8" s="1137">
        <f t="shared" ref="AC8:AC47" si="5">D8/J8</f>
        <v>1</v>
      </c>
    </row>
    <row r="9" spans="1:29" s="11" customFormat="1" ht="14.25">
      <c r="A9" s="879" t="s">
        <v>940</v>
      </c>
      <c r="B9" s="20" t="s">
        <v>941</v>
      </c>
      <c r="C9" s="1139" t="s">
        <v>2937</v>
      </c>
      <c r="D9" s="234">
        <v>100</v>
      </c>
      <c r="E9" s="1139" t="s">
        <v>2937</v>
      </c>
      <c r="F9" s="234">
        <f>SUMIF(64:64,E9,65:65)-SUMIF(64:64,C9,65:65)+100</f>
        <v>100</v>
      </c>
      <c r="G9" s="1139" t="s">
        <v>2937</v>
      </c>
      <c r="H9" s="234">
        <f>SUMIF(64:64,G9,65:65)-SUMIF(64:64,C9,65:65)+100</f>
        <v>100</v>
      </c>
      <c r="I9" s="1139" t="s">
        <v>2937</v>
      </c>
      <c r="J9" s="234">
        <f>SUMIF(64:64,I9,65:65)-SUMIF(64:64,C9,65:65)+100</f>
        <v>100</v>
      </c>
      <c r="K9" s="877"/>
      <c r="L9" s="2164"/>
      <c r="M9" s="2106"/>
      <c r="N9" s="2106"/>
      <c r="O9" s="2106"/>
      <c r="P9" s="3354" t="s">
        <v>63</v>
      </c>
      <c r="Q9" s="2" t="str">
        <f t="shared" ref="Q9:Q15" si="6">B9</f>
        <v>用途</v>
      </c>
      <c r="R9" s="1135" t="s">
        <v>61</v>
      </c>
      <c r="S9" s="1136">
        <f t="shared" si="0"/>
        <v>100</v>
      </c>
      <c r="T9" s="1135" t="s">
        <v>61</v>
      </c>
      <c r="U9" s="1136">
        <f t="shared" si="1"/>
        <v>100</v>
      </c>
      <c r="V9" s="1135" t="s">
        <v>61</v>
      </c>
      <c r="W9" s="1136">
        <f t="shared" si="2"/>
        <v>100</v>
      </c>
      <c r="X9" s="184"/>
      <c r="Y9" s="3216" t="s">
        <v>63</v>
      </c>
      <c r="Z9" s="185" t="str">
        <f t="shared" ref="Z9:Z15" si="7">Q9</f>
        <v>用途</v>
      </c>
      <c r="AA9" s="1137">
        <f t="shared" si="3"/>
        <v>1</v>
      </c>
      <c r="AB9" s="1137">
        <f t="shared" si="4"/>
        <v>1</v>
      </c>
      <c r="AC9" s="1137">
        <f t="shared" si="5"/>
        <v>1</v>
      </c>
    </row>
    <row r="10" spans="1:29" s="39" customFormat="1" ht="27.75" thickBot="1">
      <c r="A10" s="97"/>
      <c r="B10" s="4" t="s">
        <v>104</v>
      </c>
      <c r="C10" s="1142" t="s">
        <v>2936</v>
      </c>
      <c r="D10" s="235">
        <v>100</v>
      </c>
      <c r="E10" s="1142" t="s">
        <v>2936</v>
      </c>
      <c r="F10" s="235">
        <f>SUMIF(66:66,E10,67:67)-SUMIF(66:66,C10,67:67)+100</f>
        <v>100</v>
      </c>
      <c r="G10" s="1143" t="s">
        <v>2935</v>
      </c>
      <c r="H10" s="235">
        <f>SUMIF(66:66,G10,67:67)-SUMIF(66:66,C10,67:67)+100</f>
        <v>102</v>
      </c>
      <c r="I10" s="1142" t="s">
        <v>2935</v>
      </c>
      <c r="J10" s="235">
        <f>SUMIF(66:66,I10,67:67)-SUMIF(66:66,C10,67:67)+100</f>
        <v>102</v>
      </c>
      <c r="K10" s="814">
        <v>2</v>
      </c>
      <c r="L10" s="2165"/>
      <c r="M10" s="2166"/>
      <c r="N10" s="2166"/>
      <c r="O10" s="2166"/>
      <c r="P10" s="3354"/>
      <c r="Q10" s="2" t="str">
        <f t="shared" si="6"/>
        <v>土地使用年限（年）</v>
      </c>
      <c r="R10" s="1135" t="s">
        <v>61</v>
      </c>
      <c r="S10" s="1136">
        <f t="shared" si="0"/>
        <v>100</v>
      </c>
      <c r="T10" s="1135" t="s">
        <v>61</v>
      </c>
      <c r="U10" s="1136">
        <f t="shared" si="1"/>
        <v>102</v>
      </c>
      <c r="V10" s="1135" t="s">
        <v>61</v>
      </c>
      <c r="W10" s="1136">
        <f t="shared" si="2"/>
        <v>102</v>
      </c>
      <c r="X10" s="184"/>
      <c r="Y10" s="3216"/>
      <c r="Z10" s="185" t="str">
        <f t="shared" si="7"/>
        <v>土地使用年限（年）</v>
      </c>
      <c r="AA10" s="1137">
        <f t="shared" si="3"/>
        <v>1</v>
      </c>
      <c r="AB10" s="1137">
        <f t="shared" si="4"/>
        <v>0.98039215686274506</v>
      </c>
      <c r="AC10" s="1137">
        <f t="shared" si="5"/>
        <v>0.98039215686274506</v>
      </c>
    </row>
    <row r="11" spans="1:29" ht="15.75" hidden="1" thickBot="1">
      <c r="A11" s="98"/>
      <c r="B11" s="4" t="s">
        <v>88</v>
      </c>
      <c r="C11" s="627">
        <v>3</v>
      </c>
      <c r="D11" s="235">
        <v>100</v>
      </c>
      <c r="E11" s="627">
        <v>3</v>
      </c>
      <c r="F11" s="235">
        <f>LOOKUP(E11,69:69,70:70)-LOOKUP(C11,69:69,70:70)+100</f>
        <v>100</v>
      </c>
      <c r="G11" s="3121">
        <v>3</v>
      </c>
      <c r="H11" s="633">
        <f>LOOKUP(G11,69:69,70:70)-LOOKUP(C11,69:69,70:70)+100</f>
        <v>100</v>
      </c>
      <c r="I11" s="3122">
        <v>3</v>
      </c>
      <c r="J11" s="633">
        <f>LOOKUP(I11,69:69,70:70)-LOOKUP(C11,69:69,70:70)+100</f>
        <v>100</v>
      </c>
      <c r="K11" s="814"/>
      <c r="L11" s="2167"/>
      <c r="M11" s="2163"/>
      <c r="N11" s="2163"/>
      <c r="O11" s="2163"/>
      <c r="P11" s="3354"/>
      <c r="Q11" s="2" t="str">
        <f t="shared" si="6"/>
        <v>容积率</v>
      </c>
      <c r="R11" s="1135" t="s">
        <v>61</v>
      </c>
      <c r="S11" s="1136">
        <f t="shared" si="0"/>
        <v>100</v>
      </c>
      <c r="T11" s="1135" t="s">
        <v>61</v>
      </c>
      <c r="U11" s="1136">
        <f t="shared" si="1"/>
        <v>100</v>
      </c>
      <c r="V11" s="1135" t="s">
        <v>61</v>
      </c>
      <c r="W11" s="1136">
        <f t="shared" si="2"/>
        <v>100</v>
      </c>
      <c r="X11" s="184"/>
      <c r="Y11" s="3216"/>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354"/>
      <c r="Q12" s="2">
        <f t="shared" si="6"/>
        <v>111</v>
      </c>
      <c r="R12" s="1135" t="s">
        <v>61</v>
      </c>
      <c r="S12" s="1136">
        <f t="shared" si="0"/>
        <v>100</v>
      </c>
      <c r="T12" s="1135" t="s">
        <v>61</v>
      </c>
      <c r="U12" s="1136">
        <f t="shared" si="1"/>
        <v>100</v>
      </c>
      <c r="V12" s="1135" t="s">
        <v>61</v>
      </c>
      <c r="W12" s="1136">
        <f t="shared" si="2"/>
        <v>100</v>
      </c>
      <c r="X12" s="184"/>
      <c r="Y12" s="3216"/>
      <c r="Z12" s="185">
        <f t="shared" si="7"/>
        <v>111</v>
      </c>
      <c r="AA12" s="1137">
        <f>D12/F12</f>
        <v>1</v>
      </c>
      <c r="AB12" s="1137">
        <f>D12/H12</f>
        <v>1</v>
      </c>
      <c r="AC12" s="1137">
        <f>D12/J12</f>
        <v>1</v>
      </c>
    </row>
    <row r="13" spans="1:29" ht="14.25" hidden="1">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354"/>
      <c r="Q13" s="2">
        <f t="shared" si="6"/>
        <v>111</v>
      </c>
      <c r="R13" s="1135" t="s">
        <v>61</v>
      </c>
      <c r="S13" s="1136">
        <f t="shared" si="0"/>
        <v>100</v>
      </c>
      <c r="T13" s="1135" t="s">
        <v>61</v>
      </c>
      <c r="U13" s="1136">
        <f t="shared" si="1"/>
        <v>100</v>
      </c>
      <c r="V13" s="1135" t="s">
        <v>61</v>
      </c>
      <c r="W13" s="1136">
        <f t="shared" si="2"/>
        <v>100</v>
      </c>
      <c r="X13" s="184"/>
      <c r="Y13" s="3216"/>
      <c r="Z13" s="185">
        <f t="shared" si="7"/>
        <v>111</v>
      </c>
      <c r="AA13" s="1137">
        <f t="shared" si="3"/>
        <v>1</v>
      </c>
      <c r="AB13" s="1137">
        <f t="shared" si="4"/>
        <v>1</v>
      </c>
      <c r="AC13" s="1137">
        <f t="shared" si="5"/>
        <v>1</v>
      </c>
    </row>
    <row r="14" spans="1:29" ht="15" hidden="1"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354"/>
      <c r="Q14" s="2">
        <f t="shared" si="6"/>
        <v>111</v>
      </c>
      <c r="R14" s="1135" t="s">
        <v>61</v>
      </c>
      <c r="S14" s="1136">
        <f t="shared" si="0"/>
        <v>100</v>
      </c>
      <c r="T14" s="1135" t="s">
        <v>61</v>
      </c>
      <c r="U14" s="1136">
        <f t="shared" si="1"/>
        <v>100</v>
      </c>
      <c r="V14" s="1135" t="s">
        <v>61</v>
      </c>
      <c r="W14" s="1136">
        <f t="shared" si="2"/>
        <v>100</v>
      </c>
      <c r="X14" s="184"/>
      <c r="Y14" s="3216"/>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v>2</v>
      </c>
      <c r="L15" s="2168"/>
      <c r="M15" s="2163"/>
      <c r="N15" s="2163"/>
      <c r="O15" s="2163"/>
      <c r="P15" s="3373" t="s">
        <v>65</v>
      </c>
      <c r="Q15" s="1145" t="str">
        <f t="shared" si="6"/>
        <v>办公集聚程度</v>
      </c>
      <c r="R15" s="1146" t="s">
        <v>61</v>
      </c>
      <c r="S15" s="1147">
        <f t="shared" si="0"/>
        <v>100</v>
      </c>
      <c r="T15" s="1146" t="s">
        <v>61</v>
      </c>
      <c r="U15" s="1147">
        <f t="shared" si="1"/>
        <v>100</v>
      </c>
      <c r="V15" s="1146" t="s">
        <v>61</v>
      </c>
      <c r="W15" s="1147">
        <f t="shared" si="2"/>
        <v>100</v>
      </c>
      <c r="X15" s="1133"/>
      <c r="Y15" s="3375" t="s">
        <v>65</v>
      </c>
      <c r="Z15" s="1148" t="str">
        <f t="shared" si="7"/>
        <v>办公集聚程度</v>
      </c>
      <c r="AA15" s="1149">
        <f t="shared" si="3"/>
        <v>1</v>
      </c>
      <c r="AB15" s="1149">
        <f t="shared" si="4"/>
        <v>1</v>
      </c>
      <c r="AC15" s="1149">
        <f t="shared" si="5"/>
        <v>1</v>
      </c>
    </row>
    <row r="16" spans="1:29" ht="14.25">
      <c r="A16" s="98"/>
      <c r="B16" s="161"/>
      <c r="C16" s="144" t="s">
        <v>102</v>
      </c>
      <c r="D16" s="645"/>
      <c r="E16" s="44" t="s">
        <v>102</v>
      </c>
      <c r="F16" s="645"/>
      <c r="G16" s="144" t="s">
        <v>102</v>
      </c>
      <c r="H16" s="648"/>
      <c r="I16" s="44" t="s">
        <v>102</v>
      </c>
      <c r="J16" s="645"/>
      <c r="K16" s="141"/>
      <c r="L16" s="2168"/>
      <c r="M16" s="2163"/>
      <c r="N16" s="2163"/>
      <c r="O16" s="2163"/>
      <c r="P16" s="3374"/>
      <c r="Q16" s="1145"/>
      <c r="R16" s="1146"/>
      <c r="S16" s="1147"/>
      <c r="T16" s="1146"/>
      <c r="U16" s="1147"/>
      <c r="V16" s="1146"/>
      <c r="W16" s="1147"/>
      <c r="X16" s="1133"/>
      <c r="Y16" s="3376"/>
      <c r="Z16" s="1148"/>
      <c r="AA16" s="1149">
        <v>1</v>
      </c>
      <c r="AB16" s="1149">
        <v>1</v>
      </c>
      <c r="AC16" s="1149">
        <v>1</v>
      </c>
    </row>
    <row r="17" spans="1:29" ht="94.5">
      <c r="A17" s="98"/>
      <c r="B17" s="892" t="s">
        <v>67</v>
      </c>
      <c r="C17" s="162" t="str">
        <f>估价对象房地状况!C6</f>
        <v>估价对象周边道路状况、公共交通通达情况、停车便捷程度，综合评价交通便捷度较好</v>
      </c>
      <c r="D17" s="648">
        <v>100</v>
      </c>
      <c r="E17" s="48"/>
      <c r="F17" s="648">
        <f>SUMIF(79:79,E18,80:80)-SUMIF(79:79,C18,80:80)+100</f>
        <v>100</v>
      </c>
      <c r="G17" s="47"/>
      <c r="H17" s="653">
        <f>SUMIF(79:79,G18,80:80)-SUMIF(79:79,C18,80:80)+100</f>
        <v>100</v>
      </c>
      <c r="I17" s="47"/>
      <c r="J17" s="653">
        <f>SUMIF(79:79,I18,80:80)-SUMIF(79:79,C18,80:80)+100</f>
        <v>100</v>
      </c>
      <c r="K17" s="816">
        <v>3</v>
      </c>
      <c r="L17" s="2168"/>
      <c r="M17" s="2163"/>
      <c r="N17" s="2163"/>
      <c r="O17" s="2163"/>
      <c r="P17" s="3374"/>
      <c r="Q17" s="1145" t="str">
        <f>B17</f>
        <v>交通便捷度</v>
      </c>
      <c r="R17" s="1146" t="s">
        <v>61</v>
      </c>
      <c r="S17" s="1147">
        <f>F17</f>
        <v>100</v>
      </c>
      <c r="T17" s="1146" t="s">
        <v>61</v>
      </c>
      <c r="U17" s="1147">
        <f>H17</f>
        <v>100</v>
      </c>
      <c r="V17" s="1146" t="s">
        <v>61</v>
      </c>
      <c r="W17" s="1147">
        <f>J17</f>
        <v>100</v>
      </c>
      <c r="X17" s="1133"/>
      <c r="Y17" s="3376"/>
      <c r="Z17" s="1148" t="str">
        <f>Q17</f>
        <v>交通便捷度</v>
      </c>
      <c r="AA17" s="1149">
        <f t="shared" si="3"/>
        <v>1</v>
      </c>
      <c r="AB17" s="1149">
        <f t="shared" si="4"/>
        <v>1</v>
      </c>
      <c r="AC17" s="1149">
        <f t="shared" si="5"/>
        <v>1</v>
      </c>
    </row>
    <row r="18" spans="1:29" ht="14.25">
      <c r="A18" s="98"/>
      <c r="B18" s="893"/>
      <c r="C18" s="145" t="s">
        <v>102</v>
      </c>
      <c r="D18" s="648"/>
      <c r="E18" s="51" t="s">
        <v>102</v>
      </c>
      <c r="F18" s="648"/>
      <c r="G18" s="50" t="s">
        <v>102</v>
      </c>
      <c r="H18" s="645"/>
      <c r="I18" s="50" t="s">
        <v>102</v>
      </c>
      <c r="J18" s="645"/>
      <c r="K18" s="141"/>
      <c r="L18" s="2168"/>
      <c r="M18" s="2163"/>
      <c r="N18" s="2163"/>
      <c r="O18" s="2163"/>
      <c r="P18" s="3374"/>
      <c r="Q18" s="1145"/>
      <c r="R18" s="1146"/>
      <c r="S18" s="1147"/>
      <c r="T18" s="1146"/>
      <c r="U18" s="1147"/>
      <c r="V18" s="1146"/>
      <c r="W18" s="1147"/>
      <c r="X18" s="1133"/>
      <c r="Y18" s="3376"/>
      <c r="Z18" s="1148"/>
      <c r="AA18" s="1149">
        <v>1</v>
      </c>
      <c r="AB18" s="1149">
        <v>1</v>
      </c>
      <c r="AC18" s="1149">
        <v>1</v>
      </c>
    </row>
    <row r="19" spans="1:29" ht="40.5">
      <c r="A19" s="98"/>
      <c r="B19" s="892" t="s">
        <v>2551</v>
      </c>
      <c r="C19" s="162" t="str">
        <f>估价对象房地状况!C7</f>
        <v>估价对象所在区域公共配套设施齐备情况</v>
      </c>
      <c r="D19" s="653">
        <v>100</v>
      </c>
      <c r="E19" s="53"/>
      <c r="F19" s="653">
        <f>SUMIF(81:81,E20,82:82)-SUMIF(81:81,C20,82:82)+100</f>
        <v>100</v>
      </c>
      <c r="G19" s="52"/>
      <c r="H19" s="648">
        <f>SUMIF(81:81,G20,82:82)-SUMIF(81:81,C20,82:82)+100</f>
        <v>100</v>
      </c>
      <c r="I19" s="52"/>
      <c r="J19" s="648">
        <f>SUMIF(81:81,I20,82:82)-SUMIF(81:81,C20,82:82)+100</f>
        <v>100</v>
      </c>
      <c r="K19" s="816">
        <v>2</v>
      </c>
      <c r="L19" s="2168"/>
      <c r="M19" s="2163"/>
      <c r="N19" s="2163"/>
      <c r="O19" s="2163"/>
      <c r="P19" s="3374"/>
      <c r="Q19" s="1145" t="str">
        <f>B19</f>
        <v>公共配套设施</v>
      </c>
      <c r="R19" s="1146" t="s">
        <v>61</v>
      </c>
      <c r="S19" s="1147">
        <f>F19</f>
        <v>100</v>
      </c>
      <c r="T19" s="1146" t="s">
        <v>61</v>
      </c>
      <c r="U19" s="1147">
        <f>H19</f>
        <v>100</v>
      </c>
      <c r="V19" s="1146" t="s">
        <v>61</v>
      </c>
      <c r="W19" s="1147">
        <f>J19</f>
        <v>100</v>
      </c>
      <c r="X19" s="1133"/>
      <c r="Y19" s="3376"/>
      <c r="Z19" s="1148" t="str">
        <f>Q19</f>
        <v>公共配套设施</v>
      </c>
      <c r="AA19" s="1149">
        <f t="shared" si="3"/>
        <v>1</v>
      </c>
      <c r="AB19" s="1149">
        <f t="shared" si="4"/>
        <v>1</v>
      </c>
      <c r="AC19" s="1149">
        <f t="shared" si="5"/>
        <v>1</v>
      </c>
    </row>
    <row r="20" spans="1:29" ht="14.25">
      <c r="A20" s="98"/>
      <c r="B20" s="893"/>
      <c r="C20" s="144" t="s">
        <v>102</v>
      </c>
      <c r="D20" s="645"/>
      <c r="E20" s="46" t="s">
        <v>102</v>
      </c>
      <c r="F20" s="645"/>
      <c r="G20" s="45" t="s">
        <v>102</v>
      </c>
      <c r="H20" s="645"/>
      <c r="I20" s="45" t="s">
        <v>102</v>
      </c>
      <c r="J20" s="645"/>
      <c r="K20" s="141"/>
      <c r="L20" s="2168"/>
      <c r="M20" s="2163"/>
      <c r="N20" s="2163"/>
      <c r="O20" s="2163"/>
      <c r="P20" s="3374"/>
      <c r="Q20" s="1145"/>
      <c r="R20" s="1146"/>
      <c r="S20" s="1147"/>
      <c r="T20" s="1146"/>
      <c r="U20" s="1147"/>
      <c r="V20" s="1146"/>
      <c r="W20" s="1147"/>
      <c r="X20" s="1133"/>
      <c r="Y20" s="3376"/>
      <c r="Z20" s="1148"/>
      <c r="AA20" s="1149">
        <v>1</v>
      </c>
      <c r="AB20" s="1149">
        <v>1</v>
      </c>
      <c r="AC20" s="1149">
        <v>1</v>
      </c>
    </row>
    <row r="21" spans="1:29" ht="40.5">
      <c r="A21" s="98"/>
      <c r="B21" s="894" t="s">
        <v>2552</v>
      </c>
      <c r="C21" s="162" t="str">
        <f>估价对象房地状况!C8</f>
        <v>估价对象所在区域基础设施水平</v>
      </c>
      <c r="D21" s="653">
        <v>100</v>
      </c>
      <c r="E21" s="53"/>
      <c r="F21" s="653">
        <f>SUMIF(83:83,E22,84:84)-SUMIF(83:83,C22,84:84)+100</f>
        <v>100</v>
      </c>
      <c r="G21" s="52"/>
      <c r="H21" s="648">
        <f>SUMIF(83:83,G22,84:84)-SUMIF(83:83,C22,84:84)+100</f>
        <v>100</v>
      </c>
      <c r="I21" s="52"/>
      <c r="J21" s="648">
        <f>SUMIF(83:83,I22,84:84)-SUMIF(83:83,C22,84:84)+100</f>
        <v>100</v>
      </c>
      <c r="K21" s="816">
        <v>2</v>
      </c>
      <c r="L21" s="2168"/>
      <c r="M21" s="2163"/>
      <c r="N21" s="2163"/>
      <c r="O21" s="2163"/>
      <c r="P21" s="3374"/>
      <c r="Q21" s="2548" t="str">
        <f>B21</f>
        <v>基础设施水平</v>
      </c>
      <c r="R21" s="1146" t="s">
        <v>61</v>
      </c>
      <c r="S21" s="1147">
        <f>F21</f>
        <v>100</v>
      </c>
      <c r="T21" s="1146" t="s">
        <v>61</v>
      </c>
      <c r="U21" s="1147">
        <f>H21</f>
        <v>100</v>
      </c>
      <c r="V21" s="1146" t="s">
        <v>61</v>
      </c>
      <c r="W21" s="1147">
        <f>J21</f>
        <v>100</v>
      </c>
      <c r="X21" s="2546"/>
      <c r="Y21" s="3376"/>
      <c r="Z21" s="2547" t="str">
        <f>Q21</f>
        <v>基础设施水平</v>
      </c>
      <c r="AA21" s="1149">
        <f t="shared" ref="AA21" si="8">D21/F21</f>
        <v>1</v>
      </c>
      <c r="AB21" s="1149">
        <f t="shared" ref="AB21" si="9">D21/H21</f>
        <v>1</v>
      </c>
      <c r="AC21" s="1149">
        <f t="shared" ref="AC21" si="10">D21/J21</f>
        <v>1</v>
      </c>
    </row>
    <row r="22" spans="1:29" ht="14.25">
      <c r="A22" s="98"/>
      <c r="B22" s="894"/>
      <c r="C22" s="145" t="s">
        <v>2958</v>
      </c>
      <c r="D22" s="645"/>
      <c r="E22" s="44" t="s">
        <v>2958</v>
      </c>
      <c r="F22" s="645"/>
      <c r="G22" s="144" t="s">
        <v>2958</v>
      </c>
      <c r="H22" s="645"/>
      <c r="I22" s="144" t="s">
        <v>2958</v>
      </c>
      <c r="J22" s="645"/>
      <c r="K22" s="2559"/>
      <c r="L22" s="2168"/>
      <c r="M22" s="2163"/>
      <c r="N22" s="2163"/>
      <c r="O22" s="2163"/>
      <c r="P22" s="3374"/>
      <c r="Q22" s="2548"/>
      <c r="R22" s="1146"/>
      <c r="S22" s="1147"/>
      <c r="T22" s="1146"/>
      <c r="U22" s="1147"/>
      <c r="V22" s="1146"/>
      <c r="W22" s="1147"/>
      <c r="X22" s="2546"/>
      <c r="Y22" s="3376"/>
      <c r="Z22" s="2547"/>
      <c r="AA22" s="1149">
        <v>1</v>
      </c>
      <c r="AB22" s="1149">
        <v>1</v>
      </c>
      <c r="AC22" s="1149">
        <v>1</v>
      </c>
    </row>
    <row r="23" spans="1:29" ht="54">
      <c r="A23" s="98"/>
      <c r="B23" s="892" t="s">
        <v>143</v>
      </c>
      <c r="C23" s="162" t="str">
        <f>估价对象房地状况!C9</f>
        <v>区域自然环境：；人文环境；综合评价环境状况一般</v>
      </c>
      <c r="D23" s="648">
        <v>100</v>
      </c>
      <c r="E23" s="48"/>
      <c r="F23" s="648">
        <f>SUMIF(85:85,E24,86:86)-SUMIF(85:85,C24,86:86)+100</f>
        <v>100</v>
      </c>
      <c r="G23" s="47"/>
      <c r="H23" s="648">
        <f>SUMIF(85:85,G24,86:86)-SUMIF(85:85,C24,86:86)+100</f>
        <v>100</v>
      </c>
      <c r="I23" s="47"/>
      <c r="J23" s="648">
        <f>SUMIF(85:85,I24,86:86)-SUMIF(85:85,C24,86:86)+100</f>
        <v>100</v>
      </c>
      <c r="K23" s="816">
        <v>2</v>
      </c>
      <c r="L23" s="2168"/>
      <c r="M23" s="2163"/>
      <c r="N23" s="2163"/>
      <c r="O23" s="2163"/>
      <c r="P23" s="3374"/>
      <c r="Q23" s="1145" t="str">
        <f>B23</f>
        <v>环境质量</v>
      </c>
      <c r="R23" s="1146" t="s">
        <v>61</v>
      </c>
      <c r="S23" s="1147">
        <f>F23</f>
        <v>100</v>
      </c>
      <c r="T23" s="1146" t="s">
        <v>61</v>
      </c>
      <c r="U23" s="1147">
        <f>H23</f>
        <v>100</v>
      </c>
      <c r="V23" s="1146" t="s">
        <v>61</v>
      </c>
      <c r="W23" s="1147">
        <f>J23</f>
        <v>100</v>
      </c>
      <c r="X23" s="1133"/>
      <c r="Y23" s="3376"/>
      <c r="Z23" s="1148" t="str">
        <f>Q23</f>
        <v>环境质量</v>
      </c>
      <c r="AA23" s="1149">
        <f t="shared" si="3"/>
        <v>1</v>
      </c>
      <c r="AB23" s="1149">
        <f t="shared" si="4"/>
        <v>1</v>
      </c>
      <c r="AC23" s="1149">
        <f t="shared" si="5"/>
        <v>1</v>
      </c>
    </row>
    <row r="24" spans="1:29" ht="14.25">
      <c r="A24" s="98"/>
      <c r="B24" s="894"/>
      <c r="C24" s="144" t="s">
        <v>102</v>
      </c>
      <c r="D24" s="645"/>
      <c r="E24" s="46" t="s">
        <v>102</v>
      </c>
      <c r="F24" s="645"/>
      <c r="G24" s="45" t="s">
        <v>102</v>
      </c>
      <c r="H24" s="645"/>
      <c r="I24" s="45" t="s">
        <v>102</v>
      </c>
      <c r="J24" s="645"/>
      <c r="K24" s="141"/>
      <c r="L24" s="2168"/>
      <c r="M24" s="2163"/>
      <c r="N24" s="2163"/>
      <c r="O24" s="2163"/>
      <c r="P24" s="3374"/>
      <c r="Q24" s="1145"/>
      <c r="R24" s="1146"/>
      <c r="S24" s="1147"/>
      <c r="T24" s="1146"/>
      <c r="U24" s="1147"/>
      <c r="V24" s="1146"/>
      <c r="W24" s="1147"/>
      <c r="X24" s="1133"/>
      <c r="Y24" s="3376"/>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v>2</v>
      </c>
      <c r="L25" s="2168"/>
      <c r="M25" s="2163"/>
      <c r="N25" s="2163"/>
      <c r="O25" s="2163"/>
      <c r="P25" s="3374"/>
      <c r="Q25" s="1145" t="str">
        <f>B25</f>
        <v>毗邻道路的类型与等级</v>
      </c>
      <c r="R25" s="1146" t="s">
        <v>61</v>
      </c>
      <c r="S25" s="1147">
        <f>F25</f>
        <v>100</v>
      </c>
      <c r="T25" s="1146" t="s">
        <v>61</v>
      </c>
      <c r="U25" s="1147">
        <f>H25</f>
        <v>100</v>
      </c>
      <c r="V25" s="1146" t="s">
        <v>61</v>
      </c>
      <c r="W25" s="1147">
        <f>J25</f>
        <v>100</v>
      </c>
      <c r="X25" s="1133"/>
      <c r="Y25" s="3376"/>
      <c r="Z25" s="1148" t="str">
        <f>Q25</f>
        <v>毗邻道路的类型与等级</v>
      </c>
      <c r="AA25" s="1149">
        <f t="shared" si="3"/>
        <v>1</v>
      </c>
      <c r="AB25" s="1149">
        <f t="shared" si="4"/>
        <v>1</v>
      </c>
      <c r="AC25" s="1149">
        <f t="shared" si="5"/>
        <v>1</v>
      </c>
    </row>
    <row r="26" spans="1:29" ht="14.25">
      <c r="A26" s="93"/>
      <c r="B26" s="893"/>
      <c r="C26" s="147" t="s">
        <v>2959</v>
      </c>
      <c r="D26" s="633"/>
      <c r="E26" s="134" t="s">
        <v>2959</v>
      </c>
      <c r="F26" s="633"/>
      <c r="G26" s="147" t="s">
        <v>2959</v>
      </c>
      <c r="H26" s="633"/>
      <c r="I26" s="134" t="s">
        <v>2959</v>
      </c>
      <c r="J26" s="633"/>
      <c r="K26" s="141"/>
      <c r="L26" s="2168"/>
      <c r="M26" s="2163"/>
      <c r="N26" s="2163"/>
      <c r="O26" s="2163"/>
      <c r="P26" s="3374"/>
      <c r="Q26" s="1145"/>
      <c r="R26" s="1146"/>
      <c r="S26" s="1147"/>
      <c r="T26" s="1146"/>
      <c r="U26" s="1147"/>
      <c r="V26" s="1146"/>
      <c r="W26" s="1147"/>
      <c r="X26" s="1133"/>
      <c r="Y26" s="3376"/>
      <c r="Z26" s="1148"/>
      <c r="AA26" s="1149">
        <v>1</v>
      </c>
      <c r="AB26" s="1149">
        <v>1</v>
      </c>
      <c r="AC26" s="1149">
        <v>1</v>
      </c>
    </row>
    <row r="27" spans="1:29" ht="15.75" thickBot="1">
      <c r="A27" s="98"/>
      <c r="B27" s="893" t="s">
        <v>1004</v>
      </c>
      <c r="C27" s="147" t="s">
        <v>2941</v>
      </c>
      <c r="D27" s="633">
        <v>100</v>
      </c>
      <c r="E27" s="134" t="s">
        <v>2941</v>
      </c>
      <c r="F27" s="633">
        <f>SUMIF(89:89,E27,90:90)-SUMIF(89:89,C27,90:90)+100</f>
        <v>100</v>
      </c>
      <c r="G27" s="147" t="s">
        <v>2938</v>
      </c>
      <c r="H27" s="633">
        <f>SUMIF(89:89,G27,90:90)-SUMIF(89:89,C27,90:90)+100</f>
        <v>94</v>
      </c>
      <c r="I27" s="134" t="s">
        <v>2941</v>
      </c>
      <c r="J27" s="633">
        <f>SUMIF(89:89,I27,90:90)-SUMIF(89:89,C27,90:90)+100</f>
        <v>100</v>
      </c>
      <c r="K27" s="814">
        <v>3</v>
      </c>
      <c r="L27" s="2168"/>
      <c r="M27" s="2163"/>
      <c r="N27" s="2163"/>
      <c r="O27" s="2163"/>
      <c r="P27" s="3374"/>
      <c r="Q27" s="1145" t="str">
        <f t="shared" ref="Q27:Q47" si="11">B27</f>
        <v>楼层</v>
      </c>
      <c r="R27" s="1146" t="s">
        <v>61</v>
      </c>
      <c r="S27" s="1147">
        <f>F27</f>
        <v>100</v>
      </c>
      <c r="T27" s="1146" t="s">
        <v>61</v>
      </c>
      <c r="U27" s="1147">
        <f>H27</f>
        <v>94</v>
      </c>
      <c r="V27" s="1146" t="s">
        <v>61</v>
      </c>
      <c r="W27" s="1147">
        <f>J27</f>
        <v>100</v>
      </c>
      <c r="X27" s="1133"/>
      <c r="Y27" s="3376"/>
      <c r="Z27" s="1148" t="str">
        <f>Q27</f>
        <v>楼层</v>
      </c>
      <c r="AA27" s="1149">
        <f t="shared" si="3"/>
        <v>1</v>
      </c>
      <c r="AB27" s="1149">
        <f t="shared" si="4"/>
        <v>1.0638297872340425</v>
      </c>
      <c r="AC27" s="1149">
        <f t="shared" si="5"/>
        <v>1</v>
      </c>
    </row>
    <row r="28" spans="1:29" s="11" customFormat="1" ht="15.75" hidden="1" thickBot="1">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374"/>
      <c r="Q28" s="2" t="str">
        <f t="shared" si="11"/>
        <v>朝向</v>
      </c>
      <c r="R28" s="1135" t="s">
        <v>61</v>
      </c>
      <c r="S28" s="1136">
        <f>F28</f>
        <v>100</v>
      </c>
      <c r="T28" s="1135" t="s">
        <v>61</v>
      </c>
      <c r="U28" s="1136">
        <f>H28</f>
        <v>100</v>
      </c>
      <c r="V28" s="1135" t="s">
        <v>61</v>
      </c>
      <c r="W28" s="1136">
        <f>J28</f>
        <v>100</v>
      </c>
      <c r="X28" s="184"/>
      <c r="Y28" s="3376"/>
      <c r="Z28" s="185" t="str">
        <f>Q28</f>
        <v>朝向</v>
      </c>
      <c r="AA28" s="1149">
        <f>D28/F28</f>
        <v>1</v>
      </c>
      <c r="AB28" s="1149">
        <f>D28/H28</f>
        <v>1</v>
      </c>
      <c r="AC28" s="1149">
        <f>D28/J28</f>
        <v>1</v>
      </c>
    </row>
    <row r="29" spans="1:29" ht="14.25" hidden="1">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374"/>
      <c r="Q29" s="1145">
        <f t="shared" si="11"/>
        <v>111</v>
      </c>
      <c r="R29" s="1146" t="s">
        <v>61</v>
      </c>
      <c r="S29" s="1147">
        <f t="shared" ref="S29:S47" si="12">F29</f>
        <v>100</v>
      </c>
      <c r="T29" s="1146" t="s">
        <v>61</v>
      </c>
      <c r="U29" s="1147">
        <f t="shared" ref="U29:U47" si="13">H29</f>
        <v>100</v>
      </c>
      <c r="V29" s="1146" t="s">
        <v>61</v>
      </c>
      <c r="W29" s="1147">
        <f t="shared" ref="W29:W47" si="14">J29</f>
        <v>100</v>
      </c>
      <c r="X29" s="1133"/>
      <c r="Y29" s="3376"/>
      <c r="Z29" s="1148">
        <f t="shared" ref="Z29:Z47" si="15">Q29</f>
        <v>111</v>
      </c>
      <c r="AA29" s="1149">
        <f t="shared" si="3"/>
        <v>1</v>
      </c>
      <c r="AB29" s="1149">
        <f t="shared" si="4"/>
        <v>1</v>
      </c>
      <c r="AC29" s="1149">
        <f t="shared" si="5"/>
        <v>1</v>
      </c>
    </row>
    <row r="30" spans="1:29" ht="14.25" hidden="1">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374"/>
      <c r="Q30" s="1145">
        <f t="shared" si="11"/>
        <v>111</v>
      </c>
      <c r="R30" s="1146" t="s">
        <v>61</v>
      </c>
      <c r="S30" s="1147">
        <f t="shared" si="12"/>
        <v>100</v>
      </c>
      <c r="T30" s="1146" t="s">
        <v>61</v>
      </c>
      <c r="U30" s="1147">
        <f t="shared" si="13"/>
        <v>100</v>
      </c>
      <c r="V30" s="1146" t="s">
        <v>61</v>
      </c>
      <c r="W30" s="1147">
        <f t="shared" si="14"/>
        <v>100</v>
      </c>
      <c r="X30" s="1133"/>
      <c r="Y30" s="3376"/>
      <c r="Z30" s="1148">
        <f t="shared" si="15"/>
        <v>111</v>
      </c>
      <c r="AA30" s="1149">
        <f t="shared" si="3"/>
        <v>1</v>
      </c>
      <c r="AB30" s="1149">
        <f t="shared" si="4"/>
        <v>1</v>
      </c>
      <c r="AC30" s="1149">
        <f t="shared" si="5"/>
        <v>1</v>
      </c>
    </row>
    <row r="31" spans="1:29" ht="14.25" hidden="1">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374"/>
      <c r="Q31" s="1145">
        <f t="shared" si="11"/>
        <v>111</v>
      </c>
      <c r="R31" s="1146" t="s">
        <v>61</v>
      </c>
      <c r="S31" s="1147">
        <f t="shared" si="12"/>
        <v>100</v>
      </c>
      <c r="T31" s="1146" t="s">
        <v>61</v>
      </c>
      <c r="U31" s="1147">
        <f t="shared" si="13"/>
        <v>100</v>
      </c>
      <c r="V31" s="1146" t="s">
        <v>61</v>
      </c>
      <c r="W31" s="1147">
        <f t="shared" si="14"/>
        <v>100</v>
      </c>
      <c r="X31" s="1133"/>
      <c r="Y31" s="3376"/>
      <c r="Z31" s="1148">
        <f t="shared" si="15"/>
        <v>111</v>
      </c>
      <c r="AA31" s="1149">
        <f t="shared" si="3"/>
        <v>1</v>
      </c>
      <c r="AB31" s="1149">
        <f t="shared" si="4"/>
        <v>1</v>
      </c>
      <c r="AC31" s="1149">
        <f t="shared" si="5"/>
        <v>1</v>
      </c>
    </row>
    <row r="32" spans="1:29" ht="15" hidden="1"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374"/>
      <c r="Q32" s="1145">
        <f t="shared" si="11"/>
        <v>111</v>
      </c>
      <c r="R32" s="1146" t="s">
        <v>61</v>
      </c>
      <c r="S32" s="1147">
        <f t="shared" si="12"/>
        <v>100</v>
      </c>
      <c r="T32" s="1146" t="s">
        <v>61</v>
      </c>
      <c r="U32" s="1147">
        <f t="shared" si="13"/>
        <v>100</v>
      </c>
      <c r="V32" s="1146" t="s">
        <v>61</v>
      </c>
      <c r="W32" s="1147">
        <f t="shared" si="14"/>
        <v>100</v>
      </c>
      <c r="X32" s="1133"/>
      <c r="Y32" s="3376"/>
      <c r="Z32" s="1148">
        <f t="shared" si="15"/>
        <v>111</v>
      </c>
      <c r="AA32" s="1149">
        <f t="shared" si="3"/>
        <v>1</v>
      </c>
      <c r="AB32" s="1149">
        <f t="shared" si="4"/>
        <v>1</v>
      </c>
      <c r="AC32" s="1149">
        <f t="shared" si="5"/>
        <v>1</v>
      </c>
    </row>
    <row r="33" spans="1:29" ht="15">
      <c r="A33" s="105" t="s">
        <v>1005</v>
      </c>
      <c r="B33" s="20" t="s">
        <v>1006</v>
      </c>
      <c r="C33" s="149" t="s">
        <v>2947</v>
      </c>
      <c r="D33" s="666">
        <v>100</v>
      </c>
      <c r="E33" s="149" t="s">
        <v>2947</v>
      </c>
      <c r="F33" s="660">
        <f>SUMIF(101:101,E33,102:102)-SUMIF(101:101,C33,102:102)+100</f>
        <v>100</v>
      </c>
      <c r="G33" s="149" t="s">
        <v>2947</v>
      </c>
      <c r="H33" s="633">
        <f>SUMIF(101:101,G33,102:102)-SUMIF(101:101,C33,102:102)+100</f>
        <v>100</v>
      </c>
      <c r="I33" s="149" t="s">
        <v>2947</v>
      </c>
      <c r="J33" s="666">
        <f>SUMIF(101:101,I33,102:102)-SUMIF(101:101,C33,102:102)+100</f>
        <v>100</v>
      </c>
      <c r="K33" s="814"/>
      <c r="L33" s="2168"/>
      <c r="M33" s="2163"/>
      <c r="N33" s="2163"/>
      <c r="O33" s="2163"/>
      <c r="P33" s="3359" t="s">
        <v>1007</v>
      </c>
      <c r="Q33" s="1145" t="str">
        <f t="shared" si="11"/>
        <v>建筑类型</v>
      </c>
      <c r="R33" s="1146" t="s">
        <v>61</v>
      </c>
      <c r="S33" s="1147">
        <f t="shared" si="12"/>
        <v>100</v>
      </c>
      <c r="T33" s="1146" t="s">
        <v>61</v>
      </c>
      <c r="U33" s="1147">
        <f t="shared" si="13"/>
        <v>100</v>
      </c>
      <c r="V33" s="1146" t="s">
        <v>61</v>
      </c>
      <c r="W33" s="1147">
        <f t="shared" si="14"/>
        <v>100</v>
      </c>
      <c r="X33" s="1133"/>
      <c r="Y33" s="3362" t="s">
        <v>1007</v>
      </c>
      <c r="Z33" s="1148" t="str">
        <f t="shared" si="15"/>
        <v>建筑类型</v>
      </c>
      <c r="AA33" s="1149">
        <f t="shared" si="3"/>
        <v>1</v>
      </c>
      <c r="AB33" s="1149">
        <f t="shared" si="4"/>
        <v>1</v>
      </c>
      <c r="AC33" s="1149">
        <f t="shared" si="5"/>
        <v>1</v>
      </c>
    </row>
    <row r="34" spans="1:29" s="898" customFormat="1" ht="14.25">
      <c r="A34" s="902"/>
      <c r="B34" s="4" t="s">
        <v>71</v>
      </c>
      <c r="C34" s="668">
        <v>23000</v>
      </c>
      <c r="D34" s="235">
        <v>100</v>
      </c>
      <c r="E34" s="628">
        <v>23000</v>
      </c>
      <c r="F34" s="623">
        <f>LOOKUP(E34,104:104,105:105)-LOOKUP(C34,104:104,105:105)+100</f>
        <v>100</v>
      </c>
      <c r="G34" s="627">
        <v>260000</v>
      </c>
      <c r="H34" s="235">
        <f>LOOKUP(G34,104:104,105:105)-LOOKUP(C34,104:104,105:105)+100</f>
        <v>105</v>
      </c>
      <c r="I34" s="627">
        <f>G34</f>
        <v>260000</v>
      </c>
      <c r="J34" s="235">
        <f>LOOKUP(I34,104:104,105:105)-LOOKUP(C34,104:104,105:105)+100</f>
        <v>105</v>
      </c>
      <c r="K34" s="140"/>
      <c r="L34" s="2167"/>
      <c r="M34" s="2169"/>
      <c r="N34" s="2169"/>
      <c r="O34" s="2169"/>
      <c r="P34" s="3360"/>
      <c r="Q34" s="1153" t="str">
        <f t="shared" si="11"/>
        <v>项目建筑规模</v>
      </c>
      <c r="R34" s="1154" t="s">
        <v>61</v>
      </c>
      <c r="S34" s="1155">
        <f t="shared" si="12"/>
        <v>100</v>
      </c>
      <c r="T34" s="1154" t="s">
        <v>61</v>
      </c>
      <c r="U34" s="1155">
        <f t="shared" si="13"/>
        <v>105</v>
      </c>
      <c r="V34" s="1154" t="s">
        <v>61</v>
      </c>
      <c r="W34" s="1155">
        <f t="shared" si="14"/>
        <v>105</v>
      </c>
      <c r="X34" s="1156"/>
      <c r="Y34" s="3362"/>
      <c r="Z34" s="1157" t="str">
        <f t="shared" si="15"/>
        <v>项目建筑规模</v>
      </c>
      <c r="AA34" s="1149">
        <f t="shared" si="3"/>
        <v>1</v>
      </c>
      <c r="AB34" s="1149">
        <f t="shared" si="4"/>
        <v>0.95238095238095233</v>
      </c>
      <c r="AC34" s="1149">
        <f t="shared" si="5"/>
        <v>0.95238095238095233</v>
      </c>
    </row>
    <row r="35" spans="1:29" ht="15">
      <c r="A35" s="111"/>
      <c r="B35" s="4" t="s">
        <v>72</v>
      </c>
      <c r="C35" s="54" t="s">
        <v>2931</v>
      </c>
      <c r="D35" s="633">
        <v>100</v>
      </c>
      <c r="E35" s="54" t="s">
        <v>2931</v>
      </c>
      <c r="F35" s="660">
        <f>SUMIF(106:106,E35,107:107)-SUMIF(106:106,C35,107:107)+100</f>
        <v>100</v>
      </c>
      <c r="G35" s="54" t="s">
        <v>2931</v>
      </c>
      <c r="H35" s="633">
        <f>SUMIF(106:106,G35,107:107)-SUMIF(106:106,C35,107:107)+100</f>
        <v>100</v>
      </c>
      <c r="I35" s="54" t="s">
        <v>2931</v>
      </c>
      <c r="J35" s="633">
        <f>SUMIF(106:106,I35,107:107)-SUMIF(106:106,C35,107:107)+100</f>
        <v>100</v>
      </c>
      <c r="K35" s="814"/>
      <c r="L35" s="2168"/>
      <c r="M35" s="2163"/>
      <c r="N35" s="2163"/>
      <c r="O35" s="2163"/>
      <c r="P35" s="3360"/>
      <c r="Q35" s="1145" t="str">
        <f t="shared" si="11"/>
        <v>建筑结构</v>
      </c>
      <c r="R35" s="1146" t="s">
        <v>61</v>
      </c>
      <c r="S35" s="1147">
        <f t="shared" si="12"/>
        <v>100</v>
      </c>
      <c r="T35" s="1146" t="s">
        <v>61</v>
      </c>
      <c r="U35" s="1147">
        <f t="shared" si="13"/>
        <v>100</v>
      </c>
      <c r="V35" s="1146" t="s">
        <v>61</v>
      </c>
      <c r="W35" s="1147">
        <f t="shared" si="14"/>
        <v>100</v>
      </c>
      <c r="X35" s="1133"/>
      <c r="Y35" s="3362"/>
      <c r="Z35" s="1148" t="str">
        <f t="shared" si="15"/>
        <v>建筑结构</v>
      </c>
      <c r="AA35" s="1149">
        <f t="shared" si="3"/>
        <v>1</v>
      </c>
      <c r="AB35" s="1149">
        <f t="shared" si="4"/>
        <v>1</v>
      </c>
      <c r="AC35" s="1149">
        <f t="shared" si="5"/>
        <v>1</v>
      </c>
    </row>
    <row r="36" spans="1:29" ht="15">
      <c r="A36" s="111"/>
      <c r="B36" s="4" t="s">
        <v>134</v>
      </c>
      <c r="C36" s="54" t="s">
        <v>2950</v>
      </c>
      <c r="D36" s="633">
        <v>100</v>
      </c>
      <c r="E36" s="54" t="s">
        <v>2950</v>
      </c>
      <c r="F36" s="660">
        <f>SUMIF(108:108,E36,109:109)-SUMIF(108:108,C36,109:109)+100</f>
        <v>100</v>
      </c>
      <c r="G36" s="54" t="s">
        <v>2950</v>
      </c>
      <c r="H36" s="633">
        <f>SUMIF(108:108,G36,109:109)-SUMIF(108:108,C36,109:109)+100</f>
        <v>100</v>
      </c>
      <c r="I36" s="54" t="s">
        <v>2950</v>
      </c>
      <c r="J36" s="633">
        <f>SUMIF(108:108,I36,109:109)-SUMIF(108:108,C36,109:109)+100</f>
        <v>100</v>
      </c>
      <c r="K36" s="814"/>
      <c r="L36" s="2168"/>
      <c r="M36" s="2163"/>
      <c r="N36" s="2163"/>
      <c r="O36" s="2163"/>
      <c r="P36" s="3360"/>
      <c r="Q36" s="1145" t="str">
        <f t="shared" si="11"/>
        <v>公共部分装修</v>
      </c>
      <c r="R36" s="1146" t="s">
        <v>61</v>
      </c>
      <c r="S36" s="1147">
        <f t="shared" si="12"/>
        <v>100</v>
      </c>
      <c r="T36" s="1146" t="s">
        <v>61</v>
      </c>
      <c r="U36" s="1147">
        <f t="shared" si="13"/>
        <v>100</v>
      </c>
      <c r="V36" s="1146" t="s">
        <v>61</v>
      </c>
      <c r="W36" s="1147">
        <f t="shared" si="14"/>
        <v>100</v>
      </c>
      <c r="X36" s="1133"/>
      <c r="Y36" s="3362"/>
      <c r="Z36" s="1148" t="str">
        <f t="shared" si="15"/>
        <v>公共部分装修</v>
      </c>
      <c r="AA36" s="1149">
        <f t="shared" si="3"/>
        <v>1</v>
      </c>
      <c r="AB36" s="1149">
        <f t="shared" si="4"/>
        <v>1</v>
      </c>
      <c r="AC36" s="1149">
        <f t="shared" si="5"/>
        <v>1</v>
      </c>
    </row>
    <row r="37" spans="1:29" ht="15">
      <c r="A37" s="111"/>
      <c r="B37" s="4" t="s">
        <v>135</v>
      </c>
      <c r="C37" s="673">
        <f>'数据-取费表'!E20</f>
        <v>0.71666666666666667</v>
      </c>
      <c r="D37" s="633">
        <v>100</v>
      </c>
      <c r="E37" s="673">
        <f>C37</f>
        <v>0.71666666666666667</v>
      </c>
      <c r="F37" s="660">
        <f>LOOKUP(E37,111:111,112:112)-LOOKUP(C37,111:111,112:112)+100</f>
        <v>100</v>
      </c>
      <c r="G37" s="673">
        <f>ROUND(1-(2017-2001)/60,2)</f>
        <v>0.73</v>
      </c>
      <c r="H37" s="660">
        <f>LOOKUP(G37,111:111,112:112)-LOOKUP(C37,111:111,112:112)+100</f>
        <v>100</v>
      </c>
      <c r="I37" s="673">
        <f>G37</f>
        <v>0.73</v>
      </c>
      <c r="J37" s="633">
        <f>LOOKUP(I37,111:111,112:112)-LOOKUP(C37,111:111,112:112)+100</f>
        <v>100</v>
      </c>
      <c r="K37" s="814"/>
      <c r="L37" s="2168"/>
      <c r="M37" s="2163"/>
      <c r="N37" s="2163"/>
      <c r="O37" s="2163"/>
      <c r="P37" s="3360"/>
      <c r="Q37" s="1145" t="str">
        <f t="shared" si="11"/>
        <v>成新度</v>
      </c>
      <c r="R37" s="1146" t="s">
        <v>61</v>
      </c>
      <c r="S37" s="1147">
        <f t="shared" si="12"/>
        <v>100</v>
      </c>
      <c r="T37" s="1146" t="s">
        <v>61</v>
      </c>
      <c r="U37" s="1147">
        <f t="shared" si="13"/>
        <v>100</v>
      </c>
      <c r="V37" s="1146" t="s">
        <v>61</v>
      </c>
      <c r="W37" s="1147">
        <f t="shared" si="14"/>
        <v>100</v>
      </c>
      <c r="X37" s="1133"/>
      <c r="Y37" s="3362"/>
      <c r="Z37" s="1148" t="str">
        <f t="shared" si="15"/>
        <v>成新度</v>
      </c>
      <c r="AA37" s="1149">
        <f t="shared" si="3"/>
        <v>1</v>
      </c>
      <c r="AB37" s="1149">
        <f t="shared" si="4"/>
        <v>1</v>
      </c>
      <c r="AC37" s="1149">
        <f t="shared" si="5"/>
        <v>1</v>
      </c>
    </row>
    <row r="38" spans="1:29" s="11" customFormat="1" ht="15">
      <c r="A38" s="900"/>
      <c r="B38" s="4" t="s">
        <v>147</v>
      </c>
      <c r="C38" s="54" t="s">
        <v>2952</v>
      </c>
      <c r="D38" s="235">
        <v>100</v>
      </c>
      <c r="E38" s="54" t="s">
        <v>2952</v>
      </c>
      <c r="F38" s="660">
        <f>SUMIF(113:113,E38,114:114)-SUMIF(113:113,C38,114:114)+100</f>
        <v>100</v>
      </c>
      <c r="G38" s="54" t="s">
        <v>2952</v>
      </c>
      <c r="H38" s="633">
        <f>SUMIF(113:113,G38,114:114)-SUMIF(113:113,C38,114:114)+100</f>
        <v>100</v>
      </c>
      <c r="I38" s="54" t="s">
        <v>2952</v>
      </c>
      <c r="J38" s="633">
        <f>SUMIF(113:113,I38,114:114)-SUMIF(113:113,C38,114:114)+100</f>
        <v>100</v>
      </c>
      <c r="K38" s="814"/>
      <c r="L38" s="2164"/>
      <c r="M38" s="2106"/>
      <c r="N38" s="2106"/>
      <c r="O38" s="2106"/>
      <c r="P38" s="3360"/>
      <c r="Q38" s="2" t="str">
        <f t="shared" si="11"/>
        <v>写字楼等级</v>
      </c>
      <c r="R38" s="1135" t="s">
        <v>61</v>
      </c>
      <c r="S38" s="1136">
        <f t="shared" si="12"/>
        <v>100</v>
      </c>
      <c r="T38" s="1135" t="s">
        <v>61</v>
      </c>
      <c r="U38" s="1136">
        <f t="shared" si="13"/>
        <v>100</v>
      </c>
      <c r="V38" s="1135" t="s">
        <v>61</v>
      </c>
      <c r="W38" s="1136">
        <f t="shared" si="14"/>
        <v>100</v>
      </c>
      <c r="X38" s="184"/>
      <c r="Y38" s="3362"/>
      <c r="Z38" s="185" t="str">
        <f t="shared" si="15"/>
        <v>写字楼等级</v>
      </c>
      <c r="AA38" s="1137">
        <f t="shared" si="3"/>
        <v>1</v>
      </c>
      <c r="AB38" s="1137">
        <f t="shared" si="4"/>
        <v>1</v>
      </c>
      <c r="AC38" s="1137">
        <f t="shared" si="5"/>
        <v>1</v>
      </c>
    </row>
    <row r="39" spans="1:29" ht="15">
      <c r="A39" s="111"/>
      <c r="B39" s="4" t="s">
        <v>148</v>
      </c>
      <c r="C39" s="54" t="s">
        <v>108</v>
      </c>
      <c r="D39" s="633">
        <v>100</v>
      </c>
      <c r="E39" s="54" t="s">
        <v>108</v>
      </c>
      <c r="F39" s="660">
        <f>SUMIF(115:115,E39,116:116)-SUMIF(115:115,C39,116:116)+100</f>
        <v>100</v>
      </c>
      <c r="G39" s="54" t="s">
        <v>108</v>
      </c>
      <c r="H39" s="633">
        <f>SUMIF(115:115,G39,116:116)-SUMIF(115:115,C39,116:116)+100</f>
        <v>100</v>
      </c>
      <c r="I39" s="54" t="s">
        <v>108</v>
      </c>
      <c r="J39" s="633">
        <f>SUMIF(115:115,I39,116:116)-SUMIF(115:115,C39,116:116)+100</f>
        <v>100</v>
      </c>
      <c r="K39" s="814"/>
      <c r="L39" s="2168"/>
      <c r="M39" s="2163"/>
      <c r="N39" s="2163"/>
      <c r="O39" s="2163"/>
      <c r="P39" s="3360" t="s">
        <v>66</v>
      </c>
      <c r="Q39" s="1145" t="str">
        <f t="shared" si="11"/>
        <v>物业管理</v>
      </c>
      <c r="R39" s="1146" t="s">
        <v>61</v>
      </c>
      <c r="S39" s="1147">
        <f t="shared" si="12"/>
        <v>100</v>
      </c>
      <c r="T39" s="1146" t="s">
        <v>61</v>
      </c>
      <c r="U39" s="1147">
        <f t="shared" si="13"/>
        <v>100</v>
      </c>
      <c r="V39" s="1146" t="s">
        <v>61</v>
      </c>
      <c r="W39" s="1147">
        <f t="shared" si="14"/>
        <v>100</v>
      </c>
      <c r="X39" s="1133"/>
      <c r="Y39" s="3362" t="s">
        <v>66</v>
      </c>
      <c r="Z39" s="1148" t="str">
        <f t="shared" si="15"/>
        <v>物业管理</v>
      </c>
      <c r="AA39" s="1149">
        <f t="shared" si="3"/>
        <v>1</v>
      </c>
      <c r="AB39" s="1149">
        <f t="shared" si="4"/>
        <v>1</v>
      </c>
      <c r="AC39" s="1149">
        <f t="shared" si="5"/>
        <v>1</v>
      </c>
    </row>
    <row r="40" spans="1:29" ht="15">
      <c r="A40" s="111"/>
      <c r="B40" s="4" t="s">
        <v>2549</v>
      </c>
      <c r="C40" s="54" t="s">
        <v>115</v>
      </c>
      <c r="D40" s="633">
        <v>100</v>
      </c>
      <c r="E40" s="54" t="s">
        <v>115</v>
      </c>
      <c r="F40" s="660">
        <f>SUMIF(117:117,E40,118:118)-SUMIF(117:117,C40,118:118)+100</f>
        <v>100</v>
      </c>
      <c r="G40" s="54" t="s">
        <v>115</v>
      </c>
      <c r="H40" s="633">
        <f>SUMIF(117:117,G40,118:118)-SUMIF(117:117,C40,118:118)+100</f>
        <v>100</v>
      </c>
      <c r="I40" s="54" t="s">
        <v>115</v>
      </c>
      <c r="J40" s="633">
        <f>SUMIF(117:117,I40,118:118)-SUMIF(117:117,C40,118:118)+100</f>
        <v>100</v>
      </c>
      <c r="K40" s="814"/>
      <c r="L40" s="2168"/>
      <c r="M40" s="2163"/>
      <c r="N40" s="2163"/>
      <c r="O40" s="2163"/>
      <c r="P40" s="3360"/>
      <c r="Q40" s="1145" t="str">
        <f t="shared" si="11"/>
        <v>市政基础设施</v>
      </c>
      <c r="R40" s="1146" t="s">
        <v>61</v>
      </c>
      <c r="S40" s="1147">
        <f t="shared" si="12"/>
        <v>100</v>
      </c>
      <c r="T40" s="1146" t="s">
        <v>61</v>
      </c>
      <c r="U40" s="1147">
        <f t="shared" si="13"/>
        <v>100</v>
      </c>
      <c r="V40" s="1146" t="s">
        <v>61</v>
      </c>
      <c r="W40" s="1147">
        <f t="shared" si="14"/>
        <v>100</v>
      </c>
      <c r="X40" s="1133"/>
      <c r="Y40" s="3362"/>
      <c r="Z40" s="1148" t="str">
        <f t="shared" si="15"/>
        <v>市政基础设施</v>
      </c>
      <c r="AA40" s="1149">
        <f t="shared" si="3"/>
        <v>1</v>
      </c>
      <c r="AB40" s="1149">
        <f t="shared" si="4"/>
        <v>1</v>
      </c>
      <c r="AC40" s="1149">
        <f t="shared" si="5"/>
        <v>1</v>
      </c>
    </row>
    <row r="41" spans="1:29" ht="15">
      <c r="A41" s="111"/>
      <c r="B41" s="4" t="s">
        <v>137</v>
      </c>
      <c r="C41" s="134" t="s">
        <v>2956</v>
      </c>
      <c r="D41" s="633">
        <v>100</v>
      </c>
      <c r="E41" s="134" t="s">
        <v>2956</v>
      </c>
      <c r="F41" s="660">
        <f>SUMIF(119:119,E41,120:120)-SUMIF(119:119,C41,120:120)+100</f>
        <v>100</v>
      </c>
      <c r="G41" s="134" t="s">
        <v>2956</v>
      </c>
      <c r="H41" s="633">
        <f>SUMIF(119:119,G41,120:120)-SUMIF(119:119,C41,120:120)+100</f>
        <v>100</v>
      </c>
      <c r="I41" s="134" t="s">
        <v>2956</v>
      </c>
      <c r="J41" s="633">
        <f>SUMIF(119:119,I41,120:120)-SUMIF(119:119,C41,120:120)+100</f>
        <v>100</v>
      </c>
      <c r="K41" s="814"/>
      <c r="L41" s="2168"/>
      <c r="M41" s="2163"/>
      <c r="N41" s="2163"/>
      <c r="O41" s="2163"/>
      <c r="P41" s="3360"/>
      <c r="Q41" s="1145" t="str">
        <f t="shared" si="11"/>
        <v>层高</v>
      </c>
      <c r="R41" s="1146" t="s">
        <v>61</v>
      </c>
      <c r="S41" s="1147">
        <f t="shared" si="12"/>
        <v>100</v>
      </c>
      <c r="T41" s="1146" t="s">
        <v>61</v>
      </c>
      <c r="U41" s="1147">
        <f t="shared" si="13"/>
        <v>100</v>
      </c>
      <c r="V41" s="1146" t="s">
        <v>61</v>
      </c>
      <c r="W41" s="1147">
        <f t="shared" si="14"/>
        <v>100</v>
      </c>
      <c r="X41" s="1133"/>
      <c r="Y41" s="3362"/>
      <c r="Z41" s="1148" t="str">
        <f t="shared" si="15"/>
        <v>层高</v>
      </c>
      <c r="AA41" s="1149">
        <f t="shared" si="3"/>
        <v>1</v>
      </c>
      <c r="AB41" s="1149">
        <f t="shared" si="4"/>
        <v>1</v>
      </c>
      <c r="AC41" s="1149">
        <f t="shared" si="5"/>
        <v>1</v>
      </c>
    </row>
    <row r="42" spans="1:29" s="898" customFormat="1" ht="14.25">
      <c r="A42" s="902"/>
      <c r="B42" s="143" t="s">
        <v>1008</v>
      </c>
      <c r="C42" s="3532">
        <v>123.8</v>
      </c>
      <c r="D42" s="633">
        <v>100</v>
      </c>
      <c r="E42" s="632">
        <v>1220</v>
      </c>
      <c r="F42" s="660">
        <f>SUMIF(121:121,E42,122:122)-SUMIF(121:121,C42,122:122)+100</f>
        <v>96</v>
      </c>
      <c r="G42" s="632">
        <v>372.74</v>
      </c>
      <c r="H42" s="633">
        <f>SUMIF(121:121,G42,122:122)-SUMIF(121:121,C42,122:122)+100</f>
        <v>102</v>
      </c>
      <c r="I42" s="632">
        <v>300</v>
      </c>
      <c r="J42" s="633">
        <f>SUMIF(121:121,I42,122:122)-SUMIF(121:121,C42,122:122)+100</f>
        <v>102</v>
      </c>
      <c r="K42" s="140"/>
      <c r="L42" s="2167"/>
      <c r="M42" s="2169"/>
      <c r="N42" s="2169"/>
      <c r="O42" s="2169"/>
      <c r="P42" s="3360"/>
      <c r="Q42" s="1153" t="str">
        <f t="shared" si="11"/>
        <v>单套建筑面积</v>
      </c>
      <c r="R42" s="1154" t="s">
        <v>61</v>
      </c>
      <c r="S42" s="1155">
        <f t="shared" si="12"/>
        <v>96</v>
      </c>
      <c r="T42" s="1154" t="s">
        <v>61</v>
      </c>
      <c r="U42" s="1155">
        <f t="shared" si="13"/>
        <v>102</v>
      </c>
      <c r="V42" s="1154" t="s">
        <v>61</v>
      </c>
      <c r="W42" s="1155">
        <f t="shared" si="14"/>
        <v>102</v>
      </c>
      <c r="X42" s="1156"/>
      <c r="Y42" s="3362"/>
      <c r="Z42" s="1157" t="str">
        <f t="shared" si="15"/>
        <v>单套建筑面积</v>
      </c>
      <c r="AA42" s="1149">
        <f t="shared" si="3"/>
        <v>1.0416666666666667</v>
      </c>
      <c r="AB42" s="1149">
        <f t="shared" si="4"/>
        <v>0.98039215686274506</v>
      </c>
      <c r="AC42" s="1149">
        <f t="shared" si="5"/>
        <v>0.98039215686274506</v>
      </c>
    </row>
    <row r="43" spans="1:29" ht="15">
      <c r="A43" s="111"/>
      <c r="B43" s="4" t="s">
        <v>1009</v>
      </c>
      <c r="C43" s="54" t="s">
        <v>2950</v>
      </c>
      <c r="D43" s="633">
        <v>100</v>
      </c>
      <c r="E43" s="54" t="s">
        <v>2950</v>
      </c>
      <c r="F43" s="660">
        <f>SUMIF(123:123,E43,124:124)-SUMIF(123:123,C43,124:124)+100</f>
        <v>100</v>
      </c>
      <c r="G43" s="54" t="s">
        <v>2950</v>
      </c>
      <c r="H43" s="633">
        <f>SUMIF(123:123,G43,124:124)-SUMIF(123:123,C43,124:124)+100</f>
        <v>100</v>
      </c>
      <c r="I43" s="54" t="s">
        <v>2950</v>
      </c>
      <c r="J43" s="633">
        <f>SUMIF(123:123,I43,124:124)-SUMIF(123:123,C43,124:124)+100</f>
        <v>100</v>
      </c>
      <c r="K43" s="814"/>
      <c r="L43" s="2168"/>
      <c r="M43" s="2163"/>
      <c r="N43" s="2163"/>
      <c r="O43" s="2163"/>
      <c r="P43" s="3360"/>
      <c r="Q43" s="1145" t="str">
        <f t="shared" si="11"/>
        <v>内部装修</v>
      </c>
      <c r="R43" s="1146" t="s">
        <v>61</v>
      </c>
      <c r="S43" s="1147">
        <f t="shared" si="12"/>
        <v>100</v>
      </c>
      <c r="T43" s="1146" t="s">
        <v>61</v>
      </c>
      <c r="U43" s="1147">
        <f t="shared" si="13"/>
        <v>100</v>
      </c>
      <c r="V43" s="1146" t="s">
        <v>61</v>
      </c>
      <c r="W43" s="1147">
        <f t="shared" si="14"/>
        <v>100</v>
      </c>
      <c r="X43" s="1133"/>
      <c r="Y43" s="3362"/>
      <c r="Z43" s="1148" t="str">
        <f t="shared" si="15"/>
        <v>内部装修</v>
      </c>
      <c r="AA43" s="1149">
        <f t="shared" si="3"/>
        <v>1</v>
      </c>
      <c r="AB43" s="1149">
        <f t="shared" si="4"/>
        <v>1</v>
      </c>
      <c r="AC43" s="1149">
        <f t="shared" si="5"/>
        <v>1</v>
      </c>
    </row>
    <row r="44" spans="1:29" ht="27">
      <c r="A44" s="111"/>
      <c r="B44" s="4" t="s">
        <v>79</v>
      </c>
      <c r="C44" s="54" t="s">
        <v>102</v>
      </c>
      <c r="D44" s="633">
        <v>100</v>
      </c>
      <c r="E44" s="54" t="s">
        <v>102</v>
      </c>
      <c r="F44" s="660">
        <f>SUMIF(125:125,E44,126:126)-SUMIF(125:125,C44,126:126)+100</f>
        <v>100</v>
      </c>
      <c r="G44" s="54" t="s">
        <v>102</v>
      </c>
      <c r="H44" s="633">
        <f>SUMIF(125:125,G44,126:126)-SUMIF(125:125,C44,126:126)+100</f>
        <v>100</v>
      </c>
      <c r="I44" s="54" t="s">
        <v>102</v>
      </c>
      <c r="J44" s="633">
        <f>SUMIF(125:125,I44,126:126)-SUMIF(125:125,C44,126:126)+100</f>
        <v>100</v>
      </c>
      <c r="K44" s="814"/>
      <c r="L44" s="2168"/>
      <c r="M44" s="2163"/>
      <c r="N44" s="2163"/>
      <c r="O44" s="2163"/>
      <c r="P44" s="3360"/>
      <c r="Q44" s="1145" t="str">
        <f t="shared" si="11"/>
        <v>内部装修维护情况</v>
      </c>
      <c r="R44" s="1146" t="s">
        <v>61</v>
      </c>
      <c r="S44" s="1147">
        <f t="shared" si="12"/>
        <v>100</v>
      </c>
      <c r="T44" s="1146" t="s">
        <v>61</v>
      </c>
      <c r="U44" s="1147">
        <f t="shared" si="13"/>
        <v>100</v>
      </c>
      <c r="V44" s="1146" t="s">
        <v>61</v>
      </c>
      <c r="W44" s="1147">
        <f t="shared" si="14"/>
        <v>100</v>
      </c>
      <c r="X44" s="1133"/>
      <c r="Y44" s="3362"/>
      <c r="Z44" s="1148" t="str">
        <f t="shared" si="15"/>
        <v>内部装修维护情况</v>
      </c>
      <c r="AA44" s="1149">
        <f t="shared" si="3"/>
        <v>1</v>
      </c>
      <c r="AB44" s="1149">
        <f t="shared" si="4"/>
        <v>1</v>
      </c>
      <c r="AC44" s="1149">
        <f t="shared" si="5"/>
        <v>1</v>
      </c>
    </row>
    <row r="45" spans="1:29" s="11" customFormat="1" ht="15" thickBot="1">
      <c r="A45" s="900"/>
      <c r="B45" s="1151" t="s">
        <v>2962</v>
      </c>
      <c r="C45" s="1152" t="s">
        <v>2963</v>
      </c>
      <c r="D45" s="235">
        <v>100</v>
      </c>
      <c r="E45" s="882" t="s">
        <v>2964</v>
      </c>
      <c r="F45" s="623">
        <f>SUMIF(127:127,E45,128:128)-SUMIF(127:127,C45,128:128)+100</f>
        <v>105</v>
      </c>
      <c r="G45" s="882" t="s">
        <v>2964</v>
      </c>
      <c r="H45" s="235">
        <f>SUMIF(127:127,G45,128:128)-SUMIF(127:127,C45,128:128)+100</f>
        <v>105</v>
      </c>
      <c r="I45" s="882" t="s">
        <v>2964</v>
      </c>
      <c r="J45" s="235">
        <f>SUMIF(127:127,I45,128:128)-SUMIF(127:127,C45,128:128)+100</f>
        <v>105</v>
      </c>
      <c r="K45" s="140"/>
      <c r="L45" s="2164"/>
      <c r="M45" s="2106"/>
      <c r="N45" s="2106"/>
      <c r="O45" s="2106"/>
      <c r="P45" s="3360"/>
      <c r="Q45" s="2" t="str">
        <f t="shared" si="11"/>
        <v>电梯直达</v>
      </c>
      <c r="R45" s="1135" t="s">
        <v>61</v>
      </c>
      <c r="S45" s="1136">
        <f t="shared" si="12"/>
        <v>105</v>
      </c>
      <c r="T45" s="1135" t="s">
        <v>61</v>
      </c>
      <c r="U45" s="1136">
        <f t="shared" si="13"/>
        <v>105</v>
      </c>
      <c r="V45" s="1135" t="s">
        <v>61</v>
      </c>
      <c r="W45" s="1136">
        <f t="shared" si="14"/>
        <v>105</v>
      </c>
      <c r="X45" s="184"/>
      <c r="Y45" s="3362"/>
      <c r="Z45" s="185" t="str">
        <f t="shared" si="15"/>
        <v>电梯直达</v>
      </c>
      <c r="AA45" s="1137">
        <f t="shared" si="3"/>
        <v>0.95238095238095233</v>
      </c>
      <c r="AB45" s="1137">
        <f t="shared" si="4"/>
        <v>0.95238095238095233</v>
      </c>
      <c r="AC45" s="1137">
        <f t="shared" si="5"/>
        <v>0.95238095238095233</v>
      </c>
    </row>
    <row r="46" spans="1:29" ht="14.25" hidden="1">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360"/>
      <c r="Q46" s="1145">
        <f t="shared" si="11"/>
        <v>111</v>
      </c>
      <c r="R46" s="1146" t="s">
        <v>61</v>
      </c>
      <c r="S46" s="1147">
        <f t="shared" si="12"/>
        <v>100</v>
      </c>
      <c r="T46" s="1146" t="s">
        <v>61</v>
      </c>
      <c r="U46" s="1147">
        <f t="shared" si="13"/>
        <v>100</v>
      </c>
      <c r="V46" s="1146" t="s">
        <v>61</v>
      </c>
      <c r="W46" s="1147">
        <f t="shared" si="14"/>
        <v>100</v>
      </c>
      <c r="X46" s="1133"/>
      <c r="Y46" s="3362"/>
      <c r="Z46" s="1148">
        <f t="shared" si="15"/>
        <v>111</v>
      </c>
      <c r="AA46" s="1149">
        <f t="shared" si="3"/>
        <v>1</v>
      </c>
      <c r="AB46" s="1149">
        <f t="shared" si="4"/>
        <v>1</v>
      </c>
      <c r="AC46" s="1149">
        <f t="shared" si="5"/>
        <v>1</v>
      </c>
    </row>
    <row r="47" spans="1:29" ht="15" hidden="1"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361"/>
      <c r="Q47" s="1145">
        <f t="shared" si="11"/>
        <v>111</v>
      </c>
      <c r="R47" s="1146" t="s">
        <v>61</v>
      </c>
      <c r="S47" s="1147">
        <f t="shared" si="12"/>
        <v>100</v>
      </c>
      <c r="T47" s="1146" t="s">
        <v>61</v>
      </c>
      <c r="U47" s="1147">
        <f t="shared" si="13"/>
        <v>100</v>
      </c>
      <c r="V47" s="1146" t="s">
        <v>61</v>
      </c>
      <c r="W47" s="1147">
        <f t="shared" si="14"/>
        <v>100</v>
      </c>
      <c r="X47" s="1133"/>
      <c r="Y47" s="3363"/>
      <c r="Z47" s="1148">
        <f t="shared" si="15"/>
        <v>111</v>
      </c>
      <c r="AA47" s="1149">
        <f t="shared" si="3"/>
        <v>1</v>
      </c>
      <c r="AB47" s="1149">
        <f t="shared" si="4"/>
        <v>1</v>
      </c>
      <c r="AC47" s="1149">
        <f t="shared" si="5"/>
        <v>1</v>
      </c>
    </row>
    <row r="48" spans="1:29" ht="15">
      <c r="A48" s="113" t="s">
        <v>954</v>
      </c>
      <c r="B48" s="114"/>
      <c r="C48" s="2608" t="s">
        <v>20</v>
      </c>
      <c r="D48" s="2609"/>
      <c r="E48" s="2610">
        <v>45000</v>
      </c>
      <c r="F48" s="2611"/>
      <c r="G48" s="2612">
        <v>44990</v>
      </c>
      <c r="H48" s="2613"/>
      <c r="I48" s="2610">
        <v>50000</v>
      </c>
      <c r="J48" s="2613"/>
      <c r="K48" s="1188"/>
      <c r="L48" s="2170"/>
      <c r="M48" s="2163"/>
      <c r="N48" s="2163"/>
      <c r="O48" s="2163"/>
      <c r="P48" s="3354" t="str">
        <f>A48</f>
        <v>成交单价（元/平方米）</v>
      </c>
      <c r="Q48" s="3355"/>
      <c r="R48" s="3356">
        <f>E48</f>
        <v>45000</v>
      </c>
      <c r="S48" s="3356"/>
      <c r="T48" s="3356">
        <f>G48</f>
        <v>44990</v>
      </c>
      <c r="U48" s="3356"/>
      <c r="V48" s="3356">
        <f>I48</f>
        <v>50000</v>
      </c>
      <c r="W48" s="3356"/>
      <c r="X48" s="1159"/>
      <c r="Y48" s="1160"/>
      <c r="Z48" s="1159"/>
      <c r="AA48" s="1159"/>
      <c r="AB48" s="1159"/>
      <c r="AC48" s="1159"/>
    </row>
    <row r="49" spans="1:29" ht="15.75" thickBot="1">
      <c r="A49" s="115" t="s">
        <v>955</v>
      </c>
      <c r="B49" s="116"/>
      <c r="C49" s="2614">
        <f>R50</f>
        <v>43320</v>
      </c>
      <c r="D49" s="2615"/>
      <c r="E49" s="2616">
        <f>R49</f>
        <v>44643</v>
      </c>
      <c r="F49" s="2616"/>
      <c r="G49" s="2614">
        <f>T49</f>
        <v>41726</v>
      </c>
      <c r="H49" s="2615"/>
      <c r="I49" s="2616">
        <f>V49</f>
        <v>43590</v>
      </c>
      <c r="J49" s="2615"/>
      <c r="K49" s="1189"/>
      <c r="L49" s="2170"/>
      <c r="M49" s="2163"/>
      <c r="N49" s="2163"/>
      <c r="O49" s="2163"/>
      <c r="P49" s="3354" t="str">
        <f>A49</f>
        <v>比较价值（元/平方米）</v>
      </c>
      <c r="Q49" s="3355"/>
      <c r="R49" s="3356">
        <f>IF(E1="售价",ROUND(PRODUCT(R48,AA7:AA47),0),ROUND(PRODUCT(R48,AA7:AA47),1))</f>
        <v>44643</v>
      </c>
      <c r="S49" s="3356"/>
      <c r="T49" s="3356">
        <f>IF(E1="售价",ROUND(PRODUCT(T48,AB7:AB47),0),ROUND(PRODUCT(T48,AB7:AB47),1))</f>
        <v>41726</v>
      </c>
      <c r="U49" s="3356"/>
      <c r="V49" s="3356">
        <f>IF(E1="售价",ROUND(PRODUCT(V48,AC7:AC47),0),ROUND(PRODUCT(V48,AC7:AC47),1))</f>
        <v>43590</v>
      </c>
      <c r="W49" s="3356"/>
      <c r="X49" s="1159"/>
      <c r="Y49" s="1159"/>
      <c r="Z49" s="1159"/>
      <c r="AA49" s="1159"/>
      <c r="AB49" s="1159"/>
      <c r="AC49" s="1159"/>
    </row>
    <row r="50" spans="1:29" ht="15.75" thickBot="1">
      <c r="A50" s="62" t="s">
        <v>2885</v>
      </c>
      <c r="B50" s="63"/>
      <c r="C50" s="2618">
        <f>R50</f>
        <v>43320</v>
      </c>
      <c r="D50" s="2618"/>
      <c r="E50" s="2618"/>
      <c r="F50" s="2618"/>
      <c r="G50" s="2618"/>
      <c r="H50" s="2618"/>
      <c r="I50" s="2618"/>
      <c r="J50" s="2618"/>
      <c r="K50" s="1190"/>
      <c r="L50" s="2170"/>
      <c r="M50" s="2163"/>
      <c r="N50" s="2163"/>
      <c r="O50" s="2163"/>
      <c r="P50" s="3357" t="str">
        <f>A50</f>
        <v>估价对象XX用房的比较价值（楼面单价，元/平方米）</v>
      </c>
      <c r="Q50" s="3354"/>
      <c r="R50" s="3358">
        <f>IF(E1="售价",ROUND(AVERAGE(R49:V49),0),ROUND(AVERAGE(R49:V49),1))</f>
        <v>43320</v>
      </c>
      <c r="S50" s="3358"/>
      <c r="T50" s="3358"/>
      <c r="U50" s="3358"/>
      <c r="V50" s="3358"/>
      <c r="W50" s="3358"/>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924</v>
      </c>
      <c r="D53" s="697"/>
      <c r="E53" s="698">
        <f>IF(E48&lt;E49,E49/E48-1,E48/E49-1)</f>
        <v>7.9967744103219829E-3</v>
      </c>
      <c r="F53" s="699" t="str">
        <f>IF(OR(E53&gt;=0.3,E53&lt;=-0.3),"超过30%","")</f>
        <v/>
      </c>
      <c r="G53" s="698">
        <f>IF(G48&lt;G49,G49/G48-1,G48/G49-1)</f>
        <v>7.8224608157982933E-2</v>
      </c>
      <c r="H53" s="699" t="str">
        <f>IF(OR(G53&gt;=0.3,G53&lt;=-0.3),"超过30%","")</f>
        <v/>
      </c>
      <c r="I53" s="698">
        <f>IF(I48&lt;I49,I49/I48-1,I48/I49-1)</f>
        <v>0.14705207616425775</v>
      </c>
      <c r="J53" s="699" t="str">
        <f>IF(OR(I53&gt;=0.3,I53&lt;=-0.3),"超过30%","")</f>
        <v/>
      </c>
      <c r="K53" s="2176"/>
      <c r="L53" s="2172"/>
      <c r="M53" s="2171"/>
      <c r="N53" s="2171"/>
      <c r="O53" s="2171"/>
    </row>
    <row r="54" spans="1:29" ht="13.5" customHeight="1">
      <c r="A54" s="2171"/>
      <c r="B54" s="2171"/>
      <c r="C54" s="696" t="s">
        <v>925</v>
      </c>
      <c r="D54" s="700"/>
      <c r="E54" s="698">
        <f>IF(E49&lt;G49,G49/E49-1,E49/G49-1)</f>
        <v>6.990845036667781E-2</v>
      </c>
      <c r="F54" s="699" t="str">
        <f>IF(OR(E54&gt;=0.2,E54&lt;=-0.2),"超过20%","")</f>
        <v/>
      </c>
      <c r="G54" s="698">
        <f>IF(G49&lt;I49,I49/G49-1,G49/I49-1)</f>
        <v>4.4672386521593221E-2</v>
      </c>
      <c r="H54" s="699" t="str">
        <f>IF(OR(G54&gt;=0.2,G54&lt;=-0.2),"超过20%","")</f>
        <v/>
      </c>
      <c r="I54" s="698">
        <f>IF(I49&lt;E49,E49/I49-1,I49/E49-1)</f>
        <v>2.4156916724019206E-2</v>
      </c>
      <c r="J54" s="699" t="str">
        <f>IF(OR(I54&gt;=0.2,I54&lt;=-0.2),"超过20%","")</f>
        <v/>
      </c>
      <c r="K54" s="2176"/>
      <c r="L54" s="2172"/>
      <c r="M54" s="2171"/>
      <c r="N54" s="2171"/>
      <c r="O54" s="2171"/>
    </row>
    <row r="55" spans="1:29" s="66" customFormat="1" ht="13.5" customHeight="1">
      <c r="A55" s="2173"/>
      <c r="B55" s="2173"/>
      <c r="C55" s="696" t="s">
        <v>926</v>
      </c>
      <c r="D55" s="700"/>
      <c r="E55" s="698">
        <f>IF(E48&lt;G48,G48/E48-1,E48/G48-1)</f>
        <v>2.2227161591459321E-4</v>
      </c>
      <c r="F55" s="699" t="str">
        <f>IF(OR(E55&gt;=0.3,E55&lt;=-0.3),"超过30%","")</f>
        <v/>
      </c>
      <c r="G55" s="698">
        <f>IF(G48&lt;I48,I48/G48-1,G48/I48-1)</f>
        <v>0.11135807957323851</v>
      </c>
      <c r="H55" s="699" t="str">
        <f>IF(OR(G55&gt;=0.3,G55&lt;=-0.3),"超过30%","")</f>
        <v/>
      </c>
      <c r="I55" s="698">
        <f>IF(I48&lt;E48,E48/I48-1,I48/E48-1)</f>
        <v>0.11111111111111116</v>
      </c>
      <c r="J55" s="699" t="str">
        <f>IF(OR(I55&gt;=0.3,I55&lt;=-0.3),"超过30%","")</f>
        <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957</v>
      </c>
      <c r="B58" s="1159"/>
      <c r="C58" s="1166"/>
      <c r="D58" s="1166"/>
      <c r="E58" s="1166"/>
      <c r="F58" s="1167"/>
      <c r="G58" s="1167"/>
      <c r="H58" s="1166"/>
      <c r="I58" s="1166"/>
      <c r="J58" s="1166"/>
      <c r="K58" s="1168"/>
      <c r="L58" s="1169"/>
      <c r="M58" s="1166"/>
      <c r="N58" s="1166"/>
      <c r="O58" s="1166"/>
      <c r="P58" s="67"/>
      <c r="Q58" s="68"/>
    </row>
    <row r="59" spans="1:29" s="907" customFormat="1" ht="14.25">
      <c r="A59" s="904" t="s">
        <v>958</v>
      </c>
      <c r="B59" s="905"/>
      <c r="C59" s="2803" t="str">
        <f>YEAR(C7)&amp;"-"&amp;MONTH(C7)</f>
        <v>2017-9</v>
      </c>
      <c r="D59" s="2804">
        <f>EDATE(C59,-1)</f>
        <v>42948</v>
      </c>
      <c r="E59" s="2804">
        <f t="shared" ref="E59:O59" si="16">EDATE(D59,-1)</f>
        <v>42917</v>
      </c>
      <c r="F59" s="2804">
        <f t="shared" si="16"/>
        <v>42887</v>
      </c>
      <c r="G59" s="2804">
        <f t="shared" si="16"/>
        <v>42856</v>
      </c>
      <c r="H59" s="2804">
        <f t="shared" si="16"/>
        <v>42826</v>
      </c>
      <c r="I59" s="2804">
        <f t="shared" si="16"/>
        <v>42795</v>
      </c>
      <c r="J59" s="2804">
        <f t="shared" si="16"/>
        <v>42767</v>
      </c>
      <c r="K59" s="2804">
        <f t="shared" si="16"/>
        <v>42736</v>
      </c>
      <c r="L59" s="2804">
        <f t="shared" si="16"/>
        <v>42705</v>
      </c>
      <c r="M59" s="2804">
        <f t="shared" si="16"/>
        <v>42675</v>
      </c>
      <c r="N59" s="2804">
        <f t="shared" si="16"/>
        <v>42644</v>
      </c>
      <c r="O59" s="2804">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959</v>
      </c>
      <c r="B61" s="911"/>
      <c r="C61" s="716"/>
      <c r="D61" s="717"/>
      <c r="E61" s="717"/>
      <c r="F61" s="717"/>
      <c r="G61" s="717"/>
      <c r="H61" s="717"/>
      <c r="I61" s="717"/>
      <c r="J61" s="717"/>
      <c r="K61" s="717"/>
      <c r="L61" s="717"/>
      <c r="M61" s="718"/>
      <c r="N61" s="717"/>
      <c r="O61" s="719"/>
      <c r="P61" s="68"/>
      <c r="Q61" s="68"/>
    </row>
    <row r="62" spans="1:29" s="11" customFormat="1">
      <c r="A62" s="912" t="s">
        <v>960</v>
      </c>
      <c r="B62" s="909"/>
      <c r="C62" s="913" t="s">
        <v>961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962</v>
      </c>
      <c r="B64" s="183" t="s">
        <v>963</v>
      </c>
      <c r="C64" s="128" t="str">
        <f>C9</f>
        <v>办公</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964</v>
      </c>
      <c r="C66" s="740" t="s">
        <v>927</v>
      </c>
      <c r="D66" s="740" t="s">
        <v>928</v>
      </c>
      <c r="E66" s="740" t="s">
        <v>929</v>
      </c>
      <c r="F66" s="740" t="s">
        <v>930</v>
      </c>
      <c r="G66" s="740" t="s">
        <v>931</v>
      </c>
      <c r="H66" s="740" t="s">
        <v>932</v>
      </c>
      <c r="I66" s="740" t="s">
        <v>933</v>
      </c>
      <c r="J66" s="740"/>
      <c r="K66" s="741"/>
      <c r="L66" s="742"/>
      <c r="M66" s="743"/>
      <c r="N66" s="1184"/>
      <c r="O66" s="1184"/>
      <c r="P66" s="1"/>
      <c r="Q66" s="68"/>
    </row>
    <row r="67" spans="1:17" ht="15" thickBot="1">
      <c r="A67" s="125"/>
      <c r="B67" s="918"/>
      <c r="C67" s="745" t="s">
        <v>139</v>
      </c>
      <c r="D67" s="745" t="s">
        <v>140</v>
      </c>
      <c r="E67" s="745">
        <v>100</v>
      </c>
      <c r="F67" s="745">
        <f>E67-$K10</f>
        <v>98</v>
      </c>
      <c r="G67" s="745">
        <f>F67-$K10</f>
        <v>96</v>
      </c>
      <c r="H67" s="745">
        <f>G67-$K10</f>
        <v>94</v>
      </c>
      <c r="I67" s="745">
        <f>H67-$K10</f>
        <v>92</v>
      </c>
      <c r="J67" s="745"/>
      <c r="K67" s="745"/>
      <c r="L67" s="745"/>
      <c r="M67" s="746"/>
      <c r="N67" s="1185"/>
      <c r="O67" s="1185"/>
      <c r="P67" s="1"/>
      <c r="Q67" s="68"/>
    </row>
    <row r="68" spans="1:17" ht="15" thickTop="1">
      <c r="A68" s="125"/>
      <c r="B68" s="919" t="s">
        <v>965</v>
      </c>
      <c r="C68" s="748" t="str">
        <f>C69&amp;"（含）"&amp;"-"&amp;D69</f>
        <v>2（含）-4</v>
      </c>
      <c r="D68" s="748" t="str">
        <f t="shared" ref="D68:L68" si="17">D69&amp;"（含）"&amp;"-"&amp;E69</f>
        <v>4（含）-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v>2</v>
      </c>
      <c r="D69" s="750">
        <v>4</v>
      </c>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966</v>
      </c>
      <c r="B77" s="183" t="s">
        <v>1010</v>
      </c>
      <c r="C77" s="775" t="s">
        <v>934</v>
      </c>
      <c r="D77" s="775" t="s">
        <v>935</v>
      </c>
      <c r="E77" s="775" t="s">
        <v>936</v>
      </c>
      <c r="F77" s="775" t="s">
        <v>937</v>
      </c>
      <c r="G77" s="775" t="s">
        <v>938</v>
      </c>
      <c r="H77" s="728"/>
      <c r="I77" s="728"/>
      <c r="J77" s="728"/>
      <c r="K77" s="776"/>
      <c r="L77" s="777"/>
      <c r="M77" s="778"/>
      <c r="N77" s="1184"/>
      <c r="O77" s="1184"/>
      <c r="P77" s="77"/>
      <c r="Q77" s="68"/>
    </row>
    <row r="78" spans="1:17" ht="15" thickBot="1">
      <c r="A78" s="125"/>
      <c r="B78" s="918"/>
      <c r="C78" s="745">
        <v>100</v>
      </c>
      <c r="D78" s="745">
        <f>C78-$K15</f>
        <v>98</v>
      </c>
      <c r="E78" s="745">
        <f>D78-$K15</f>
        <v>96</v>
      </c>
      <c r="F78" s="745">
        <f>E78-$K15</f>
        <v>94</v>
      </c>
      <c r="G78" s="745">
        <f>F78-$K15</f>
        <v>92</v>
      </c>
      <c r="H78" s="745"/>
      <c r="I78" s="745"/>
      <c r="J78" s="745"/>
      <c r="K78" s="745"/>
      <c r="L78" s="745"/>
      <c r="M78" s="746"/>
      <c r="N78" s="1185"/>
      <c r="O78" s="1185"/>
      <c r="P78" s="1"/>
      <c r="Q78" s="68"/>
    </row>
    <row r="79" spans="1:17" ht="15" thickTop="1">
      <c r="A79" s="125"/>
      <c r="B79" s="917" t="s">
        <v>973</v>
      </c>
      <c r="C79" s="780" t="s">
        <v>934</v>
      </c>
      <c r="D79" s="780" t="s">
        <v>935</v>
      </c>
      <c r="E79" s="780" t="s">
        <v>936</v>
      </c>
      <c r="F79" s="780" t="s">
        <v>1017</v>
      </c>
      <c r="G79" s="780" t="s">
        <v>938</v>
      </c>
      <c r="H79" s="740"/>
      <c r="I79" s="740"/>
      <c r="J79" s="740"/>
      <c r="K79" s="741"/>
      <c r="L79" s="742"/>
      <c r="M79" s="743"/>
      <c r="N79" s="1184"/>
      <c r="O79" s="1184"/>
      <c r="P79" s="1"/>
      <c r="Q79" s="68"/>
    </row>
    <row r="80" spans="1:17" ht="15" thickBot="1">
      <c r="A80" s="125"/>
      <c r="B80" s="918"/>
      <c r="C80" s="745">
        <v>100</v>
      </c>
      <c r="D80" s="745">
        <f>C80-$K17</f>
        <v>97</v>
      </c>
      <c r="E80" s="745">
        <f>D80-$K17</f>
        <v>94</v>
      </c>
      <c r="F80" s="745">
        <f>E80-$K17</f>
        <v>91</v>
      </c>
      <c r="G80" s="745">
        <f>F80-$K17</f>
        <v>88</v>
      </c>
      <c r="H80" s="745"/>
      <c r="I80" s="745"/>
      <c r="J80" s="745"/>
      <c r="K80" s="745"/>
      <c r="L80" s="745"/>
      <c r="M80" s="746"/>
      <c r="N80" s="1185"/>
      <c r="O80" s="1185"/>
      <c r="P80" s="1"/>
      <c r="Q80" s="68"/>
    </row>
    <row r="81" spans="1:17" ht="15" thickTop="1">
      <c r="A81" s="125"/>
      <c r="B81" s="917" t="s">
        <v>2538</v>
      </c>
      <c r="C81" s="780" t="s">
        <v>934</v>
      </c>
      <c r="D81" s="780" t="s">
        <v>935</v>
      </c>
      <c r="E81" s="780" t="s">
        <v>936</v>
      </c>
      <c r="F81" s="780" t="s">
        <v>937</v>
      </c>
      <c r="G81" s="780" t="s">
        <v>938</v>
      </c>
      <c r="H81" s="740"/>
      <c r="I81" s="740"/>
      <c r="J81" s="740"/>
      <c r="K81" s="741"/>
      <c r="L81" s="742"/>
      <c r="M81" s="743"/>
      <c r="N81" s="1184"/>
      <c r="O81" s="1184"/>
      <c r="P81" s="1"/>
      <c r="Q81" s="68"/>
    </row>
    <row r="82" spans="1:17" ht="15" thickBot="1">
      <c r="A82" s="125"/>
      <c r="B82" s="918"/>
      <c r="C82" s="745">
        <v>100</v>
      </c>
      <c r="D82" s="745">
        <f>C82-$K19</f>
        <v>98</v>
      </c>
      <c r="E82" s="745">
        <f>D82-$K19</f>
        <v>96</v>
      </c>
      <c r="F82" s="745">
        <f>E82-$K19</f>
        <v>94</v>
      </c>
      <c r="G82" s="745">
        <f>F82-$K19</f>
        <v>92</v>
      </c>
      <c r="H82" s="745"/>
      <c r="I82" s="745"/>
      <c r="J82" s="745"/>
      <c r="K82" s="745"/>
      <c r="L82" s="745"/>
      <c r="M82" s="746"/>
      <c r="N82" s="1185"/>
      <c r="O82" s="1185"/>
      <c r="P82" s="1"/>
      <c r="Q82" s="68"/>
    </row>
    <row r="83" spans="1:17" ht="15" thickTop="1">
      <c r="A83" s="125"/>
      <c r="B83" s="919" t="s">
        <v>2550</v>
      </c>
      <c r="C83" s="129" t="s">
        <v>2542</v>
      </c>
      <c r="D83" s="129" t="s">
        <v>2543</v>
      </c>
      <c r="E83" s="129" t="s">
        <v>2544</v>
      </c>
      <c r="F83" s="129" t="s">
        <v>2545</v>
      </c>
      <c r="G83" s="129" t="s">
        <v>2546</v>
      </c>
      <c r="H83" s="740"/>
      <c r="I83" s="740"/>
      <c r="J83" s="740"/>
      <c r="K83" s="740"/>
      <c r="L83" s="740"/>
      <c r="M83" s="2558"/>
      <c r="N83" s="1185"/>
      <c r="O83" s="1185"/>
      <c r="P83" s="1"/>
      <c r="Q83" s="68"/>
    </row>
    <row r="84" spans="1:17" ht="15" thickBot="1">
      <c r="A84" s="125"/>
      <c r="B84" s="919"/>
      <c r="C84" s="745">
        <v>100</v>
      </c>
      <c r="D84" s="745">
        <f>C84-$K21</f>
        <v>98</v>
      </c>
      <c r="E84" s="745">
        <f>D84-$K21</f>
        <v>96</v>
      </c>
      <c r="F84" s="745">
        <f>E84-$K21</f>
        <v>94</v>
      </c>
      <c r="G84" s="745">
        <f>F84-$K21</f>
        <v>92</v>
      </c>
      <c r="H84" s="861"/>
      <c r="I84" s="861"/>
      <c r="J84" s="861"/>
      <c r="K84" s="861"/>
      <c r="L84" s="861"/>
      <c r="M84" s="648"/>
      <c r="N84" s="1185"/>
      <c r="O84" s="1185"/>
      <c r="P84" s="1"/>
      <c r="Q84" s="68"/>
    </row>
    <row r="85" spans="1:17" ht="15" thickTop="1">
      <c r="A85" s="125"/>
      <c r="B85" s="917" t="s">
        <v>1011</v>
      </c>
      <c r="C85" s="780" t="s">
        <v>934</v>
      </c>
      <c r="D85" s="780" t="s">
        <v>935</v>
      </c>
      <c r="E85" s="780" t="s">
        <v>936</v>
      </c>
      <c r="F85" s="780" t="s">
        <v>937</v>
      </c>
      <c r="G85" s="780" t="s">
        <v>938</v>
      </c>
      <c r="H85" s="740"/>
      <c r="I85" s="740"/>
      <c r="J85" s="740"/>
      <c r="K85" s="741"/>
      <c r="L85" s="742"/>
      <c r="M85" s="743"/>
      <c r="N85" s="1184"/>
      <c r="O85" s="1184"/>
      <c r="P85" s="1"/>
      <c r="Q85" s="68"/>
    </row>
    <row r="86" spans="1:17" ht="15" thickBot="1">
      <c r="A86" s="125"/>
      <c r="B86" s="918"/>
      <c r="C86" s="745">
        <v>100</v>
      </c>
      <c r="D86" s="745">
        <f>C86-$K23</f>
        <v>98</v>
      </c>
      <c r="E86" s="745">
        <f>D86-$K23</f>
        <v>96</v>
      </c>
      <c r="F86" s="745">
        <f>E86-$K23</f>
        <v>94</v>
      </c>
      <c r="G86" s="745">
        <f>F86-$K23</f>
        <v>92</v>
      </c>
      <c r="H86" s="745"/>
      <c r="I86" s="745"/>
      <c r="J86" s="745"/>
      <c r="K86" s="745"/>
      <c r="L86" s="745"/>
      <c r="M86" s="746"/>
      <c r="N86" s="1185"/>
      <c r="O86" s="1185"/>
      <c r="P86" s="1"/>
      <c r="Q86" s="68"/>
    </row>
    <row r="87" spans="1:17" s="11" customFormat="1" ht="27.75" thickTop="1">
      <c r="A87" s="935"/>
      <c r="B87" s="917" t="s">
        <v>1012</v>
      </c>
      <c r="C87" s="86" t="s">
        <v>2960</v>
      </c>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98</v>
      </c>
      <c r="E88" s="745">
        <f t="shared" si="19"/>
        <v>96</v>
      </c>
      <c r="F88" s="745">
        <f t="shared" si="19"/>
        <v>94</v>
      </c>
      <c r="G88" s="745">
        <f t="shared" si="19"/>
        <v>92</v>
      </c>
      <c r="H88" s="745">
        <f t="shared" si="19"/>
        <v>90</v>
      </c>
      <c r="I88" s="745">
        <f t="shared" si="19"/>
        <v>88</v>
      </c>
      <c r="J88" s="745">
        <f t="shared" si="19"/>
        <v>86</v>
      </c>
      <c r="K88" s="745">
        <f t="shared" si="19"/>
        <v>84</v>
      </c>
      <c r="L88" s="745">
        <f t="shared" si="19"/>
        <v>82</v>
      </c>
      <c r="M88" s="745">
        <f t="shared" si="19"/>
        <v>80</v>
      </c>
      <c r="N88" s="1185"/>
      <c r="O88" s="1185"/>
      <c r="P88" s="1"/>
      <c r="Q88" s="68"/>
    </row>
    <row r="89" spans="1:17" s="11" customFormat="1" ht="14.25" thickTop="1">
      <c r="A89" s="935"/>
      <c r="B89" s="917" t="str">
        <f>B27</f>
        <v>楼层</v>
      </c>
      <c r="C89" s="86" t="s">
        <v>2942</v>
      </c>
      <c r="D89" s="86" t="s">
        <v>2940</v>
      </c>
      <c r="E89" s="86" t="s">
        <v>2939</v>
      </c>
      <c r="F89" s="1181"/>
      <c r="G89" s="86"/>
      <c r="H89" s="86"/>
      <c r="I89" s="86"/>
      <c r="J89" s="86"/>
      <c r="K89" s="86"/>
      <c r="L89" s="86"/>
      <c r="M89" s="1180"/>
      <c r="N89" s="1183"/>
      <c r="O89" s="1183"/>
      <c r="P89" s="1"/>
      <c r="Q89" s="68"/>
    </row>
    <row r="90" spans="1:17" s="11" customFormat="1" ht="15" thickBot="1">
      <c r="A90" s="935"/>
      <c r="B90" s="918"/>
      <c r="C90" s="784">
        <v>100</v>
      </c>
      <c r="D90" s="745">
        <f>C90-$K27</f>
        <v>97</v>
      </c>
      <c r="E90" s="745">
        <f t="shared" ref="E90:M90" si="20">D90-$K27</f>
        <v>94</v>
      </c>
      <c r="F90" s="745">
        <f t="shared" si="20"/>
        <v>91</v>
      </c>
      <c r="G90" s="745">
        <f t="shared" si="20"/>
        <v>88</v>
      </c>
      <c r="H90" s="745">
        <f t="shared" si="20"/>
        <v>85</v>
      </c>
      <c r="I90" s="745">
        <f t="shared" si="20"/>
        <v>82</v>
      </c>
      <c r="J90" s="745">
        <f t="shared" si="20"/>
        <v>79</v>
      </c>
      <c r="K90" s="745">
        <f t="shared" si="20"/>
        <v>76</v>
      </c>
      <c r="L90" s="745">
        <f t="shared" si="20"/>
        <v>73</v>
      </c>
      <c r="M90" s="745">
        <f t="shared" si="20"/>
        <v>70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976</v>
      </c>
      <c r="B101" s="183" t="s">
        <v>1013</v>
      </c>
      <c r="C101" s="69" t="s">
        <v>2948</v>
      </c>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30" thickTop="1" thickBot="1">
      <c r="A103" s="125"/>
      <c r="B103" s="917" t="s">
        <v>978</v>
      </c>
      <c r="C103" s="780" t="str">
        <f>C104&amp;"(含)"&amp;"-"&amp;D104</f>
        <v>10000(含)-50000</v>
      </c>
      <c r="D103" s="780" t="str">
        <f t="shared" ref="D103:L103" si="23">D104&amp;"(含)"&amp;"-"&amp;E104</f>
        <v>50000(含)-100000</v>
      </c>
      <c r="E103" s="780" t="str">
        <f t="shared" si="23"/>
        <v>100000(含)-150000</v>
      </c>
      <c r="F103" s="780" t="str">
        <f t="shared" si="23"/>
        <v>150000(含)-200000</v>
      </c>
      <c r="G103" s="780" t="str">
        <f t="shared" si="23"/>
        <v>200000(含)-250000</v>
      </c>
      <c r="H103" s="780" t="str">
        <f t="shared" si="23"/>
        <v>250000(含)-300000</v>
      </c>
      <c r="I103" s="780" t="str">
        <f t="shared" si="23"/>
        <v>300000(含)-350000</v>
      </c>
      <c r="J103" s="780" t="str">
        <f t="shared" si="23"/>
        <v>350000(含)-</v>
      </c>
      <c r="K103" s="780" t="str">
        <f t="shared" si="23"/>
        <v>(含)-</v>
      </c>
      <c r="L103" s="780" t="str">
        <f t="shared" si="23"/>
        <v>(含)-</v>
      </c>
      <c r="M103" s="824" t="str">
        <f>M104&amp;"(含)"&amp;"-"&amp;P104</f>
        <v>(含)-</v>
      </c>
      <c r="N103" s="1183"/>
      <c r="O103" s="1183"/>
      <c r="P103" s="1"/>
      <c r="Q103" s="68"/>
    </row>
    <row r="104" spans="1:17" s="898" customFormat="1" ht="14.25">
      <c r="A104" s="936"/>
      <c r="B104" s="937"/>
      <c r="C104" s="69">
        <v>10000</v>
      </c>
      <c r="D104" s="69">
        <v>50000</v>
      </c>
      <c r="E104" s="69">
        <v>100000</v>
      </c>
      <c r="F104" s="69">
        <v>150000</v>
      </c>
      <c r="G104" s="69">
        <v>200000</v>
      </c>
      <c r="H104" s="69">
        <v>250000</v>
      </c>
      <c r="I104" s="69">
        <v>300000</v>
      </c>
      <c r="J104" s="69">
        <v>350000</v>
      </c>
      <c r="K104" s="798"/>
      <c r="L104" s="799"/>
      <c r="M104" s="800"/>
      <c r="N104" s="1186"/>
      <c r="O104" s="1186"/>
      <c r="P104" s="925"/>
      <c r="Q104" s="926"/>
    </row>
    <row r="105" spans="1:17" s="898" customFormat="1" ht="15" thickBot="1">
      <c r="A105" s="921"/>
      <c r="B105" s="918"/>
      <c r="C105" s="762">
        <v>100</v>
      </c>
      <c r="D105" s="736">
        <v>101</v>
      </c>
      <c r="E105" s="736">
        <v>102</v>
      </c>
      <c r="F105" s="762">
        <v>103</v>
      </c>
      <c r="G105" s="736">
        <v>104</v>
      </c>
      <c r="H105" s="736">
        <v>105</v>
      </c>
      <c r="I105" s="762">
        <v>106</v>
      </c>
      <c r="J105" s="736">
        <v>107</v>
      </c>
      <c r="K105" s="736"/>
      <c r="L105" s="736"/>
      <c r="M105" s="737"/>
      <c r="N105" s="1185"/>
      <c r="O105" s="1185"/>
      <c r="P105" s="925"/>
      <c r="Q105" s="926"/>
    </row>
    <row r="106" spans="1:17" ht="14.25" thickTop="1">
      <c r="A106" s="127"/>
      <c r="B106" s="917" t="s">
        <v>979</v>
      </c>
      <c r="C106" s="86" t="s">
        <v>2949</v>
      </c>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980</v>
      </c>
      <c r="C108" s="86" t="s">
        <v>2951</v>
      </c>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981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1014</v>
      </c>
      <c r="C113" s="86" t="s">
        <v>2953</v>
      </c>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1015</v>
      </c>
      <c r="C115" s="86" t="s">
        <v>2954</v>
      </c>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2541</v>
      </c>
      <c r="C117" s="86" t="s">
        <v>2955</v>
      </c>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983</v>
      </c>
      <c r="C119" s="78" t="s">
        <v>2957</v>
      </c>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984</v>
      </c>
      <c r="C121" s="755">
        <f>C42</f>
        <v>123.8</v>
      </c>
      <c r="D121" s="755">
        <f>E42</f>
        <v>1220</v>
      </c>
      <c r="E121" s="755">
        <f>G42</f>
        <v>372.74</v>
      </c>
      <c r="F121" s="785">
        <f>I42</f>
        <v>300</v>
      </c>
      <c r="G121" s="756"/>
      <c r="H121" s="756"/>
      <c r="I121" s="756"/>
      <c r="J121" s="756"/>
      <c r="K121" s="756"/>
      <c r="L121" s="757"/>
      <c r="M121" s="758"/>
      <c r="N121" s="1186"/>
      <c r="O121" s="1186"/>
      <c r="P121" s="925"/>
      <c r="Q121" s="926"/>
    </row>
    <row r="122" spans="1:17" s="898" customFormat="1" ht="15" thickBot="1">
      <c r="A122" s="921"/>
      <c r="B122" s="916"/>
      <c r="C122" s="762">
        <v>98</v>
      </c>
      <c r="D122" s="762">
        <v>94</v>
      </c>
      <c r="E122" s="762">
        <v>100</v>
      </c>
      <c r="F122" s="762">
        <v>100</v>
      </c>
      <c r="G122" s="762"/>
      <c r="H122" s="762"/>
      <c r="I122" s="762"/>
      <c r="J122" s="762"/>
      <c r="K122" s="762"/>
      <c r="L122" s="762"/>
      <c r="M122" s="762"/>
      <c r="N122" s="1186"/>
      <c r="O122" s="1186"/>
      <c r="P122" s="925"/>
      <c r="Q122" s="926"/>
    </row>
    <row r="123" spans="1:17" ht="14.25" thickTop="1">
      <c r="A123" s="127"/>
      <c r="B123" s="917" t="s">
        <v>986</v>
      </c>
      <c r="C123" s="86" t="s">
        <v>2951</v>
      </c>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987</v>
      </c>
      <c r="C125" s="780" t="s">
        <v>934</v>
      </c>
      <c r="D125" s="780" t="s">
        <v>935</v>
      </c>
      <c r="E125" s="780" t="s">
        <v>936</v>
      </c>
      <c r="F125" s="780" t="s">
        <v>937</v>
      </c>
      <c r="G125" s="780" t="s">
        <v>938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t="str">
        <f>B45</f>
        <v>电梯直达</v>
      </c>
      <c r="C127" s="86" t="s">
        <v>2964</v>
      </c>
      <c r="D127" s="86" t="s">
        <v>2965</v>
      </c>
      <c r="E127" s="86"/>
      <c r="F127" s="86"/>
      <c r="G127" s="86"/>
      <c r="H127" s="922"/>
      <c r="I127" s="922"/>
      <c r="J127" s="922"/>
      <c r="K127" s="922"/>
      <c r="L127" s="923"/>
      <c r="M127" s="924"/>
      <c r="N127" s="1186"/>
      <c r="O127" s="1186"/>
      <c r="P127" s="925"/>
      <c r="Q127" s="926"/>
    </row>
    <row r="128" spans="1:17" s="898" customFormat="1" ht="15" thickBot="1">
      <c r="A128" s="921"/>
      <c r="B128" s="918"/>
      <c r="C128" s="762">
        <v>100</v>
      </c>
      <c r="D128" s="736">
        <v>95</v>
      </c>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141" priority="16" stopIfTrue="1" operator="containsText" text="超过">
      <formula>NOT(ISERROR(SEARCH("超过",F53)))</formula>
    </cfRule>
  </conditionalFormatting>
  <conditionalFormatting sqref="H55">
    <cfRule type="containsText" dxfId="140" priority="15" stopIfTrue="1" operator="containsText" text="超过">
      <formula>NOT(ISERROR(SEARCH("超过",H55)))</formula>
    </cfRule>
  </conditionalFormatting>
  <conditionalFormatting sqref="F55">
    <cfRule type="containsText" dxfId="139" priority="14" stopIfTrue="1" operator="containsText" text="超过">
      <formula>NOT(ISERROR(SEARCH("超过",F55)))</formula>
    </cfRule>
  </conditionalFormatting>
  <conditionalFormatting sqref="F54 H54">
    <cfRule type="containsText" dxfId="138" priority="13" stopIfTrue="1" operator="containsText" text="超过">
      <formula>NOT(ISERROR(SEARCH("超过",F54)))</formula>
    </cfRule>
  </conditionalFormatting>
  <conditionalFormatting sqref="E53">
    <cfRule type="expression" dxfId="137" priority="12" stopIfTrue="1">
      <formula>$F$53="超过30%"</formula>
    </cfRule>
  </conditionalFormatting>
  <conditionalFormatting sqref="E54">
    <cfRule type="expression" dxfId="136" priority="11" stopIfTrue="1">
      <formula>$F$54="超过20%"</formula>
    </cfRule>
  </conditionalFormatting>
  <conditionalFormatting sqref="E55">
    <cfRule type="expression" dxfId="135" priority="10" stopIfTrue="1">
      <formula>$F$55="超过30%"</formula>
    </cfRule>
  </conditionalFormatting>
  <conditionalFormatting sqref="G55">
    <cfRule type="expression" dxfId="134" priority="9" stopIfTrue="1">
      <formula>$H$55="超过30%"</formula>
    </cfRule>
  </conditionalFormatting>
  <conditionalFormatting sqref="G53">
    <cfRule type="expression" dxfId="133" priority="8" stopIfTrue="1">
      <formula>$H$53="超过30%"</formula>
    </cfRule>
  </conditionalFormatting>
  <conditionalFormatting sqref="G54">
    <cfRule type="expression" dxfId="132" priority="7" stopIfTrue="1">
      <formula>$H$54="超过20%"</formula>
    </cfRule>
  </conditionalFormatting>
  <conditionalFormatting sqref="J53">
    <cfRule type="containsText" dxfId="131" priority="6" stopIfTrue="1" operator="containsText" text="超过">
      <formula>NOT(ISERROR(SEARCH("超过",J53)))</formula>
    </cfRule>
  </conditionalFormatting>
  <conditionalFormatting sqref="J55">
    <cfRule type="containsText" dxfId="130" priority="5" stopIfTrue="1" operator="containsText" text="超过">
      <formula>NOT(ISERROR(SEARCH("超过",J55)))</formula>
    </cfRule>
  </conditionalFormatting>
  <conditionalFormatting sqref="J54">
    <cfRule type="containsText" dxfId="129" priority="4" stopIfTrue="1" operator="containsText" text="超过">
      <formula>NOT(ISERROR(SEARCH("超过",J54)))</formula>
    </cfRule>
  </conditionalFormatting>
  <conditionalFormatting sqref="I53">
    <cfRule type="expression" dxfId="128" priority="3" stopIfTrue="1">
      <formula>$J$53="超过30%"</formula>
    </cfRule>
  </conditionalFormatting>
  <conditionalFormatting sqref="I54">
    <cfRule type="expression" dxfId="127" priority="2" stopIfTrue="1">
      <formula>$J$53+$J$54="超过20%"</formula>
    </cfRule>
  </conditionalFormatting>
  <conditionalFormatting sqref="I55">
    <cfRule type="expression" dxfId="12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75"/>
  <sheetViews>
    <sheetView topLeftCell="A19" zoomScale="90" zoomScaleNormal="90" zoomScaleSheetLayoutView="100" workbookViewId="0">
      <selection activeCell="H50" sqref="H50"/>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822</v>
      </c>
      <c r="B1" s="523"/>
      <c r="C1" s="1088"/>
      <c r="D1" s="2321" t="s">
        <v>217</v>
      </c>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735</v>
      </c>
      <c r="B2" s="1200">
        <f ca="1">IF(C2="元",IF('数据-取费表'!B28="租赁期内按合同租金",C40+L47+J29,C40+L47),ROUND(IF('数据-取费表'!B28="租赁期内按合同租金",(C40+L47+J29)/10000,(C40+L47)/10000),0))</f>
        <v>496</v>
      </c>
      <c r="C2" s="1090" t="str">
        <f>'数据-取费表'!B3</f>
        <v>万元</v>
      </c>
      <c r="D2" s="2130"/>
      <c r="E2" s="2131"/>
      <c r="F2" s="2131"/>
      <c r="G2" s="2156"/>
      <c r="H2" s="1087"/>
      <c r="I2" s="2132"/>
      <c r="J2" s="2132"/>
      <c r="K2" s="2133"/>
      <c r="L2" s="2132"/>
      <c r="M2" s="2132"/>
    </row>
    <row r="3" spans="1:37" ht="18" customHeight="1" thickBot="1">
      <c r="A3" s="528" t="s">
        <v>736</v>
      </c>
      <c r="B3" s="1201">
        <f ca="1">ROUND(IF('数据-取费表'!B28="租赁期内按合同租金",(C40+L47+J29)/F43,(C40+L47)/F43),0)</f>
        <v>40036</v>
      </c>
      <c r="C3" s="1090" t="s">
        <v>1016</v>
      </c>
      <c r="D3" s="2130"/>
      <c r="E3" s="2131"/>
      <c r="F3" s="2131"/>
      <c r="G3" s="2156"/>
      <c r="H3" s="529" t="s">
        <v>823</v>
      </c>
      <c r="I3" s="2132"/>
      <c r="J3" s="2132"/>
      <c r="K3" s="2133"/>
      <c r="L3" s="2132"/>
      <c r="M3" s="2132"/>
    </row>
    <row r="4" spans="1:37" ht="18" customHeight="1">
      <c r="A4" s="530" t="s">
        <v>824</v>
      </c>
      <c r="B4" s="531" t="s">
        <v>825</v>
      </c>
      <c r="C4" s="531" t="s">
        <v>826</v>
      </c>
      <c r="D4" s="531" t="s">
        <v>827</v>
      </c>
      <c r="E4" s="532" t="s">
        <v>828</v>
      </c>
      <c r="F4" s="533"/>
      <c r="G4" s="2154"/>
      <c r="H4" s="530" t="s">
        <v>824</v>
      </c>
      <c r="I4" s="531" t="s">
        <v>825</v>
      </c>
      <c r="J4" s="531" t="s">
        <v>826</v>
      </c>
      <c r="K4" s="531" t="s">
        <v>827</v>
      </c>
      <c r="L4" s="532" t="s">
        <v>828</v>
      </c>
      <c r="M4" s="533"/>
    </row>
    <row r="5" spans="1:37" ht="18" customHeight="1">
      <c r="A5" s="534">
        <v>1</v>
      </c>
      <c r="B5" s="535" t="s">
        <v>829</v>
      </c>
      <c r="C5" s="536">
        <f ca="1">C6+C10+C12</f>
        <v>279397</v>
      </c>
      <c r="D5" s="2453" t="s">
        <v>2451</v>
      </c>
      <c r="E5" s="2130"/>
      <c r="F5" s="2444"/>
      <c r="G5" s="2154"/>
      <c r="H5" s="534">
        <v>1</v>
      </c>
      <c r="I5" s="535" t="s">
        <v>829</v>
      </c>
      <c r="J5" s="536">
        <f ca="1">J6+J10+J12</f>
        <v>0</v>
      </c>
      <c r="K5" s="2453" t="s">
        <v>2451</v>
      </c>
      <c r="L5" s="2130"/>
      <c r="M5" s="2444"/>
    </row>
    <row r="6" spans="1:37" ht="18" customHeight="1">
      <c r="A6" s="2445" t="s">
        <v>2230</v>
      </c>
      <c r="B6" s="1814" t="s">
        <v>2509</v>
      </c>
      <c r="C6" s="536">
        <f>ROUND(F6*F8*F7*(1-F9),0)</f>
        <v>279030</v>
      </c>
      <c r="D6" s="2451" t="s">
        <v>2449</v>
      </c>
      <c r="E6" s="537" t="s">
        <v>831</v>
      </c>
      <c r="F6" s="538">
        <f>'数据-取费表'!B29</f>
        <v>6.5</v>
      </c>
      <c r="G6" s="2154"/>
      <c r="H6" s="2445" t="s">
        <v>2513</v>
      </c>
      <c r="I6" s="1814" t="s">
        <v>2510</v>
      </c>
      <c r="J6" s="536">
        <f>ROUND(M6*M8*M7*(1-M9),0)</f>
        <v>0</v>
      </c>
      <c r="K6" s="297" t="s">
        <v>830</v>
      </c>
      <c r="L6" s="537" t="s">
        <v>831</v>
      </c>
      <c r="M6" s="538">
        <f>'数据-取费表'!B36</f>
        <v>0</v>
      </c>
    </row>
    <row r="7" spans="1:37" ht="18" customHeight="1">
      <c r="A7" s="2517"/>
      <c r="B7" s="2443"/>
      <c r="C7" s="541"/>
      <c r="D7" s="2442"/>
      <c r="E7" s="537" t="s">
        <v>832</v>
      </c>
      <c r="F7" s="538">
        <f>IF('数据-取费表'!B41="",IF(D1="仅计算典型户型",'数据-取费表'!E5,'数据-取费表'!B5),'数据-取费表'!B41)</f>
        <v>123.8</v>
      </c>
      <c r="G7" s="2154"/>
      <c r="H7" s="539"/>
      <c r="I7" s="2443"/>
      <c r="J7" s="541"/>
      <c r="K7" s="542"/>
      <c r="L7" s="537" t="s">
        <v>832</v>
      </c>
      <c r="M7" s="538">
        <f>IF('数据-取费表'!B41="",IF(D1="仅计算典型户型",'数据-取费表'!E5,'数据-取费表'!B5),'数据-取费表'!B41)</f>
        <v>123.8</v>
      </c>
    </row>
    <row r="8" spans="1:37" ht="18" customHeight="1">
      <c r="A8" s="2517"/>
      <c r="B8" s="2443"/>
      <c r="C8" s="541"/>
      <c r="D8" s="2442"/>
      <c r="E8" s="1666" t="s">
        <v>2291</v>
      </c>
      <c r="F8" s="538">
        <f>'数据-取费表'!B42</f>
        <v>365</v>
      </c>
      <c r="G8" s="2154"/>
      <c r="H8" s="539"/>
      <c r="I8" s="2443"/>
      <c r="J8" s="541"/>
      <c r="K8" s="542"/>
      <c r="L8" s="537" t="s">
        <v>833</v>
      </c>
      <c r="M8" s="538">
        <f>'数据-取费表'!B42</f>
        <v>365</v>
      </c>
    </row>
    <row r="9" spans="1:37" ht="18" customHeight="1">
      <c r="A9" s="2517"/>
      <c r="B9" s="2443"/>
      <c r="C9" s="541"/>
      <c r="D9" s="2452"/>
      <c r="E9" s="537" t="s">
        <v>834</v>
      </c>
      <c r="F9" s="547">
        <f>'数据-取费表'!B32</f>
        <v>0.05</v>
      </c>
      <c r="G9" s="2154"/>
      <c r="H9" s="539"/>
      <c r="I9" s="2443"/>
      <c r="J9" s="2450"/>
      <c r="K9" s="312"/>
      <c r="L9" s="548" t="s">
        <v>834</v>
      </c>
      <c r="M9" s="547">
        <f>'数据-取费表'!B38</f>
        <v>0</v>
      </c>
    </row>
    <row r="10" spans="1:37" ht="18" customHeight="1">
      <c r="A10" s="2445" t="s">
        <v>2511</v>
      </c>
      <c r="B10" s="2448" t="s">
        <v>2444</v>
      </c>
      <c r="C10" s="2447">
        <f ca="1">ROUND(IF(F10="押一",F6*F7*F8/12*F11,IF(F10="押二",F6*F7*F8/12*2*F11,IF(F10="押三",F6*F7*F8/12*3*F11,C11*F11))),0)</f>
        <v>367</v>
      </c>
      <c r="D10" s="2446" t="s">
        <v>2447</v>
      </c>
      <c r="E10" s="2441" t="s">
        <v>2448</v>
      </c>
      <c r="F10" s="2449" t="s">
        <v>2897</v>
      </c>
      <c r="G10" s="2154"/>
      <c r="H10" s="2445" t="s">
        <v>2514</v>
      </c>
      <c r="I10" s="2448" t="s">
        <v>2444</v>
      </c>
      <c r="J10" s="2447">
        <f ca="1">ROUND(IF(M10="押一",M6*M8*M7/12*M11,IF(M10="押二",M6*M8*M7/12*2*M11,IF(M10="押三",M6*M8*M7/12*3*M11,J11*M11))),0)</f>
        <v>0</v>
      </c>
      <c r="K10" s="2451" t="s">
        <v>2447</v>
      </c>
      <c r="L10" s="2441" t="s">
        <v>2448</v>
      </c>
      <c r="M10" s="2449"/>
    </row>
    <row r="11" spans="1:37" s="559" customFormat="1" ht="18" customHeight="1">
      <c r="A11" s="566"/>
      <c r="B11" s="2454" t="s">
        <v>2508</v>
      </c>
      <c r="C11" s="2486"/>
      <c r="D11" s="2442"/>
      <c r="E11" s="2441" t="s">
        <v>2446</v>
      </c>
      <c r="F11" s="549">
        <f ca="1">'数据-取费表'!B30</f>
        <v>1.4999999999999999E-2</v>
      </c>
      <c r="G11" s="2155"/>
      <c r="H11" s="543"/>
      <c r="I11" s="2454" t="s">
        <v>2573</v>
      </c>
      <c r="J11" s="2486"/>
      <c r="K11" s="2442"/>
      <c r="L11" s="2441" t="s">
        <v>2446</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2512</v>
      </c>
      <c r="B12" s="2493" t="s">
        <v>2450</v>
      </c>
      <c r="C12" s="2494"/>
      <c r="D12" s="2495"/>
      <c r="E12" s="1830"/>
      <c r="F12" s="2496"/>
      <c r="G12" s="2154"/>
      <c r="H12" s="2492" t="s">
        <v>2515</v>
      </c>
      <c r="I12" s="2493" t="s">
        <v>2450</v>
      </c>
      <c r="J12" s="2494"/>
      <c r="K12" s="2511"/>
      <c r="L12" s="1830"/>
      <c r="M12" s="2512"/>
    </row>
    <row r="13" spans="1:37" s="559" customFormat="1" ht="18" customHeight="1" thickTop="1">
      <c r="A13" s="2488">
        <v>2</v>
      </c>
      <c r="B13" s="2489" t="s">
        <v>835</v>
      </c>
      <c r="C13" s="545">
        <f ca="1">ROUND(C29*F13,0)</f>
        <v>326890</v>
      </c>
      <c r="D13" s="2490" t="s">
        <v>836</v>
      </c>
      <c r="E13" s="2490" t="s">
        <v>837</v>
      </c>
      <c r="F13" s="2491">
        <f>'数据-取费表'!E20</f>
        <v>0.71666666666666667</v>
      </c>
      <c r="G13" s="2155"/>
      <c r="H13" s="2488">
        <v>2</v>
      </c>
      <c r="I13" s="2489" t="s">
        <v>835</v>
      </c>
      <c r="J13" s="2450">
        <f ca="1">ROUND(J14*J15,0)</f>
        <v>0</v>
      </c>
      <c r="K13" s="2497" t="s">
        <v>836</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2238</v>
      </c>
      <c r="B14" s="537" t="s">
        <v>373</v>
      </c>
      <c r="C14" s="556">
        <f>IF(D1="仅计算典型户型",'数据-取费表'!F18,'数据-取费表'!E18)</f>
        <v>309500</v>
      </c>
      <c r="D14" s="2437" t="s">
        <v>838</v>
      </c>
      <c r="E14" s="2438"/>
      <c r="F14" s="1634"/>
      <c r="G14" s="2155"/>
      <c r="H14" s="555" t="s">
        <v>2230</v>
      </c>
      <c r="I14" s="537" t="s">
        <v>839</v>
      </c>
      <c r="J14" s="197">
        <f ca="1">C29</f>
        <v>456126</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2239</v>
      </c>
      <c r="B15" s="537" t="s">
        <v>374</v>
      </c>
      <c r="C15" s="197">
        <f>ROUND(C14*F15,0)</f>
        <v>9285</v>
      </c>
      <c r="D15" s="557" t="s">
        <v>840</v>
      </c>
      <c r="E15" s="557" t="s">
        <v>841</v>
      </c>
      <c r="F15" s="558">
        <f>'数据-取费表'!E21</f>
        <v>0.03</v>
      </c>
      <c r="G15" s="2154"/>
      <c r="H15" s="2500" t="s">
        <v>2244</v>
      </c>
      <c r="I15" s="2501" t="s">
        <v>837</v>
      </c>
      <c r="J15" s="2513">
        <f>'数据-取费表'!B39</f>
        <v>0</v>
      </c>
      <c r="K15" s="2514"/>
      <c r="L15" s="2515"/>
      <c r="M15" s="2516"/>
    </row>
    <row r="16" spans="1:37" s="559" customFormat="1" ht="18" customHeight="1" thickTop="1">
      <c r="A16" s="555" t="s">
        <v>2240</v>
      </c>
      <c r="B16" s="537" t="s">
        <v>375</v>
      </c>
      <c r="C16" s="197">
        <f>ROUND(C14*F16,0)</f>
        <v>0</v>
      </c>
      <c r="D16" s="537" t="s">
        <v>840</v>
      </c>
      <c r="E16" s="537" t="s">
        <v>841</v>
      </c>
      <c r="F16" s="560">
        <f>IF('数据-取费表'!B10="住宅",'数据-取费表'!E22,0)</f>
        <v>0</v>
      </c>
      <c r="G16" s="2155"/>
      <c r="H16" s="2488" t="s">
        <v>38</v>
      </c>
      <c r="I16" s="2489" t="s">
        <v>842</v>
      </c>
      <c r="J16" s="545">
        <f ca="1">ROUND(J17+J22+J23+J24,0)</f>
        <v>10674</v>
      </c>
      <c r="K16" s="2497" t="s">
        <v>843</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2241</v>
      </c>
      <c r="B17" s="537" t="s">
        <v>376</v>
      </c>
      <c r="C17" s="197">
        <f>ROUND(F17*IF(D1="仅计算典型户型",'数据-取费表'!E5,'数据-取费表'!B5),0)</f>
        <v>24760</v>
      </c>
      <c r="D17" s="537" t="s">
        <v>844</v>
      </c>
      <c r="E17" s="537" t="s">
        <v>845</v>
      </c>
      <c r="F17" s="199">
        <f>'数据-取费表'!E23</f>
        <v>200</v>
      </c>
      <c r="G17" s="2155"/>
      <c r="H17" s="555" t="s">
        <v>2236</v>
      </c>
      <c r="I17" s="537" t="s">
        <v>377</v>
      </c>
      <c r="J17" s="197">
        <f ca="1">ROUND(IF(项目基本情况!B7="自然人",J5*M17,J18+J19+J20),0)</f>
        <v>3832</v>
      </c>
      <c r="K17" s="2067" t="s">
        <v>846</v>
      </c>
      <c r="L17" s="2068" t="s">
        <v>847</v>
      </c>
      <c r="M17" s="561" t="str">
        <f>IF(项目基本情况!B7="企业","",IF('数据-取费表'!B10="住宅",5%,IF(M6*M7*M8/12/(1+'数据-取费表'!F30)&gt;20000,12%,7%)))</f>
        <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2242</v>
      </c>
      <c r="B18" s="537" t="s">
        <v>378</v>
      </c>
      <c r="C18" s="197">
        <f>ROUND(C14*F18,0)</f>
        <v>4643</v>
      </c>
      <c r="D18" s="537" t="s">
        <v>840</v>
      </c>
      <c r="E18" s="537" t="s">
        <v>841</v>
      </c>
      <c r="F18" s="560">
        <f>'数据-取费表'!E24</f>
        <v>1.4999999999999999E-2</v>
      </c>
      <c r="G18" s="2154"/>
      <c r="H18" s="555" t="s">
        <v>2238</v>
      </c>
      <c r="I18" s="537" t="s">
        <v>848</v>
      </c>
      <c r="J18" s="197">
        <f ca="1">IF(项目基本情况!B7="自然人","——",ROUND(J5*M18/(1+'数据-取费表'!F30),0))</f>
        <v>0</v>
      </c>
      <c r="K18" s="2068" t="s">
        <v>849</v>
      </c>
      <c r="L18" s="537" t="s">
        <v>841</v>
      </c>
      <c r="M18" s="560">
        <f>'数据-取费表'!E29</f>
        <v>5.6000000000000001E-2</v>
      </c>
    </row>
    <row r="19" spans="1:37" s="559" customFormat="1" ht="18" customHeight="1">
      <c r="A19" s="555" t="s">
        <v>2440</v>
      </c>
      <c r="B19" s="537" t="s">
        <v>380</v>
      </c>
      <c r="C19" s="197">
        <f>SUM(C14:C18)</f>
        <v>348188</v>
      </c>
      <c r="D19" s="272" t="s">
        <v>850</v>
      </c>
      <c r="E19" s="2440"/>
      <c r="F19" s="199"/>
      <c r="G19" s="2155"/>
      <c r="H19" s="555" t="s">
        <v>2239</v>
      </c>
      <c r="I19" s="537" t="s">
        <v>851</v>
      </c>
      <c r="J19" s="197">
        <f ca="1">IF(项目基本情况!B7="自然人","——",IF(K19="按租金收入计税",ROUND(J5*M19,1),ROUND(C29*M19*0.7,1)))</f>
        <v>3831.5</v>
      </c>
      <c r="K19" s="1091" t="s">
        <v>2221</v>
      </c>
      <c r="L19" s="537" t="s">
        <v>841</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2441</v>
      </c>
      <c r="B20" s="537" t="s">
        <v>381</v>
      </c>
      <c r="C20" s="197">
        <f>ROUND(C19*F20,0)</f>
        <v>6964</v>
      </c>
      <c r="D20" s="562" t="s">
        <v>852</v>
      </c>
      <c r="E20" s="537" t="s">
        <v>841</v>
      </c>
      <c r="F20" s="560">
        <f>'数据-取费表'!E25</f>
        <v>0.02</v>
      </c>
      <c r="G20" s="2155"/>
      <c r="H20" s="555" t="s">
        <v>2240</v>
      </c>
      <c r="I20" s="297" t="s">
        <v>853</v>
      </c>
      <c r="J20" s="198">
        <f>IF(项目基本情况!B7="自然人","——",ROUND(M20*M21,0))</f>
        <v>0</v>
      </c>
      <c r="K20" s="564" t="s">
        <v>854</v>
      </c>
      <c r="L20" s="537" t="s">
        <v>855</v>
      </c>
      <c r="M20" s="565">
        <f>'数据-取费表'!E40</f>
        <v>18</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2231</v>
      </c>
      <c r="B21" s="537" t="s">
        <v>856</v>
      </c>
      <c r="C21" s="991">
        <f>F21</f>
        <v>0.02</v>
      </c>
      <c r="D21" s="562" t="s">
        <v>857</v>
      </c>
      <c r="E21" s="537" t="s">
        <v>858</v>
      </c>
      <c r="F21" s="560">
        <f>'数据-取费表'!E26</f>
        <v>0.02</v>
      </c>
      <c r="G21" s="2154"/>
      <c r="H21" s="566"/>
      <c r="I21" s="546"/>
      <c r="J21" s="202"/>
      <c r="K21" s="567"/>
      <c r="L21" s="537" t="s">
        <v>859</v>
      </c>
      <c r="M21" s="538">
        <f>IF(D1="仅计算典型户型",'数据-取费表'!E6,'数据-取费表'!B6)</f>
        <v>0</v>
      </c>
    </row>
    <row r="22" spans="1:37" ht="18" customHeight="1">
      <c r="A22" s="555" t="s">
        <v>2232</v>
      </c>
      <c r="B22" s="537" t="s">
        <v>860</v>
      </c>
      <c r="C22" s="197"/>
      <c r="D22" s="2528" t="str">
        <f>IF(F23&lt;=1,"单利计息。","复利计息。")&amp;"建造成本、管理费用、销售费用产生的利息。"</f>
        <v>复利计息。建造成本、管理费用、销售费用产生的利息。</v>
      </c>
      <c r="E22" s="2440"/>
      <c r="F22" s="199"/>
      <c r="G22" s="2154"/>
      <c r="H22" s="555" t="s">
        <v>2237</v>
      </c>
      <c r="I22" s="537" t="s">
        <v>861</v>
      </c>
      <c r="J22" s="197">
        <f ca="1">ROUND(J14*M22,0)</f>
        <v>6842</v>
      </c>
      <c r="K22" s="2068" t="s">
        <v>862</v>
      </c>
      <c r="L22" s="537" t="s">
        <v>841</v>
      </c>
      <c r="M22" s="568">
        <f>'数据-取费表'!B44</f>
        <v>1.4999999999999999E-2</v>
      </c>
    </row>
    <row r="23" spans="1:37" ht="18" customHeight="1">
      <c r="A23" s="555" t="s">
        <v>2238</v>
      </c>
      <c r="B23" s="537" t="s">
        <v>2442</v>
      </c>
      <c r="C23" s="197">
        <f ca="1">IF('数据-取费表'!B23&lt;=1,ROUND(C19*F24*F23/2,0)+ROUND(C20*F24*F23/2,0),ROUND(C19*(POWER((1+F24),F23/2)-1),0)+ROUND(C20*(POWER((1+F24),F23/2)-1),0))</f>
        <v>12579</v>
      </c>
      <c r="D23" s="1659" t="str">
        <f>IF(F23&lt;=1,"(建造成本+管理费用)×利率×(建设周期÷2)","(建造成本+管理费用)×((1+利率)^(建设周期÷2)-1)")</f>
        <v>(建造成本+管理费用)×((1+利率)^(建设周期÷2)-1)</v>
      </c>
      <c r="E23" s="537" t="s">
        <v>863</v>
      </c>
      <c r="F23" s="565">
        <f>'数据-取费表'!B21</f>
        <v>1.5</v>
      </c>
      <c r="G23" s="2154"/>
      <c r="H23" s="555" t="s">
        <v>2231</v>
      </c>
      <c r="I23" s="537" t="s">
        <v>382</v>
      </c>
      <c r="J23" s="197">
        <f ca="1">ROUND(J13*M23,0)</f>
        <v>0</v>
      </c>
      <c r="K23" s="2068" t="s">
        <v>864</v>
      </c>
      <c r="L23" s="537" t="s">
        <v>841</v>
      </c>
      <c r="M23" s="569">
        <f>'数据-取费表'!B45</f>
        <v>1.5E-3</v>
      </c>
    </row>
    <row r="24" spans="1:37" s="559" customFormat="1" ht="18" customHeight="1" thickBot="1">
      <c r="A24" s="555" t="s">
        <v>2243</v>
      </c>
      <c r="B24" s="537" t="s">
        <v>865</v>
      </c>
      <c r="C24" s="197">
        <f ca="1">ROUND(IF('数据-取费表'!B23&lt;=1,F21*F24*F23/2,F21*(POWER((1+F24),F23/2)-1)),4)</f>
        <v>6.9999999999999999E-4</v>
      </c>
      <c r="D24" s="1659" t="str">
        <f>IF(F23&lt;=1,"销售费用×利率×(建设周期÷2)","销售费用×((1+利率)^(建设周期÷2)-1)")</f>
        <v>销售费用×((1+利率)^(建设周期÷2)-1)</v>
      </c>
      <c r="E24" s="537" t="s">
        <v>866</v>
      </c>
      <c r="F24" s="570">
        <f ca="1">'数据-取费表'!E27</f>
        <v>4.7500000000000001E-2</v>
      </c>
      <c r="G24" s="2155"/>
      <c r="H24" s="2500" t="s">
        <v>2232</v>
      </c>
      <c r="I24" s="2501" t="s">
        <v>381</v>
      </c>
      <c r="J24" s="2502">
        <f ca="1">ROUND(J5*M24,0)</f>
        <v>0</v>
      </c>
      <c r="K24" s="2503" t="s">
        <v>867</v>
      </c>
      <c r="L24" s="2501" t="s">
        <v>841</v>
      </c>
      <c r="M24" s="2496">
        <f>'数据-取费表'!B46</f>
        <v>0.02</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2233</v>
      </c>
      <c r="B25" s="537" t="s">
        <v>386</v>
      </c>
      <c r="C25" s="197"/>
      <c r="D25" s="272" t="s">
        <v>868</v>
      </c>
      <c r="E25" s="2440"/>
      <c r="F25" s="199"/>
      <c r="G25" s="2155"/>
      <c r="H25" s="2488" t="s">
        <v>46</v>
      </c>
      <c r="I25" s="2505" t="s">
        <v>869</v>
      </c>
      <c r="J25" s="545">
        <f ca="1">J5-J16</f>
        <v>-10674</v>
      </c>
      <c r="K25" s="2506" t="s">
        <v>870</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2238</v>
      </c>
      <c r="B26" s="537" t="s">
        <v>2443</v>
      </c>
      <c r="C26" s="197">
        <f>ROUND((C19+C20)*F26,0)</f>
        <v>53273</v>
      </c>
      <c r="D26" s="562" t="s">
        <v>871</v>
      </c>
      <c r="E26" s="548" t="s">
        <v>872</v>
      </c>
      <c r="F26" s="547">
        <f>'数据-取费表'!E28</f>
        <v>0.15</v>
      </c>
      <c r="G26" s="1268"/>
      <c r="H26" s="534" t="s">
        <v>47</v>
      </c>
      <c r="I26" s="535" t="s">
        <v>873</v>
      </c>
      <c r="J26" s="536">
        <f ca="1">IF(J5&lt;&gt;0,ROUND(J25*(1-((1+M28)/(1+M26))^M27)/(M26-M28),0),0)</f>
        <v>0</v>
      </c>
      <c r="K26" s="564" t="s">
        <v>874</v>
      </c>
      <c r="L26" s="537" t="s">
        <v>882</v>
      </c>
      <c r="M26" s="547">
        <f>'数据-取费表'!B16</f>
        <v>0.05</v>
      </c>
    </row>
    <row r="27" spans="1:37" ht="18" customHeight="1">
      <c r="A27" s="555" t="s">
        <v>2243</v>
      </c>
      <c r="B27" s="537" t="s">
        <v>389</v>
      </c>
      <c r="C27" s="197">
        <f>ROUND(F21*F26,4)</f>
        <v>3.0000000000000001E-3</v>
      </c>
      <c r="D27" s="562" t="s">
        <v>875</v>
      </c>
      <c r="E27" s="557"/>
      <c r="F27" s="558"/>
      <c r="G27" s="1268"/>
      <c r="H27" s="539"/>
      <c r="I27" s="540"/>
      <c r="J27" s="541"/>
      <c r="K27" s="572" t="s">
        <v>876</v>
      </c>
      <c r="L27" s="537" t="s">
        <v>883</v>
      </c>
      <c r="M27" s="573" t="str">
        <f>'数据-取费表'!B40</f>
        <v>——</v>
      </c>
    </row>
    <row r="28" spans="1:37" ht="18" customHeight="1">
      <c r="A28" s="555" t="s">
        <v>2234</v>
      </c>
      <c r="B28" s="537" t="s">
        <v>390</v>
      </c>
      <c r="C28" s="197">
        <f>ROUND(F28/(1+'数据-取费表'!F30),4)</f>
        <v>5.33E-2</v>
      </c>
      <c r="D28" s="562" t="s">
        <v>884</v>
      </c>
      <c r="E28" s="537" t="s">
        <v>841</v>
      </c>
      <c r="F28" s="560">
        <f>'数据-取费表'!E29</f>
        <v>5.6000000000000001E-2</v>
      </c>
      <c r="G28" s="1268"/>
      <c r="H28" s="543"/>
      <c r="I28" s="544"/>
      <c r="J28" s="545"/>
      <c r="K28" s="567"/>
      <c r="L28" s="537" t="s">
        <v>885</v>
      </c>
      <c r="M28" s="547">
        <f>'数据-取费表'!B37</f>
        <v>0</v>
      </c>
    </row>
    <row r="29" spans="1:37" ht="18" customHeight="1" thickBot="1">
      <c r="A29" s="2500" t="s">
        <v>2235</v>
      </c>
      <c r="B29" s="2501" t="s">
        <v>886</v>
      </c>
      <c r="C29" s="2502">
        <f ca="1">ROUND((C19+C20+C23+C26)/(1-F21-C24-C27-C28),0)</f>
        <v>456126</v>
      </c>
      <c r="D29" s="2503"/>
      <c r="E29" s="2501"/>
      <c r="F29" s="2504"/>
      <c r="G29" s="1268"/>
      <c r="H29" s="574" t="s">
        <v>48</v>
      </c>
      <c r="I29" s="575" t="s">
        <v>877</v>
      </c>
      <c r="J29" s="576">
        <f ca="1">ROUND(J26/(1+F40)^F41,0)</f>
        <v>0</v>
      </c>
      <c r="K29" s="577" t="s">
        <v>878</v>
      </c>
      <c r="L29" s="578"/>
      <c r="M29" s="579">
        <f>IF(D1="仅计算典型户型",'数据-取费表'!E5,'数据-取费表'!B5)</f>
        <v>123.8</v>
      </c>
    </row>
    <row r="30" spans="1:37" ht="18" customHeight="1" thickTop="1">
      <c r="A30" s="2488" t="s">
        <v>38</v>
      </c>
      <c r="B30" s="2489" t="s">
        <v>842</v>
      </c>
      <c r="C30" s="545">
        <f ca="1">ROUND(C31+C36+C37+C38,0)</f>
        <v>31653</v>
      </c>
      <c r="D30" s="2497" t="s">
        <v>843</v>
      </c>
      <c r="E30" s="2498"/>
      <c r="F30" s="2499"/>
      <c r="G30" s="1268"/>
      <c r="H30" s="2134"/>
      <c r="I30" s="2135"/>
      <c r="J30" s="2136"/>
      <c r="K30" s="2137"/>
      <c r="L30" s="2138"/>
      <c r="M30" s="2139"/>
    </row>
    <row r="31" spans="1:37" ht="18" customHeight="1">
      <c r="A31" s="555" t="s">
        <v>2236</v>
      </c>
      <c r="B31" s="537" t="s">
        <v>377</v>
      </c>
      <c r="C31" s="197">
        <f ca="1">ROUND(IF(项目基本情况!B7="自然人",C5*F31,C32+C33+C34),1)</f>
        <v>18732.5</v>
      </c>
      <c r="D31" s="2437" t="s">
        <v>846</v>
      </c>
      <c r="E31" s="2439" t="s">
        <v>887</v>
      </c>
      <c r="F31" s="561" t="str">
        <f>IF(项目基本情况!B7="企业","",IF('数据-取费表'!B10="住宅",5%,IF(F6*F7*F8/12/(1+'数据-取费表'!F30)&gt;20000,12%,7%)))</f>
        <v/>
      </c>
      <c r="G31" s="1268"/>
      <c r="H31" s="2134"/>
      <c r="I31" s="2135"/>
      <c r="J31" s="2136"/>
      <c r="K31" s="2137"/>
      <c r="L31" s="2138"/>
      <c r="M31" s="2139"/>
    </row>
    <row r="32" spans="1:37" ht="18" customHeight="1">
      <c r="A32" s="555" t="s">
        <v>2238</v>
      </c>
      <c r="B32" s="537" t="s">
        <v>848</v>
      </c>
      <c r="C32" s="197">
        <f ca="1">IF(项目基本情况!B7="自然人","——",ROUND(C5*F32/(1+'数据-取费表'!F30),0))</f>
        <v>14901</v>
      </c>
      <c r="D32" s="2439" t="s">
        <v>849</v>
      </c>
      <c r="E32" s="537" t="s">
        <v>841</v>
      </c>
      <c r="F32" s="570">
        <f>'数据-取费表'!E29</f>
        <v>5.6000000000000001E-2</v>
      </c>
      <c r="G32" s="1268"/>
      <c r="H32" s="2140"/>
      <c r="I32" s="2141"/>
      <c r="J32" s="2142"/>
      <c r="K32" s="2143"/>
      <c r="L32" s="2144"/>
      <c r="M32" s="2145"/>
    </row>
    <row r="33" spans="1:18" ht="18" customHeight="1">
      <c r="A33" s="555" t="s">
        <v>2239</v>
      </c>
      <c r="B33" s="537" t="s">
        <v>851</v>
      </c>
      <c r="C33" s="197">
        <f ca="1">IF(项目基本情况!B7="自然人","——",IF(D33="按租金收入计税",ROUND(C5*F33,1),IF(D33="按房产原值计税",ROUND(C29*F33*0.7,1),'数据-取费表'!B43)))</f>
        <v>3831.5</v>
      </c>
      <c r="D33" s="1091" t="s">
        <v>2221</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2240</v>
      </c>
      <c r="B34" s="297" t="s">
        <v>888</v>
      </c>
      <c r="C34" s="198">
        <f>IF(项目基本情况!B7="自然人","——",ROUND(F34*F35,0))</f>
        <v>0</v>
      </c>
      <c r="D34" s="564" t="s">
        <v>889</v>
      </c>
      <c r="E34" s="537" t="s">
        <v>890</v>
      </c>
      <c r="F34" s="565">
        <f>'数据-取费表'!E40</f>
        <v>18</v>
      </c>
      <c r="G34" s="1268"/>
      <c r="H34" s="2134"/>
      <c r="I34" s="583" t="s">
        <v>891</v>
      </c>
      <c r="J34" s="584">
        <f ca="1">ROUND(C13*J35,0)</f>
        <v>27786</v>
      </c>
      <c r="K34" s="2148"/>
      <c r="L34" s="2149"/>
      <c r="M34" s="2149"/>
    </row>
    <row r="35" spans="1:18" ht="24.6" customHeight="1">
      <c r="A35" s="2456"/>
      <c r="B35" s="546"/>
      <c r="C35" s="202"/>
      <c r="D35" s="567"/>
      <c r="E35" s="537" t="s">
        <v>859</v>
      </c>
      <c r="F35" s="538">
        <f>IF(D1="仅计算典型户型",'数据-取费表'!E6,'数据-取费表'!B6)</f>
        <v>0</v>
      </c>
      <c r="G35" s="1268"/>
      <c r="H35" s="2134"/>
      <c r="I35" s="585" t="s">
        <v>892</v>
      </c>
      <c r="J35" s="586">
        <f>'数据-取费表'!B17</f>
        <v>8.5000000000000006E-2</v>
      </c>
      <c r="K35" s="2147"/>
      <c r="L35" s="2146"/>
      <c r="M35" s="2146"/>
    </row>
    <row r="36" spans="1:18" ht="18" customHeight="1">
      <c r="A36" s="2455" t="s">
        <v>2237</v>
      </c>
      <c r="B36" s="537" t="s">
        <v>861</v>
      </c>
      <c r="C36" s="197">
        <f ca="1">ROUND(C29*F36,0)</f>
        <v>6842</v>
      </c>
      <c r="D36" s="2439" t="s">
        <v>893</v>
      </c>
      <c r="E36" s="537" t="s">
        <v>894</v>
      </c>
      <c r="F36" s="568">
        <f>'数据-取费表'!B44</f>
        <v>1.4999999999999999E-2</v>
      </c>
      <c r="G36" s="1268"/>
      <c r="H36" s="2146"/>
      <c r="I36" s="587" t="s">
        <v>895</v>
      </c>
      <c r="J36" s="588"/>
      <c r="K36" s="2150"/>
      <c r="L36" s="2146"/>
      <c r="M36" s="2146"/>
    </row>
    <row r="37" spans="1:18" ht="18" customHeight="1">
      <c r="A37" s="555" t="s">
        <v>2231</v>
      </c>
      <c r="B37" s="537" t="s">
        <v>382</v>
      </c>
      <c r="C37" s="197">
        <f ca="1">ROUND(C13*F37,0)</f>
        <v>490</v>
      </c>
      <c r="D37" s="2439" t="s">
        <v>383</v>
      </c>
      <c r="E37" s="537" t="s">
        <v>384</v>
      </c>
      <c r="F37" s="569">
        <f>'数据-取费表'!B45</f>
        <v>1.5E-3</v>
      </c>
      <c r="G37" s="1268"/>
      <c r="H37" s="2146"/>
      <c r="I37" s="433" t="s">
        <v>879</v>
      </c>
      <c r="J37" s="589"/>
      <c r="K37" s="2150"/>
      <c r="L37" s="2146"/>
      <c r="M37" s="2146"/>
    </row>
    <row r="38" spans="1:18" ht="18" customHeight="1" thickBot="1">
      <c r="A38" s="2500" t="s">
        <v>2232</v>
      </c>
      <c r="B38" s="2501" t="s">
        <v>381</v>
      </c>
      <c r="C38" s="2502">
        <f ca="1">ROUND(C5*F38,0)</f>
        <v>5588</v>
      </c>
      <c r="D38" s="2503" t="s">
        <v>385</v>
      </c>
      <c r="E38" s="2501" t="s">
        <v>384</v>
      </c>
      <c r="F38" s="2496">
        <f>'数据-取费表'!B46</f>
        <v>0.02</v>
      </c>
      <c r="G38" s="1268"/>
      <c r="H38" s="2146"/>
      <c r="I38" s="583" t="s">
        <v>880</v>
      </c>
      <c r="J38" s="437">
        <f ca="1">ROUND(J34/C39,3)</f>
        <v>0.112</v>
      </c>
      <c r="K38" s="2151"/>
      <c r="L38" s="2146"/>
      <c r="M38" s="2146"/>
    </row>
    <row r="39" spans="1:18" ht="18" customHeight="1" thickTop="1">
      <c r="A39" s="2488" t="s">
        <v>46</v>
      </c>
      <c r="B39" s="2505" t="s">
        <v>391</v>
      </c>
      <c r="C39" s="545">
        <f ca="1">C5-C30</f>
        <v>247744</v>
      </c>
      <c r="D39" s="2506" t="s">
        <v>392</v>
      </c>
      <c r="E39" s="2507"/>
      <c r="F39" s="2508"/>
      <c r="G39" s="1268"/>
      <c r="H39" s="2146"/>
      <c r="I39" s="583" t="s">
        <v>881</v>
      </c>
      <c r="J39" s="437">
        <f ca="1">1-J38</f>
        <v>0.88800000000000001</v>
      </c>
      <c r="K39" s="2151"/>
      <c r="L39" s="2146"/>
      <c r="M39" s="2146"/>
    </row>
    <row r="40" spans="1:18" s="1268" customFormat="1" ht="18" customHeight="1">
      <c r="A40" s="534" t="s">
        <v>47</v>
      </c>
      <c r="B40" s="535" t="s">
        <v>393</v>
      </c>
      <c r="C40" s="536">
        <f ca="1">ROUND(C39*(1-((1+F42)/(1+F40))^F41)/(F40-F42),0)</f>
        <v>4944348</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2930</v>
      </c>
      <c r="F41" s="573">
        <f>IF('数据-取费表'!B28="租赁期内按合同租金",'数据-取费表'!B34,IF(E41="收益年期(n)",'数据-取费表'!B33,'数据-取费表'!B13))</f>
        <v>31.5</v>
      </c>
      <c r="H41" s="2153"/>
      <c r="I41" s="436" t="s">
        <v>371</v>
      </c>
      <c r="J41" s="437">
        <f ca="1">ROUND(C13/C40,3)</f>
        <v>6.6000000000000003E-2</v>
      </c>
      <c r="K41" s="2150"/>
      <c r="L41" s="2153"/>
      <c r="M41" s="2153"/>
      <c r="Q41" s="1272"/>
    </row>
    <row r="42" spans="1:18" s="1268" customFormat="1" ht="18" customHeight="1">
      <c r="A42" s="543"/>
      <c r="B42" s="544"/>
      <c r="C42" s="545"/>
      <c r="D42" s="567"/>
      <c r="E42" s="537" t="s">
        <v>396</v>
      </c>
      <c r="F42" s="547">
        <f>'数据-取费表'!B31</f>
        <v>0.02</v>
      </c>
      <c r="H42" s="2153"/>
      <c r="I42" s="436" t="s">
        <v>372</v>
      </c>
      <c r="J42" s="438">
        <f ca="1">1-J41</f>
        <v>0.93399999999999994</v>
      </c>
      <c r="K42" s="2150"/>
      <c r="L42" s="2153"/>
      <c r="M42" s="2153"/>
      <c r="Q42" s="1272"/>
    </row>
    <row r="43" spans="1:18" s="1268" customFormat="1" ht="18" customHeight="1" thickBot="1">
      <c r="A43" s="574" t="s">
        <v>48</v>
      </c>
      <c r="B43" s="575" t="s">
        <v>397</v>
      </c>
      <c r="C43" s="576">
        <f ca="1">ROUND(C40/F43,0)</f>
        <v>39938</v>
      </c>
      <c r="D43" s="577" t="s">
        <v>398</v>
      </c>
      <c r="E43" s="578" t="s">
        <v>399</v>
      </c>
      <c r="F43" s="579">
        <f>IF(D1="仅计算典型户型",'数据-取费表'!E5,'数据-取费表'!B5)</f>
        <v>123.8</v>
      </c>
      <c r="G43" s="1270"/>
      <c r="H43" s="2153"/>
      <c r="I43" s="2153"/>
      <c r="J43" s="2153"/>
      <c r="K43" s="2150"/>
      <c r="L43" s="2153"/>
      <c r="M43" s="2153"/>
      <c r="O43" s="2390" t="s">
        <v>2340</v>
      </c>
      <c r="P43" s="2391"/>
      <c r="Q43" s="2387"/>
      <c r="R43" s="2391"/>
    </row>
    <row r="44" spans="1:18" s="1268" customFormat="1" ht="18" customHeight="1" thickBot="1">
      <c r="A44" s="1224"/>
      <c r="B44" s="1224"/>
      <c r="C44" s="1267"/>
      <c r="D44" s="1224"/>
      <c r="E44" s="1224"/>
      <c r="F44" s="1224"/>
      <c r="G44" s="1270"/>
      <c r="K44" s="1269"/>
      <c r="O44" s="2392" t="s">
        <v>2341</v>
      </c>
      <c r="P44" s="2393" t="s">
        <v>2342</v>
      </c>
      <c r="Q44" s="2394" t="s">
        <v>2343</v>
      </c>
      <c r="R44" s="2395" t="s">
        <v>2344</v>
      </c>
    </row>
    <row r="45" spans="1:18" s="1268" customFormat="1" ht="18" customHeight="1" thickBot="1">
      <c r="A45" s="1224"/>
      <c r="B45" s="1224"/>
      <c r="C45" s="1267"/>
      <c r="D45" s="1224"/>
      <c r="E45" s="1224"/>
      <c r="F45" s="1224"/>
      <c r="G45" s="1271"/>
      <c r="K45" s="1269"/>
      <c r="O45" s="2396" t="s">
        <v>2345</v>
      </c>
      <c r="P45" s="2405" t="s">
        <v>2371</v>
      </c>
      <c r="Q45" s="2398">
        <f ca="1">C40+J29</f>
        <v>4944348</v>
      </c>
      <c r="R45" s="2399" t="s">
        <v>2346</v>
      </c>
    </row>
    <row r="46" spans="1:18" s="1268" customFormat="1" ht="18" customHeight="1" thickBot="1">
      <c r="A46" s="1224"/>
      <c r="D46" s="1224"/>
      <c r="E46" s="1224"/>
      <c r="F46" s="1224"/>
      <c r="K46" s="1269"/>
      <c r="O46" s="2396" t="s">
        <v>2347</v>
      </c>
      <c r="P46" s="2405" t="s">
        <v>2372</v>
      </c>
      <c r="Q46" s="2398">
        <f ca="1">J61</f>
        <v>12084</v>
      </c>
      <c r="R46" s="2399" t="s">
        <v>2348</v>
      </c>
    </row>
    <row r="47" spans="1:18" s="1268" customFormat="1" ht="21" thickBot="1">
      <c r="A47" s="2273" t="s">
        <v>2229</v>
      </c>
      <c r="B47" s="2270"/>
      <c r="C47" s="2282">
        <f ca="1">IF(C2="元",C69-C40,ROUND((C69-C40)/10000,0))</f>
        <v>-512</v>
      </c>
      <c r="D47" s="2283" t="str">
        <f>C2</f>
        <v>万元</v>
      </c>
      <c r="E47" s="1224"/>
      <c r="F47" s="1224"/>
      <c r="I47" s="2358" t="s">
        <v>2311</v>
      </c>
      <c r="J47" s="2359"/>
      <c r="K47" s="2360"/>
      <c r="L47" s="2386">
        <f ca="1">IF(M48="住宅",0,IF(L49&gt;J52,L61,J61))</f>
        <v>12084</v>
      </c>
      <c r="O47" s="2400" t="s">
        <v>2349</v>
      </c>
      <c r="P47" s="2405" t="s">
        <v>2373</v>
      </c>
      <c r="Q47" s="2398">
        <f ca="1">C29</f>
        <v>456126</v>
      </c>
      <c r="R47" s="2399" t="s">
        <v>2346</v>
      </c>
    </row>
    <row r="48" spans="1:18" s="1268" customFormat="1" ht="15.75" thickBot="1">
      <c r="A48" s="530" t="s">
        <v>824</v>
      </c>
      <c r="B48" s="531" t="s">
        <v>825</v>
      </c>
      <c r="C48" s="531" t="s">
        <v>826</v>
      </c>
      <c r="D48" s="531" t="s">
        <v>827</v>
      </c>
      <c r="E48" s="2276" t="s">
        <v>828</v>
      </c>
      <c r="F48" s="2277"/>
      <c r="H48" s="2351"/>
      <c r="I48" s="2361" t="s">
        <v>2312</v>
      </c>
      <c r="J48" s="2362" t="s">
        <v>2931</v>
      </c>
      <c r="K48" s="2363" t="s">
        <v>2313</v>
      </c>
      <c r="L48" s="2364">
        <f>'数据-取费表'!B11</f>
        <v>50</v>
      </c>
      <c r="M48" s="2387" t="str">
        <f>IF('数据-取费表'!B10="住宅","住宅","非住宅")</f>
        <v>非住宅</v>
      </c>
      <c r="O48" s="2400" t="s">
        <v>2350</v>
      </c>
      <c r="P48" s="2397" t="s">
        <v>2351</v>
      </c>
      <c r="Q48" s="2401">
        <f>J59</f>
        <v>0.4</v>
      </c>
      <c r="R48" s="2399"/>
    </row>
    <row r="49" spans="1:18" s="1268" customFormat="1" ht="15.75" thickBot="1">
      <c r="A49" s="2531" t="s">
        <v>2521</v>
      </c>
      <c r="B49" s="535" t="s">
        <v>829</v>
      </c>
      <c r="C49" s="2532">
        <f ca="1">C50+C54+C56</f>
        <v>0</v>
      </c>
      <c r="D49" s="2533"/>
      <c r="E49" s="318"/>
      <c r="F49" s="199"/>
      <c r="H49" s="2351"/>
      <c r="I49" s="2354" t="s">
        <v>2314</v>
      </c>
      <c r="J49" s="2365" t="s">
        <v>2300</v>
      </c>
      <c r="K49" s="2366" t="s">
        <v>2315</v>
      </c>
      <c r="L49" s="1947">
        <f>'数据-取费表'!B13</f>
        <v>31.5</v>
      </c>
      <c r="O49" s="2400" t="s">
        <v>2352</v>
      </c>
      <c r="P49" s="2397" t="s">
        <v>2353</v>
      </c>
      <c r="Q49" s="2401">
        <f>J53</f>
        <v>0.09</v>
      </c>
      <c r="R49" s="2399"/>
    </row>
    <row r="50" spans="1:18" s="1268" customFormat="1" ht="15.75" thickBot="1">
      <c r="A50" s="563" t="s">
        <v>2523</v>
      </c>
      <c r="B50" s="1814" t="s">
        <v>2522</v>
      </c>
      <c r="C50" s="536">
        <f>ROUND(F50*F52*F51*(1-F53),0)</f>
        <v>0</v>
      </c>
      <c r="D50" s="310" t="s">
        <v>830</v>
      </c>
      <c r="E50" s="2275" t="s">
        <v>2228</v>
      </c>
      <c r="F50" s="2278"/>
      <c r="H50" s="2351"/>
      <c r="I50" s="2354" t="s">
        <v>2316</v>
      </c>
      <c r="J50" s="1947">
        <f>'数据-取费表'!B26</f>
        <v>2000</v>
      </c>
      <c r="K50" s="2367" t="s">
        <v>2317</v>
      </c>
      <c r="L50" s="2368"/>
      <c r="O50" s="2400" t="s">
        <v>2354</v>
      </c>
      <c r="P50" s="2397" t="s">
        <v>2355</v>
      </c>
      <c r="Q50" s="2398">
        <f>J54</f>
        <v>31.5</v>
      </c>
      <c r="R50" s="2399" t="s">
        <v>2356</v>
      </c>
    </row>
    <row r="51" spans="1:18" s="1268" customFormat="1" ht="15.75" thickBot="1">
      <c r="A51" s="539"/>
      <c r="B51" s="540"/>
      <c r="C51" s="541"/>
      <c r="D51" s="542"/>
      <c r="E51" s="557" t="s">
        <v>832</v>
      </c>
      <c r="F51" s="2274">
        <f>F7</f>
        <v>123.8</v>
      </c>
      <c r="H51" s="2351"/>
      <c r="I51" s="2354" t="s">
        <v>2318</v>
      </c>
      <c r="J51" s="2369">
        <f>SUMPRODUCT((I64:I66=J48)*(J63:L63=J49)*(J64:L66))</f>
        <v>60</v>
      </c>
      <c r="K51" s="2367" t="s">
        <v>2319</v>
      </c>
      <c r="L51" s="2368"/>
      <c r="O51" s="2396" t="s">
        <v>2357</v>
      </c>
      <c r="P51" s="2397" t="str">
        <f>IF(C2="元","收益价值(元)","收益价值(万元)")</f>
        <v>收益价值(万元)</v>
      </c>
      <c r="Q51" s="2398">
        <f ca="1">ROUND(IF(C2="元",Q45+Q46,(Q45+Q46)/10000),0)</f>
        <v>496</v>
      </c>
      <c r="R51" s="2399" t="s">
        <v>2358</v>
      </c>
    </row>
    <row r="52" spans="1:18" s="1268" customFormat="1" ht="16.5" thickBot="1">
      <c r="A52" s="539"/>
      <c r="B52" s="540"/>
      <c r="C52" s="541"/>
      <c r="D52" s="542"/>
      <c r="E52" s="537" t="s">
        <v>833</v>
      </c>
      <c r="F52" s="538">
        <f>F8</f>
        <v>365</v>
      </c>
      <c r="H52" s="2351"/>
      <c r="I52" s="2370" t="s">
        <v>2320</v>
      </c>
      <c r="J52" s="2371">
        <f>IF(J50="",J51,J50+J51-YEAR('数据-取费表'!B2))</f>
        <v>43</v>
      </c>
      <c r="K52" s="2372" t="s">
        <v>2321</v>
      </c>
      <c r="L52" s="2373">
        <f ca="1">ROUND(-PV('数据-取费表'!B15,L49,(C40-C13*J35)),0)</f>
        <v>87182549</v>
      </c>
      <c r="O52" s="2390" t="s">
        <v>2359</v>
      </c>
      <c r="P52" s="2391"/>
      <c r="Q52" s="2387"/>
      <c r="R52" s="2391"/>
    </row>
    <row r="53" spans="1:18" s="1268" customFormat="1" ht="15.75" thickBot="1">
      <c r="A53" s="543"/>
      <c r="B53" s="544"/>
      <c r="C53" s="545"/>
      <c r="D53" s="546"/>
      <c r="E53" s="537" t="s">
        <v>834</v>
      </c>
      <c r="F53" s="2385"/>
      <c r="H53" s="2351"/>
      <c r="I53" s="2374" t="s">
        <v>2322</v>
      </c>
      <c r="J53" s="2375">
        <v>0.09</v>
      </c>
      <c r="K53" s="2374" t="s">
        <v>2323</v>
      </c>
      <c r="L53" s="2375"/>
      <c r="O53" s="2392" t="s">
        <v>2341</v>
      </c>
      <c r="P53" s="2393" t="s">
        <v>2342</v>
      </c>
      <c r="Q53" s="2394" t="s">
        <v>2343</v>
      </c>
      <c r="R53" s="2395" t="s">
        <v>2344</v>
      </c>
    </row>
    <row r="54" spans="1:18" s="1268" customFormat="1" ht="29.25" thickBot="1">
      <c r="A54" s="2445" t="s">
        <v>2237</v>
      </c>
      <c r="B54" s="2448" t="s">
        <v>2444</v>
      </c>
      <c r="C54" s="2447">
        <f ca="1">ROUND(IF(F54="押一",F50*F51*F52/12*F11,IF(F54="押二",F50*F51*F52/12*2*F11,IF(F54="押三",F50*F51*F52/12*3*F11,C55*F11))),0)</f>
        <v>0</v>
      </c>
      <c r="D54" s="2446" t="s">
        <v>2447</v>
      </c>
      <c r="E54" s="2441" t="s">
        <v>2448</v>
      </c>
      <c r="F54" s="2449"/>
      <c r="H54" s="2351"/>
      <c r="I54" s="2376" t="s">
        <v>2324</v>
      </c>
      <c r="J54" s="2377">
        <f>IF(M48="住宅",J52,MIN(J52,L49))</f>
        <v>31.5</v>
      </c>
      <c r="K54" s="339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3398"/>
      <c r="O54" s="2396" t="s">
        <v>2345</v>
      </c>
      <c r="P54" s="2405" t="s">
        <v>2371</v>
      </c>
      <c r="Q54" s="2398">
        <f ca="1">C40+J29</f>
        <v>4944348</v>
      </c>
      <c r="R54" s="2399" t="s">
        <v>2346</v>
      </c>
    </row>
    <row r="55" spans="1:18" s="1268" customFormat="1" ht="20.25" thickBot="1">
      <c r="A55" s="2445"/>
      <c r="B55" s="2603" t="s">
        <v>2573</v>
      </c>
      <c r="C55" s="2486"/>
      <c r="D55" s="2602"/>
      <c r="E55" s="2534"/>
      <c r="F55" s="2279"/>
      <c r="H55" s="2351"/>
      <c r="I55" s="2152"/>
      <c r="J55" s="2378"/>
      <c r="K55" s="2378"/>
      <c r="L55" s="2378"/>
      <c r="O55" s="2396" t="s">
        <v>2347</v>
      </c>
      <c r="P55" s="2405" t="s">
        <v>2374</v>
      </c>
      <c r="Q55" s="2398">
        <f>L61</f>
        <v>0</v>
      </c>
      <c r="R55" s="2399" t="s">
        <v>2360</v>
      </c>
    </row>
    <row r="56" spans="1:18" s="1268" customFormat="1" ht="20.25" thickBot="1">
      <c r="A56" s="2492" t="s">
        <v>2512</v>
      </c>
      <c r="B56" s="2493" t="s">
        <v>2450</v>
      </c>
      <c r="C56" s="2494"/>
      <c r="D56" s="2605"/>
      <c r="E56" s="2606"/>
      <c r="F56" s="2607"/>
      <c r="H56" s="2351"/>
      <c r="I56" s="3103" t="s">
        <v>2325</v>
      </c>
      <c r="J56" s="3105">
        <f>ROUND(IF(J48="钢混",J58/J51,1-(1-2%)*(J51-J58)/J51),3)</f>
        <v>0.192</v>
      </c>
      <c r="K56" s="2379" t="s">
        <v>2326</v>
      </c>
      <c r="L56" s="2380"/>
      <c r="O56" s="2400" t="s">
        <v>2349</v>
      </c>
      <c r="P56" s="2397" t="s">
        <v>2375</v>
      </c>
      <c r="Q56" s="2398">
        <f>IF(L56="比较法",L50,IF(L56="基准地价",L51,0))</f>
        <v>0</v>
      </c>
      <c r="R56" s="2399" t="s">
        <v>2346</v>
      </c>
    </row>
    <row r="57" spans="1:18" s="1268" customFormat="1" ht="44.25" thickTop="1" thickBot="1">
      <c r="A57" s="2488">
        <v>2</v>
      </c>
      <c r="B57" s="2489" t="s">
        <v>835</v>
      </c>
      <c r="C57" s="2604">
        <f ca="1">C13</f>
        <v>326890</v>
      </c>
      <c r="D57" s="2271"/>
      <c r="E57" s="2272"/>
      <c r="F57" s="2281"/>
      <c r="H57" s="2351"/>
      <c r="I57" s="2352" t="s">
        <v>2327</v>
      </c>
      <c r="J57" s="2384" t="s">
        <v>2895</v>
      </c>
      <c r="K57" s="2354" t="s">
        <v>2332</v>
      </c>
      <c r="L57" s="1947" t="str">
        <f>IF(L49&lt;J52,"——",L49-J52)</f>
        <v>——</v>
      </c>
      <c r="O57" s="2400" t="s">
        <v>2350</v>
      </c>
      <c r="P57" s="2397" t="s">
        <v>2361</v>
      </c>
      <c r="Q57" s="2401">
        <f>L53</f>
        <v>0</v>
      </c>
      <c r="R57" s="2399"/>
    </row>
    <row r="58" spans="1:18" s="1268" customFormat="1" ht="29.25" thickBot="1">
      <c r="A58" s="2280"/>
      <c r="B58" s="537" t="s">
        <v>886</v>
      </c>
      <c r="C58" s="405">
        <f ca="1">C29</f>
        <v>456126</v>
      </c>
      <c r="D58" s="2271"/>
      <c r="E58" s="2272"/>
      <c r="F58" s="2281"/>
      <c r="H58" s="2351"/>
      <c r="I58" s="2353" t="s">
        <v>2328</v>
      </c>
      <c r="J58" s="2383">
        <f>IF(OR(M48="住宅",J52&lt;L49,J57="是"),"——",J52-L49)</f>
        <v>11.5</v>
      </c>
      <c r="K58" s="2354" t="s">
        <v>2333</v>
      </c>
      <c r="L58" s="1947" t="str">
        <f>IF(L49&lt;J52,"——",IF(L56="比较法",L50,IF(L56="基准地价",L51,L52)))</f>
        <v>——</v>
      </c>
      <c r="O58" s="2400" t="s">
        <v>2352</v>
      </c>
      <c r="P58" s="2397" t="s">
        <v>2362</v>
      </c>
      <c r="Q58" s="2398">
        <f>L59</f>
        <v>0</v>
      </c>
      <c r="R58" s="2399" t="s">
        <v>2363</v>
      </c>
    </row>
    <row r="59" spans="1:18" s="1268" customFormat="1" ht="29.25" thickBot="1">
      <c r="A59" s="550" t="s">
        <v>38</v>
      </c>
      <c r="B59" s="551" t="s">
        <v>842</v>
      </c>
      <c r="C59" s="552">
        <f ca="1">ROUND(C60+C65+C66+C67,0)</f>
        <v>11164</v>
      </c>
      <c r="D59" s="195" t="s">
        <v>843</v>
      </c>
      <c r="E59" s="2269"/>
      <c r="F59" s="199"/>
      <c r="H59" s="2351"/>
      <c r="I59" s="2353" t="s">
        <v>2329</v>
      </c>
      <c r="J59" s="3104">
        <f>IF(J56&lt;0.4,0.4,J56)</f>
        <v>0.4</v>
      </c>
      <c r="K59" s="2372" t="s">
        <v>2334</v>
      </c>
      <c r="L59" s="1947">
        <f>IF(ISERROR(POWER(1+L53,L48-L49)*(POWER(1+L53,L49)-1)/(POWER(1+L53,L48)-1)),0,POWER(1+L53,L48-L49)*(POWER(1+L53,L49)-1)/(POWER(1+L53,L48)-1))</f>
        <v>0</v>
      </c>
      <c r="O59" s="2400" t="s">
        <v>2354</v>
      </c>
      <c r="P59" s="2397" t="s">
        <v>2364</v>
      </c>
      <c r="Q59" s="2398">
        <f>L60</f>
        <v>0</v>
      </c>
      <c r="R59" s="2399" t="s">
        <v>2365</v>
      </c>
    </row>
    <row r="60" spans="1:18" s="1268" customFormat="1" ht="29.25" thickBot="1">
      <c r="A60" s="555" t="s">
        <v>39</v>
      </c>
      <c r="B60" s="537" t="s">
        <v>377</v>
      </c>
      <c r="C60" s="197">
        <f ca="1">ROUND(IF(项目基本情况!B7="自然人",C49*F60,C61+C62+C63),1)</f>
        <v>3831.5</v>
      </c>
      <c r="D60" s="2266" t="s">
        <v>846</v>
      </c>
      <c r="E60" s="2267" t="s">
        <v>887</v>
      </c>
      <c r="F60" s="561" t="str">
        <f>IF(项目基本情况!B7="企业","",IF('数据-取费表'!B10="住宅",5%,IF(F50*F51*F52/12/(1+'数据-取费表'!F30)&gt;20000,12%,7%)))</f>
        <v/>
      </c>
      <c r="I60" s="2353" t="s">
        <v>2330</v>
      </c>
      <c r="J60" s="2383">
        <f ca="1">IF(OR(M48="住宅",J52&lt;L49,J57="是"),"——",ROUND(C29*J59,0))</f>
        <v>182450</v>
      </c>
      <c r="K60" s="2372" t="s">
        <v>2335</v>
      </c>
      <c r="L60" s="1947">
        <f>IF(ISERROR(POWER(1+L53,L48-J52)*(POWER(1+L53,J52)-1)/(POWER(1+L53,L48)-1)),0,POWER(1+L53,L48-J52)*(POWER(1+L53,J52)-1)/(POWER(1+L53,L48)-1))</f>
        <v>0</v>
      </c>
      <c r="O60" s="2396" t="s">
        <v>2357</v>
      </c>
      <c r="P60" s="2397" t="str">
        <f>IF(C2="元","收益价值(元)","收益价值(万元)")</f>
        <v>收益价值(万元)</v>
      </c>
      <c r="Q60" s="2398">
        <f ca="1">ROUND(IF(C2="元",Q54+Q55,(Q54+Q55)/10000),0)</f>
        <v>494</v>
      </c>
      <c r="R60" s="2399" t="s">
        <v>2358</v>
      </c>
    </row>
    <row r="61" spans="1:18" s="1268" customFormat="1" ht="16.5" thickBot="1">
      <c r="A61" s="555" t="s">
        <v>40</v>
      </c>
      <c r="B61" s="537" t="s">
        <v>848</v>
      </c>
      <c r="C61" s="197">
        <f ca="1">IF(项目基本情况!B7="自然人","——",ROUND(C49*F61/(1+'数据-取费表'!F30),0))</f>
        <v>0</v>
      </c>
      <c r="D61" s="2267" t="s">
        <v>849</v>
      </c>
      <c r="E61" s="537" t="s">
        <v>379</v>
      </c>
      <c r="F61" s="570">
        <f t="shared" ref="F61:F67" si="0">F32</f>
        <v>5.6000000000000001E-2</v>
      </c>
      <c r="I61" s="2355" t="s">
        <v>2331</v>
      </c>
      <c r="J61" s="2382">
        <f ca="1">IF(OR(M48="住宅",J52&lt;L49,J57="是"),"0",ROUND(J60/(1+J53)^J54,0))</f>
        <v>12084</v>
      </c>
      <c r="K61" s="2381" t="s">
        <v>2336</v>
      </c>
      <c r="L61" s="2382">
        <f>IF(OR(M48="住宅",L49&lt;J52),0,ROUND(L58*(L59/L60-1),0))</f>
        <v>0</v>
      </c>
      <c r="O61" s="2390" t="s">
        <v>2366</v>
      </c>
      <c r="P61" s="2391"/>
      <c r="Q61" s="2387"/>
      <c r="R61" s="2391"/>
    </row>
    <row r="62" spans="1:18" s="1268" customFormat="1" ht="15.75" thickBot="1">
      <c r="A62" s="555" t="s">
        <v>41</v>
      </c>
      <c r="B62" s="537" t="s">
        <v>851</v>
      </c>
      <c r="C62" s="197">
        <f ca="1">IF(项目基本情况!B7="自然人","——",IF(D62="按租金收入计税",ROUND(C49*F62,1),IF(D62="按房产原值计税",ROUND(C58*F62*0.7,1),'数据-取费表'!B43)))</f>
        <v>3831.5</v>
      </c>
      <c r="D62" s="1091" t="s">
        <v>2221</v>
      </c>
      <c r="E62" s="537" t="s">
        <v>379</v>
      </c>
      <c r="F62" s="560">
        <f t="shared" si="0"/>
        <v>1.2E-2</v>
      </c>
      <c r="O62" s="2392" t="s">
        <v>2341</v>
      </c>
      <c r="P62" s="2393" t="s">
        <v>2342</v>
      </c>
      <c r="Q62" s="2394" t="s">
        <v>2343</v>
      </c>
      <c r="R62" s="2395" t="s">
        <v>2344</v>
      </c>
    </row>
    <row r="63" spans="1:18" s="1268" customFormat="1" ht="15.75" thickBot="1">
      <c r="A63" s="563" t="s">
        <v>42</v>
      </c>
      <c r="B63" s="297" t="s">
        <v>888</v>
      </c>
      <c r="C63" s="198">
        <f>IF(项目基本情况!B7="自然人","——",ROUND(F63*F64,0))</f>
        <v>0</v>
      </c>
      <c r="D63" s="564" t="s">
        <v>889</v>
      </c>
      <c r="E63" s="537" t="s">
        <v>890</v>
      </c>
      <c r="F63" s="565">
        <f t="shared" si="0"/>
        <v>18</v>
      </c>
      <c r="I63" s="2356" t="s">
        <v>2310</v>
      </c>
      <c r="J63" s="2357" t="s">
        <v>2302</v>
      </c>
      <c r="K63" s="2357" t="s">
        <v>2304</v>
      </c>
      <c r="L63" s="2357" t="s">
        <v>2300</v>
      </c>
      <c r="M63" s="3108" t="s">
        <v>2903</v>
      </c>
      <c r="O63" s="2396" t="s">
        <v>2345</v>
      </c>
      <c r="P63" s="2405" t="s">
        <v>2376</v>
      </c>
      <c r="Q63" s="2398">
        <f ca="1">C40+J29</f>
        <v>4944348</v>
      </c>
      <c r="R63" s="2399" t="s">
        <v>2346</v>
      </c>
    </row>
    <row r="64" spans="1:18" s="1268" customFormat="1" ht="20.25" thickBot="1">
      <c r="A64" s="566"/>
      <c r="B64" s="546"/>
      <c r="C64" s="202"/>
      <c r="D64" s="567"/>
      <c r="E64" s="537" t="s">
        <v>859</v>
      </c>
      <c r="F64" s="538">
        <f t="shared" si="0"/>
        <v>0</v>
      </c>
      <c r="I64" s="2356" t="s">
        <v>2337</v>
      </c>
      <c r="J64" s="3109">
        <v>70</v>
      </c>
      <c r="K64" s="3109">
        <v>50</v>
      </c>
      <c r="L64" s="3109">
        <v>80</v>
      </c>
      <c r="M64" s="3106">
        <v>0.02</v>
      </c>
      <c r="O64" s="2396" t="s">
        <v>2347</v>
      </c>
      <c r="P64" s="2405" t="s">
        <v>2374</v>
      </c>
      <c r="Q64" s="2398">
        <f>L61</f>
        <v>0</v>
      </c>
      <c r="R64" s="2399" t="s">
        <v>2360</v>
      </c>
    </row>
    <row r="65" spans="1:18" s="1268" customFormat="1" ht="23.25" thickBot="1">
      <c r="A65" s="555" t="s">
        <v>43</v>
      </c>
      <c r="B65" s="537" t="s">
        <v>861</v>
      </c>
      <c r="C65" s="197">
        <f ca="1">ROUND(C58*F65,0)</f>
        <v>6842</v>
      </c>
      <c r="D65" s="2267" t="s">
        <v>893</v>
      </c>
      <c r="E65" s="537" t="s">
        <v>894</v>
      </c>
      <c r="F65" s="568">
        <f t="shared" si="0"/>
        <v>1.4999999999999999E-2</v>
      </c>
      <c r="I65" s="2356" t="s">
        <v>2338</v>
      </c>
      <c r="J65" s="3109">
        <v>50</v>
      </c>
      <c r="K65" s="3109">
        <v>35</v>
      </c>
      <c r="L65" s="3109">
        <v>60</v>
      </c>
      <c r="M65" s="3107">
        <v>0</v>
      </c>
      <c r="O65" s="2400" t="s">
        <v>2349</v>
      </c>
      <c r="P65" s="2397" t="s">
        <v>2375</v>
      </c>
      <c r="Q65" s="2402">
        <f ca="1">L52</f>
        <v>87182549</v>
      </c>
      <c r="R65" s="2403" t="s">
        <v>2380</v>
      </c>
    </row>
    <row r="66" spans="1:18" s="1268" customFormat="1" ht="20.25" thickBot="1">
      <c r="A66" s="555" t="s">
        <v>44</v>
      </c>
      <c r="B66" s="537" t="s">
        <v>382</v>
      </c>
      <c r="C66" s="197">
        <f ca="1">ROUND(C57*F66,0)</f>
        <v>490</v>
      </c>
      <c r="D66" s="2267" t="s">
        <v>383</v>
      </c>
      <c r="E66" s="537" t="s">
        <v>384</v>
      </c>
      <c r="F66" s="569">
        <f t="shared" si="0"/>
        <v>1.5E-3</v>
      </c>
      <c r="I66" s="2356" t="s">
        <v>2339</v>
      </c>
      <c r="J66" s="3109">
        <v>40</v>
      </c>
      <c r="K66" s="3109">
        <v>30</v>
      </c>
      <c r="L66" s="3109">
        <v>50</v>
      </c>
      <c r="M66" s="3106">
        <v>0.02</v>
      </c>
      <c r="O66" s="2400" t="s">
        <v>2350</v>
      </c>
      <c r="P66" s="2404" t="s">
        <v>2377</v>
      </c>
      <c r="Q66" s="2398">
        <f ca="1">ROUND(Q67-Q68*Q69,0)</f>
        <v>219958</v>
      </c>
      <c r="R66" s="2399"/>
    </row>
    <row r="67" spans="1:18" s="1268" customFormat="1" ht="15.75" thickBot="1">
      <c r="A67" s="555" t="s">
        <v>45</v>
      </c>
      <c r="B67" s="537" t="s">
        <v>381</v>
      </c>
      <c r="C67" s="197">
        <f ca="1">ROUND(C49*F67,0)</f>
        <v>0</v>
      </c>
      <c r="D67" s="2267" t="s">
        <v>385</v>
      </c>
      <c r="E67" s="537" t="s">
        <v>384</v>
      </c>
      <c r="F67" s="547">
        <f t="shared" si="0"/>
        <v>0.02</v>
      </c>
      <c r="O67" s="2400" t="s">
        <v>2367</v>
      </c>
      <c r="P67" s="2406" t="s">
        <v>2378</v>
      </c>
      <c r="Q67" s="2398">
        <f ca="1">C39</f>
        <v>247744</v>
      </c>
      <c r="R67" s="2399" t="s">
        <v>2346</v>
      </c>
    </row>
    <row r="68" spans="1:18" ht="24.75" thickBot="1">
      <c r="A68" s="550" t="s">
        <v>46</v>
      </c>
      <c r="B68" s="306" t="s">
        <v>391</v>
      </c>
      <c r="C68" s="552">
        <f ca="1">C49-C59</f>
        <v>-11164</v>
      </c>
      <c r="D68" s="2266" t="s">
        <v>392</v>
      </c>
      <c r="E68" s="2268"/>
      <c r="F68" s="571"/>
      <c r="H68" s="1268"/>
      <c r="I68" s="1268"/>
      <c r="J68" s="1268"/>
      <c r="K68" s="1268"/>
      <c r="L68" s="1268"/>
      <c r="M68" s="1268"/>
      <c r="O68" s="2400" t="s">
        <v>2368</v>
      </c>
      <c r="P68" s="2406" t="s">
        <v>2379</v>
      </c>
      <c r="Q68" s="2398">
        <f ca="1">C13</f>
        <v>326890</v>
      </c>
      <c r="R68" s="2399" t="s">
        <v>2346</v>
      </c>
    </row>
    <row r="69" spans="1:18" ht="15.75" thickBot="1">
      <c r="A69" s="534" t="s">
        <v>47</v>
      </c>
      <c r="B69" s="535" t="s">
        <v>393</v>
      </c>
      <c r="C69" s="536">
        <f ca="1">ROUND(C68*(1-((1+F71)/(1+F69))^F70)/(F69-F71),0)</f>
        <v>-175264</v>
      </c>
      <c r="D69" s="564" t="s">
        <v>387</v>
      </c>
      <c r="E69" s="537" t="s">
        <v>388</v>
      </c>
      <c r="F69" s="547">
        <f>F40</f>
        <v>0.05</v>
      </c>
      <c r="H69" s="1268"/>
      <c r="I69" s="1268"/>
      <c r="J69" s="1268"/>
      <c r="K69" s="1268"/>
      <c r="L69" s="1268"/>
      <c r="M69" s="1268"/>
      <c r="O69" s="2400" t="s">
        <v>2369</v>
      </c>
      <c r="P69" s="2404" t="s">
        <v>2370</v>
      </c>
      <c r="Q69" s="2401">
        <f>J35</f>
        <v>8.5000000000000006E-2</v>
      </c>
      <c r="R69" s="2399"/>
    </row>
    <row r="70" spans="1:18" ht="15.75" thickBot="1">
      <c r="A70" s="539"/>
      <c r="B70" s="540"/>
      <c r="C70" s="541"/>
      <c r="D70" s="572" t="s">
        <v>394</v>
      </c>
      <c r="E70" s="537" t="s">
        <v>395</v>
      </c>
      <c r="F70" s="573">
        <f>F41</f>
        <v>31.5</v>
      </c>
      <c r="H70" s="1268"/>
      <c r="I70" s="1268"/>
      <c r="J70" s="1268"/>
      <c r="K70" s="1268"/>
      <c r="L70" s="1268"/>
      <c r="M70" s="1268"/>
      <c r="O70" s="2400" t="s">
        <v>2352</v>
      </c>
      <c r="P70" s="2397" t="s">
        <v>2361</v>
      </c>
      <c r="Q70" s="2401">
        <f>L53</f>
        <v>0</v>
      </c>
      <c r="R70" s="2399"/>
    </row>
    <row r="71" spans="1:18" ht="20.25" thickBot="1">
      <c r="A71" s="543"/>
      <c r="B71" s="544"/>
      <c r="C71" s="545"/>
      <c r="D71" s="567"/>
      <c r="E71" s="537" t="s">
        <v>396</v>
      </c>
      <c r="F71" s="2385">
        <v>0</v>
      </c>
      <c r="H71" s="1268"/>
      <c r="M71" s="1268"/>
      <c r="O71" s="2400" t="s">
        <v>2354</v>
      </c>
      <c r="P71" s="2397" t="s">
        <v>2362</v>
      </c>
      <c r="Q71" s="2398">
        <f>L59</f>
        <v>0</v>
      </c>
      <c r="R71" s="2399" t="s">
        <v>2363</v>
      </c>
    </row>
    <row r="72" spans="1:18" ht="20.25" thickBot="1">
      <c r="A72" s="574" t="s">
        <v>48</v>
      </c>
      <c r="B72" s="575" t="s">
        <v>397</v>
      </c>
      <c r="C72" s="576">
        <f ca="1">ROUND(C69/F72,0)</f>
        <v>-1416</v>
      </c>
      <c r="D72" s="577" t="s">
        <v>398</v>
      </c>
      <c r="E72" s="578" t="s">
        <v>399</v>
      </c>
      <c r="F72" s="579">
        <f>F43</f>
        <v>123.8</v>
      </c>
      <c r="O72" s="2400" t="s">
        <v>2381</v>
      </c>
      <c r="P72" s="2397" t="s">
        <v>2364</v>
      </c>
      <c r="Q72" s="2398">
        <f>L60</f>
        <v>0</v>
      </c>
      <c r="R72" s="2399" t="s">
        <v>2365</v>
      </c>
    </row>
    <row r="73" spans="1:18" ht="15.75" thickBot="1">
      <c r="A73" s="1268"/>
      <c r="B73" s="1272"/>
      <c r="C73" s="1272"/>
      <c r="D73" s="1268"/>
      <c r="E73" s="1268"/>
      <c r="F73" s="1268"/>
      <c r="O73" s="2396" t="s">
        <v>2357</v>
      </c>
      <c r="P73" s="2397" t="str">
        <f>IF(C2="元","收益价值(元)","收益价值(万元)")</f>
        <v>收益价值(万元)</v>
      </c>
      <c r="Q73" s="2398">
        <f ca="1">ROUND(IF(C2="元",Q63+Q64,(Q63+Q64)/10000),0)</f>
        <v>494</v>
      </c>
      <c r="R73" s="2399" t="s">
        <v>2358</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25" priority="6">
      <formula>$L$49&gt;$J$52</formula>
    </cfRule>
  </conditionalFormatting>
  <conditionalFormatting sqref="I56">
    <cfRule type="expression" dxfId="124" priority="7">
      <formula>$J$52&gt;$L$49</formula>
    </cfRule>
  </conditionalFormatting>
  <conditionalFormatting sqref="I61">
    <cfRule type="expression" dxfId="123" priority="5">
      <formula>$J$52&gt;$L$49</formula>
    </cfRule>
  </conditionalFormatting>
  <conditionalFormatting sqref="K61">
    <cfRule type="expression" dxfId="122" priority="4">
      <formula>$L$49&gt;$J$52</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5">
    <cfRule type="expression" dxfId="119"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7" sqref="J37"/>
    </sheetView>
  </sheetViews>
  <sheetFormatPr defaultRowHeight="13.5"/>
  <sheetData/>
  <phoneticPr fontId="20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6" zoomScaleNormal="100" zoomScaleSheetLayoutView="100" zoomScalePageLayoutView="80" workbookViewId="0">
      <selection activeCell="F35" sqref="F35"/>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409" t="s">
        <v>2216</v>
      </c>
      <c r="B2" s="3409"/>
      <c r="C2" s="3409"/>
      <c r="D2" s="3409"/>
      <c r="E2" s="3409"/>
      <c r="F2" s="3409"/>
      <c r="G2" s="3409"/>
      <c r="H2" s="3409"/>
      <c r="I2" s="3409"/>
    </row>
    <row r="3" spans="1:12" ht="12">
      <c r="A3" s="3285" t="s">
        <v>8</v>
      </c>
      <c r="B3" s="3286"/>
      <c r="C3" s="3286"/>
      <c r="D3" s="3286"/>
      <c r="E3" s="3286"/>
      <c r="F3" s="3286"/>
      <c r="G3" s="3286"/>
      <c r="H3" s="3286"/>
      <c r="I3" s="3286"/>
    </row>
    <row r="4" spans="1:12" ht="13.5">
      <c r="A4" s="237" t="s">
        <v>9</v>
      </c>
      <c r="B4" s="2039" t="s">
        <v>10</v>
      </c>
      <c r="C4" s="238" t="s">
        <v>2932</v>
      </c>
      <c r="D4" s="238" t="s">
        <v>2933</v>
      </c>
      <c r="E4" s="3288" t="s">
        <v>679</v>
      </c>
      <c r="F4" s="3289"/>
      <c r="G4" s="3289"/>
      <c r="H4" s="3289"/>
      <c r="I4" s="3290"/>
      <c r="K4" s="1226" t="str">
        <f>IF(ISNUMBER(FIND("比较法",'结果表 (1修多)'!C4)),"比较法",IF(ISNUMBER(FIND("成本法",'结果表 (1修多)'!C4)),"成本法",IF(ISNUMBER(FIND("假设开发法",'结果表 (1修多)'!C4)),"假设开发法",IF(ISNUMBER(FIND("收益法",'结果表 (1修多)'!C4)),"收益法","基准地价系数修正法"))))</f>
        <v>收益法</v>
      </c>
      <c r="L4" s="1226"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3254" t="s">
        <v>11</v>
      </c>
      <c r="B5" s="3271">
        <v>25</v>
      </c>
      <c r="C5" s="3266"/>
      <c r="D5" s="3284"/>
      <c r="E5" s="272" t="s">
        <v>722</v>
      </c>
      <c r="F5" s="239"/>
      <c r="G5" s="239"/>
      <c r="H5" s="239"/>
      <c r="I5" s="240"/>
    </row>
    <row r="6" spans="1:12" ht="12.75">
      <c r="A6" s="3254"/>
      <c r="B6" s="3271"/>
      <c r="C6" s="3287"/>
      <c r="D6" s="3284"/>
      <c r="E6" s="272" t="s">
        <v>723</v>
      </c>
      <c r="F6" s="239"/>
      <c r="G6" s="239"/>
      <c r="H6" s="239"/>
      <c r="I6" s="240"/>
    </row>
    <row r="7" spans="1:12" ht="12.75">
      <c r="A7" s="3254"/>
      <c r="B7" s="3271"/>
      <c r="C7" s="3267"/>
      <c r="D7" s="3284"/>
      <c r="E7" s="272" t="s">
        <v>724</v>
      </c>
      <c r="F7" s="239"/>
      <c r="G7" s="239"/>
      <c r="H7" s="239"/>
      <c r="I7" s="240"/>
    </row>
    <row r="8" spans="1:12" ht="12.75">
      <c r="A8" s="3254" t="s">
        <v>12</v>
      </c>
      <c r="B8" s="3271">
        <v>15</v>
      </c>
      <c r="C8" s="3266"/>
      <c r="D8" s="3284"/>
      <c r="E8" s="272" t="s">
        <v>725</v>
      </c>
      <c r="F8" s="239"/>
      <c r="G8" s="239"/>
      <c r="H8" s="239"/>
      <c r="I8" s="240"/>
    </row>
    <row r="9" spans="1:12" ht="12.75">
      <c r="A9" s="3254"/>
      <c r="B9" s="3271"/>
      <c r="C9" s="3267"/>
      <c r="D9" s="3284"/>
      <c r="E9" s="272" t="s">
        <v>726</v>
      </c>
      <c r="F9" s="239"/>
      <c r="G9" s="239"/>
      <c r="H9" s="239"/>
      <c r="I9" s="240"/>
    </row>
    <row r="10" spans="1:12" ht="12.75">
      <c r="A10" s="3254" t="s">
        <v>13</v>
      </c>
      <c r="B10" s="3271">
        <v>15</v>
      </c>
      <c r="C10" s="3266"/>
      <c r="D10" s="3284"/>
      <c r="E10" s="272" t="s">
        <v>727</v>
      </c>
      <c r="F10" s="239"/>
      <c r="G10" s="239"/>
      <c r="H10" s="239"/>
      <c r="I10" s="240"/>
    </row>
    <row r="11" spans="1:12" ht="12.75">
      <c r="A11" s="3254"/>
      <c r="B11" s="3271"/>
      <c r="C11" s="3267"/>
      <c r="D11" s="3284"/>
      <c r="E11" s="272" t="s">
        <v>728</v>
      </c>
      <c r="F11" s="239"/>
      <c r="G11" s="239"/>
      <c r="H11" s="239"/>
      <c r="I11" s="240"/>
    </row>
    <row r="12" spans="1:12" ht="12.75">
      <c r="A12" s="3254" t="s">
        <v>14</v>
      </c>
      <c r="B12" s="3271">
        <v>15</v>
      </c>
      <c r="C12" s="3266"/>
      <c r="D12" s="3284"/>
      <c r="E12" s="272" t="s">
        <v>729</v>
      </c>
      <c r="F12" s="239"/>
      <c r="G12" s="239"/>
      <c r="H12" s="239"/>
      <c r="I12" s="240"/>
    </row>
    <row r="13" spans="1:12" ht="12.75">
      <c r="A13" s="3254"/>
      <c r="B13" s="3271"/>
      <c r="C13" s="3267"/>
      <c r="D13" s="3284"/>
      <c r="E13" s="272" t="s">
        <v>730</v>
      </c>
      <c r="F13" s="239"/>
      <c r="G13" s="239"/>
      <c r="H13" s="239"/>
      <c r="I13" s="240"/>
    </row>
    <row r="14" spans="1:12" ht="12.75">
      <c r="A14" s="3254" t="s">
        <v>15</v>
      </c>
      <c r="B14" s="3271">
        <v>30</v>
      </c>
      <c r="C14" s="3266">
        <v>5</v>
      </c>
      <c r="D14" s="3284">
        <v>5</v>
      </c>
      <c r="E14" s="272" t="s">
        <v>731</v>
      </c>
      <c r="F14" s="239"/>
      <c r="G14" s="239"/>
      <c r="H14" s="239"/>
      <c r="I14" s="240"/>
    </row>
    <row r="15" spans="1:12" ht="12.75">
      <c r="A15" s="3254"/>
      <c r="B15" s="3271"/>
      <c r="C15" s="3287"/>
      <c r="D15" s="3284"/>
      <c r="E15" s="272" t="s">
        <v>732</v>
      </c>
      <c r="F15" s="239"/>
      <c r="G15" s="239"/>
      <c r="H15" s="239"/>
      <c r="I15" s="240"/>
    </row>
    <row r="16" spans="1:12" ht="12.75">
      <c r="A16" s="3254"/>
      <c r="B16" s="3271"/>
      <c r="C16" s="3267"/>
      <c r="D16" s="3284"/>
      <c r="E16" s="272" t="s">
        <v>733</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 (1修多)'!B19,INDIRECT("'"&amp;C4&amp;"'"&amp;"!B:B"))</f>
        <v>496</v>
      </c>
      <c r="D19" s="276">
        <f ca="1">SUMIF(INDIRECT("'"&amp;D4&amp;"'"&amp;"!A:A"),'结果表 (1修多)'!B19,INDIRECT("'"&amp;D4&amp;"'"&amp;"!B:B"))</f>
        <v>536</v>
      </c>
      <c r="E19" s="243" t="s">
        <v>186</v>
      </c>
      <c r="F19" s="244" t="s">
        <v>18</v>
      </c>
      <c r="G19" s="277">
        <f ca="1">ROUND(C19*$C$18+D19*$D$18,0)</f>
        <v>516</v>
      </c>
      <c r="H19" s="2017" t="str">
        <f>'数据-取费表'!B3</f>
        <v>万元</v>
      </c>
      <c r="I19" s="1059"/>
    </row>
    <row r="20" spans="1:35" ht="14.25">
      <c r="A20" s="245"/>
      <c r="B20" s="246" t="s">
        <v>19</v>
      </c>
      <c r="C20" s="278">
        <f ca="1">SUMIF(INDIRECT("'"&amp;C4&amp;"'"&amp;"!A:A"),'结果表 (1修多)'!B20,INDIRECT("'"&amp;C4&amp;"'"&amp;"!B:B"))</f>
        <v>40036</v>
      </c>
      <c r="D20" s="279">
        <f ca="1">SUMIF(INDIRECT("'"&amp;D4&amp;"'"&amp;"!A:A"),'结果表 (1修多)'!B20,INDIRECT("'"&amp;D4&amp;"'"&amp;"!B:B"))</f>
        <v>43320</v>
      </c>
      <c r="E20" s="245"/>
      <c r="F20" s="246" t="s">
        <v>19</v>
      </c>
      <c r="G20" s="280">
        <f ca="1">ROUND(C20*$C$18+D20*$D$18,0)</f>
        <v>41678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8.0645161290322509E-2</v>
      </c>
      <c r="E22" s="1059"/>
      <c r="F22" s="1059"/>
      <c r="G22" s="1059"/>
      <c r="H22" s="1059"/>
      <c r="I22" s="1059"/>
    </row>
    <row r="23" spans="1:35" ht="12.75" thickBot="1">
      <c r="A23" s="1059"/>
      <c r="B23" s="1059"/>
      <c r="C23" s="1059"/>
      <c r="D23" s="1059"/>
      <c r="E23" s="1059"/>
      <c r="F23" s="1059"/>
      <c r="G23" s="1059"/>
      <c r="H23" s="1059"/>
      <c r="I23" s="1059"/>
    </row>
    <row r="24" spans="1:35" ht="21.75" customHeight="1">
      <c r="A24" s="3293" t="s">
        <v>184</v>
      </c>
      <c r="B24" s="244" t="s">
        <v>18</v>
      </c>
      <c r="C24" s="277">
        <f>D30</f>
        <v>0</v>
      </c>
      <c r="D24" s="251"/>
      <c r="E24" s="1059"/>
      <c r="F24" s="1059"/>
      <c r="G24" s="1059"/>
      <c r="H24" s="1059"/>
      <c r="I24" s="1059"/>
    </row>
    <row r="25" spans="1:35" ht="21.75" customHeight="1">
      <c r="A25" s="3294"/>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2765</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00" t="s">
        <v>2218</v>
      </c>
      <c r="B31" s="3400"/>
      <c r="C31" s="3400"/>
      <c r="D31" s="3400"/>
      <c r="E31" s="3400"/>
      <c r="F31" s="3400"/>
      <c r="G31" s="3400"/>
      <c r="H31" s="3400"/>
      <c r="I31" s="3400"/>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2274</v>
      </c>
      <c r="C32" s="2295">
        <f ca="1">典型户型修正!R27</f>
        <v>41678</v>
      </c>
      <c r="D32" s="1059" t="s">
        <v>2275</v>
      </c>
      <c r="E32" s="1059"/>
      <c r="F32" s="1059"/>
      <c r="G32" s="1059"/>
      <c r="H32" s="1059"/>
      <c r="I32" s="1059"/>
    </row>
    <row r="33" spans="1:16" ht="14.25">
      <c r="A33" s="2296" t="s">
        <v>2276</v>
      </c>
      <c r="B33" s="2292" t="s">
        <v>2277</v>
      </c>
      <c r="C33" s="2297" t="e">
        <f ca="1">典型户型修正!B2</f>
        <v>#REF!</v>
      </c>
      <c r="D33" s="2291" t="str">
        <f>IF('数据-取费表'!B3="万元","万元","元")</f>
        <v>万元</v>
      </c>
      <c r="E33" s="1059"/>
      <c r="F33" s="1059"/>
      <c r="G33" s="1059"/>
      <c r="H33" s="1059"/>
      <c r="I33" s="1059"/>
    </row>
    <row r="34" spans="1:16" ht="15" thickBot="1">
      <c r="A34" s="2298"/>
      <c r="B34" s="2299" t="s">
        <v>2278</v>
      </c>
      <c r="C34" s="1211">
        <f ca="1">典型户型修正!B3</f>
        <v>42725</v>
      </c>
      <c r="D34" s="1059" t="s">
        <v>2275</v>
      </c>
      <c r="E34" s="1059"/>
      <c r="F34" s="1059"/>
      <c r="G34" s="1059"/>
      <c r="H34" s="1059"/>
      <c r="I34" s="1059"/>
    </row>
    <row r="35" spans="1:16" ht="15">
      <c r="A35" s="2310"/>
      <c r="B35" s="2311" t="s">
        <v>683</v>
      </c>
      <c r="C35" s="2312">
        <f>IF('数据-取费表'!B3="万元",典型户型修正!V25,典型户型修正!U25)</f>
        <v>0</v>
      </c>
      <c r="D35" s="1059" t="str">
        <f>D33</f>
        <v>万元</v>
      </c>
      <c r="E35" s="1059"/>
      <c r="F35" s="1059"/>
      <c r="G35" s="1059"/>
      <c r="H35" s="1059"/>
      <c r="I35" s="1059"/>
    </row>
    <row r="36" spans="1:16" ht="15.75" thickBot="1">
      <c r="A36" s="262"/>
      <c r="B36" s="2313" t="s">
        <v>685</v>
      </c>
      <c r="C36" s="2314">
        <f>IF('数据-取费表'!B3="万元",典型户型修正!Y25,典型户型修正!X25)</f>
        <v>0</v>
      </c>
      <c r="D36" s="1059" t="str">
        <f>D33</f>
        <v>万元</v>
      </c>
      <c r="E36" s="1059"/>
      <c r="F36" s="1059"/>
      <c r="G36" s="1059"/>
      <c r="H36" s="1059"/>
      <c r="I36" s="1059"/>
    </row>
    <row r="37" spans="1:16" ht="15.75" thickBot="1">
      <c r="A37" s="3268" t="s">
        <v>681</v>
      </c>
      <c r="B37" s="258" t="s">
        <v>682</v>
      </c>
      <c r="C37" s="286"/>
      <c r="D37" s="1890"/>
      <c r="E37" s="1794"/>
      <c r="F37" s="1794"/>
      <c r="G37" s="1059"/>
      <c r="H37" s="1059"/>
      <c r="I37" s="1059"/>
    </row>
    <row r="38" spans="1:16" ht="15.75" thickBot="1">
      <c r="A38" s="3269"/>
      <c r="B38" s="5" t="s">
        <v>684</v>
      </c>
      <c r="C38" s="288"/>
      <c r="D38" s="8"/>
      <c r="E38" s="8"/>
      <c r="F38" s="1794"/>
      <c r="G38" s="8"/>
      <c r="H38" s="8"/>
      <c r="I38" s="8"/>
    </row>
    <row r="39" spans="1:16" ht="15.75" thickBot="1">
      <c r="A39" s="3270"/>
      <c r="B39" s="261" t="s">
        <v>686</v>
      </c>
      <c r="C39" s="1001"/>
      <c r="D39" s="1062" t="s">
        <v>687</v>
      </c>
      <c r="E39" s="8"/>
      <c r="F39" s="1794"/>
      <c r="G39" s="8"/>
      <c r="H39" s="8"/>
      <c r="I39" s="8"/>
    </row>
    <row r="40" spans="1:16" ht="13.5">
      <c r="A40" s="245" t="s">
        <v>688</v>
      </c>
      <c r="B40" s="264" t="s">
        <v>121</v>
      </c>
      <c r="C40" s="265" t="s">
        <v>122</v>
      </c>
      <c r="D40" s="265" t="s">
        <v>691</v>
      </c>
      <c r="E40" s="266" t="s">
        <v>123</v>
      </c>
      <c r="F40" s="1794"/>
      <c r="G40" s="8"/>
      <c r="H40" s="8"/>
      <c r="I40" s="8"/>
    </row>
    <row r="41" spans="1:16" ht="13.5">
      <c r="A41" s="1063" t="s">
        <v>693</v>
      </c>
      <c r="B41" s="291"/>
      <c r="C41" s="292"/>
      <c r="D41" s="292"/>
      <c r="E41" s="293"/>
      <c r="F41" s="1794"/>
      <c r="G41" s="8"/>
      <c r="H41" s="8"/>
      <c r="I41" s="8"/>
    </row>
    <row r="42" spans="1:16" ht="13.5">
      <c r="A42" s="1063" t="s">
        <v>694</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695</v>
      </c>
      <c r="B45" s="1068"/>
      <c r="C45" s="1068"/>
      <c r="D45" s="1069"/>
      <c r="E45" s="1069"/>
      <c r="F45" s="1070"/>
      <c r="G45" s="1070"/>
      <c r="H45" s="1070"/>
      <c r="I45" s="1070"/>
      <c r="J45" s="1227" t="s">
        <v>215</v>
      </c>
      <c r="K45" s="1228"/>
      <c r="L45" s="1228"/>
      <c r="M45" s="1228"/>
      <c r="N45" s="1228"/>
      <c r="O45" s="1228"/>
      <c r="P45" s="1226"/>
    </row>
    <row r="46" spans="1:16" ht="14.25" customHeight="1" thickBot="1">
      <c r="A46" s="3275" t="s">
        <v>714</v>
      </c>
      <c r="B46" s="3276"/>
      <c r="C46" s="3277"/>
      <c r="D46" s="297" t="e">
        <f ca="1">ROUND(I103*F46,0)</f>
        <v>#REF!</v>
      </c>
      <c r="E46" s="298" t="s">
        <v>715</v>
      </c>
      <c r="F46" s="299">
        <v>1</v>
      </c>
      <c r="G46" s="300" t="s">
        <v>716</v>
      </c>
      <c r="H46" s="1059"/>
      <c r="I46" s="1059"/>
      <c r="J46" s="3347" t="s">
        <v>216</v>
      </c>
      <c r="K46" s="3347"/>
      <c r="L46" s="3347"/>
      <c r="M46" s="3347"/>
      <c r="N46" s="3347"/>
      <c r="O46" s="3347"/>
      <c r="P46" s="1226"/>
    </row>
    <row r="47" spans="1:16" ht="14.25" customHeight="1">
      <c r="A47" s="3258" t="s">
        <v>300</v>
      </c>
      <c r="B47" s="3259"/>
      <c r="C47" s="3259"/>
      <c r="D47" s="3259"/>
      <c r="E47" s="3259"/>
      <c r="F47" s="3259"/>
      <c r="G47" s="3260"/>
      <c r="H47" s="1071"/>
      <c r="I47" s="1025"/>
      <c r="J47" s="3030">
        <v>1</v>
      </c>
      <c r="K47" s="3347" t="s">
        <v>217</v>
      </c>
      <c r="L47" s="3347"/>
      <c r="M47" s="3410"/>
      <c r="N47" s="3410"/>
      <c r="O47" s="3410"/>
      <c r="P47" s="1226"/>
    </row>
    <row r="48" spans="1:16" ht="12" customHeight="1">
      <c r="A48" s="302" t="s">
        <v>301</v>
      </c>
      <c r="B48" s="303"/>
      <c r="C48" s="304"/>
      <c r="D48" s="305" t="s">
        <v>302</v>
      </c>
      <c r="E48" s="197" t="s">
        <v>303</v>
      </c>
      <c r="F48" s="306" t="s">
        <v>717</v>
      </c>
      <c r="G48" s="307" t="s">
        <v>718</v>
      </c>
      <c r="H48" s="1071"/>
      <c r="I48" s="1025"/>
      <c r="J48" s="3030">
        <v>2</v>
      </c>
      <c r="K48" s="3347" t="s">
        <v>218</v>
      </c>
      <c r="L48" s="3347"/>
      <c r="M48" s="3349">
        <f>'数据-取费表'!B2</f>
        <v>42992</v>
      </c>
      <c r="N48" s="3349"/>
      <c r="O48" s="3349"/>
      <c r="P48" s="1226"/>
    </row>
    <row r="49" spans="1:16" ht="25.5">
      <c r="A49" s="3272" t="s">
        <v>304</v>
      </c>
      <c r="B49" s="3273"/>
      <c r="C49" s="3273"/>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1049</v>
      </c>
      <c r="I49" s="1071"/>
      <c r="J49" s="3030">
        <v>3</v>
      </c>
      <c r="K49" s="3347" t="s">
        <v>697</v>
      </c>
      <c r="L49" s="3347"/>
      <c r="M49" s="3350" t="e">
        <f ca="1">I103</f>
        <v>#REF!</v>
      </c>
      <c r="N49" s="3350"/>
      <c r="O49" s="3350"/>
      <c r="P49" s="1226"/>
    </row>
    <row r="50" spans="1:16" ht="25.5" customHeight="1">
      <c r="A50" s="309" t="s">
        <v>305</v>
      </c>
      <c r="B50" s="3263" t="s">
        <v>720</v>
      </c>
      <c r="C50" s="3263"/>
      <c r="D50" s="310">
        <v>0</v>
      </c>
      <c r="E50" s="196" t="s">
        <v>306</v>
      </c>
      <c r="F50" s="201" t="s">
        <v>178</v>
      </c>
      <c r="G50" s="3340"/>
      <c r="H50" s="1059"/>
      <c r="I50" s="1072"/>
      <c r="J50" s="3030">
        <v>4</v>
      </c>
      <c r="K50" s="3347" t="str">
        <f>IF(项目基本情况!F5="房地产抵押价值","房地产抵押价值","抵押担保权已注销时的房地产抵押价值")</f>
        <v>抵押担保权已注销时的房地产抵押价值</v>
      </c>
      <c r="L50" s="3347"/>
      <c r="M50" s="3350" t="e">
        <f ca="1">IF(项目基本情况!E8="房地产抵押价值",I111,I113)</f>
        <v>#REF!</v>
      </c>
      <c r="N50" s="3350"/>
      <c r="O50" s="3350"/>
      <c r="P50" s="1226"/>
    </row>
    <row r="51" spans="1:16" ht="25.5" customHeight="1">
      <c r="A51" s="311"/>
      <c r="B51" s="3263" t="s">
        <v>307</v>
      </c>
      <c r="C51" s="3263"/>
      <c r="D51" s="312"/>
      <c r="E51" s="204"/>
      <c r="F51" s="313"/>
      <c r="G51" s="3341"/>
      <c r="H51" s="1059"/>
      <c r="I51" s="1072"/>
      <c r="J51" s="3347" t="s">
        <v>219</v>
      </c>
      <c r="K51" s="3347"/>
      <c r="L51" s="3347"/>
      <c r="M51" s="3347"/>
      <c r="N51" s="3347"/>
      <c r="O51" s="3347"/>
      <c r="P51" s="1226"/>
    </row>
    <row r="52" spans="1:16" ht="12" customHeight="1">
      <c r="A52" s="314"/>
      <c r="B52" s="3263" t="s">
        <v>308</v>
      </c>
      <c r="C52" s="3263"/>
      <c r="D52" s="315"/>
      <c r="E52" s="203"/>
      <c r="F52" s="313"/>
      <c r="G52" s="3342"/>
      <c r="H52" s="1059"/>
      <c r="I52" s="1072"/>
      <c r="J52" s="3028" t="s">
        <v>220</v>
      </c>
      <c r="K52" s="3347" t="s">
        <v>221</v>
      </c>
      <c r="L52" s="3347"/>
      <c r="M52" s="3028" t="s">
        <v>222</v>
      </c>
      <c r="N52" s="3028" t="s">
        <v>223</v>
      </c>
      <c r="O52" s="3028" t="s">
        <v>224</v>
      </c>
      <c r="P52" s="1226"/>
    </row>
    <row r="53" spans="1:16" ht="24" customHeight="1">
      <c r="A53" s="316" t="s">
        <v>309</v>
      </c>
      <c r="B53" s="3263" t="s">
        <v>310</v>
      </c>
      <c r="C53" s="3263"/>
      <c r="D53" s="315" t="e">
        <f ca="1">ROUND(D46*'数据-取费表'!E29/(1+'数据-取费表'!F30),0)</f>
        <v>#REF!</v>
      </c>
      <c r="E53" s="193" t="s">
        <v>311</v>
      </c>
      <c r="F53" s="317">
        <f>'数据-取费表'!E29</f>
        <v>5.6000000000000001E-2</v>
      </c>
      <c r="G53" s="268"/>
      <c r="H53" s="1059"/>
      <c r="I53" s="1072"/>
      <c r="J53" s="3030">
        <v>1</v>
      </c>
      <c r="K53" s="3304" t="s">
        <v>698</v>
      </c>
      <c r="L53" s="3304"/>
      <c r="M53" s="1229" t="e">
        <f ca="1">D49</f>
        <v>#REF!</v>
      </c>
      <c r="N53" s="3029" t="str">
        <f>E49</f>
        <v>销售额×税（费）率</v>
      </c>
      <c r="O53" s="1230">
        <f>F49</f>
        <v>5.6000000000000001E-2</v>
      </c>
      <c r="P53" s="1226"/>
    </row>
    <row r="54" spans="1:16" ht="12" customHeight="1">
      <c r="A54" s="316" t="s">
        <v>312</v>
      </c>
      <c r="B54" s="3264" t="s">
        <v>313</v>
      </c>
      <c r="C54" s="3265"/>
      <c r="D54" s="315" t="e">
        <f ca="1">ROUND(D46*'数据-取费表'!E29/(1+'数据-取费表'!F30),0)</f>
        <v>#REF!</v>
      </c>
      <c r="E54" s="193" t="s">
        <v>311</v>
      </c>
      <c r="F54" s="317">
        <f>'数据-取费表'!E29</f>
        <v>5.6000000000000001E-2</v>
      </c>
      <c r="G54" s="268"/>
      <c r="H54" s="1059"/>
      <c r="I54" s="1072"/>
      <c r="J54" s="3030">
        <v>2</v>
      </c>
      <c r="K54" s="3304" t="s">
        <v>699</v>
      </c>
      <c r="L54" s="3304"/>
      <c r="M54" s="1229" t="e">
        <f t="shared" ref="M54:O55" ca="1" si="1">D56</f>
        <v>#REF!</v>
      </c>
      <c r="N54" s="3029" t="str">
        <f t="shared" si="1"/>
        <v>销售额×税（费）率</v>
      </c>
      <c r="O54" s="1230">
        <f t="shared" si="1"/>
        <v>5.0000000000000001E-4</v>
      </c>
      <c r="P54" s="1226"/>
    </row>
    <row r="55" spans="1:16" ht="12" customHeight="1">
      <c r="A55" s="316" t="s">
        <v>314</v>
      </c>
      <c r="B55" s="3264" t="s">
        <v>315</v>
      </c>
      <c r="C55" s="3265"/>
      <c r="D55" s="315" t="e">
        <f ca="1">C69</f>
        <v>#REF!</v>
      </c>
      <c r="E55" s="203" t="s">
        <v>316</v>
      </c>
      <c r="F55" s="317">
        <f>'数据-取费表'!E29</f>
        <v>5.6000000000000001E-2</v>
      </c>
      <c r="G55" s="268"/>
      <c r="H55" s="1073"/>
      <c r="I55" s="1072"/>
      <c r="J55" s="3030">
        <v>3</v>
      </c>
      <c r="K55" s="3304" t="s">
        <v>700</v>
      </c>
      <c r="L55" s="3304"/>
      <c r="M55" s="1229" t="e">
        <f t="shared" ca="1" si="1"/>
        <v>#REF!</v>
      </c>
      <c r="N55" s="3029" t="str">
        <f t="shared" si="1"/>
        <v>增值额×税（费）率</v>
      </c>
      <c r="O55" s="1231" t="str">
        <f t="shared" si="1"/>
        <v>——</v>
      </c>
      <c r="P55" s="1226"/>
    </row>
    <row r="56" spans="1:16" ht="24" customHeight="1">
      <c r="A56" s="3278" t="s">
        <v>317</v>
      </c>
      <c r="B56" s="3273"/>
      <c r="C56" s="3273"/>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304" t="str">
        <f>IF(H60="非个人房产","——","个人所得税")</f>
        <v>——</v>
      </c>
      <c r="L56" s="3304"/>
      <c r="M56" s="1232" t="str">
        <f>D60</f>
        <v>——</v>
      </c>
      <c r="N56" s="1233" t="str">
        <f>E60</f>
        <v>——</v>
      </c>
      <c r="O56" s="1234" t="str">
        <f>F60</f>
        <v>——</v>
      </c>
      <c r="P56" s="1226"/>
    </row>
    <row r="57" spans="1:16" ht="24.75">
      <c r="A57" s="3278" t="s">
        <v>319</v>
      </c>
      <c r="B57" s="3273"/>
      <c r="C57" s="3273"/>
      <c r="D57" s="318" t="e">
        <f ca="1">IF(H57="个人住宅",D58,D59)</f>
        <v>#REF!</v>
      </c>
      <c r="E57" s="193" t="s">
        <v>320</v>
      </c>
      <c r="F57" s="317" t="str">
        <f>IF(H57="正常",F59,"免征")</f>
        <v>——</v>
      </c>
      <c r="G57" s="1074" t="s">
        <v>175</v>
      </c>
      <c r="H57" s="1219" t="s">
        <v>157</v>
      </c>
      <c r="I57" s="167"/>
      <c r="J57" s="3030" t="str">
        <f>IF(项目基本情况!I6="上海银行",IF(J56="",4,J56+1),"")</f>
        <v/>
      </c>
      <c r="K57" s="3323" t="str">
        <f>IF(项目基本情况!I6="上海银行","其他处置费用","")</f>
        <v/>
      </c>
      <c r="L57" s="3324"/>
      <c r="M57" s="1229" t="str">
        <f>IF(项目基本情况!I6="上海银行",M70,"")</f>
        <v/>
      </c>
      <c r="N57" s="3338" t="str">
        <f>IF(项目基本情况!I6="上海银行","包含处置中涉及的律师、诉讼、拍卖、评估等费用","")</f>
        <v/>
      </c>
      <c r="O57" s="3339"/>
      <c r="P57" s="1226"/>
    </row>
    <row r="58" spans="1:16" ht="12.75">
      <c r="A58" s="316" t="s">
        <v>305</v>
      </c>
      <c r="B58" s="3261" t="s">
        <v>321</v>
      </c>
      <c r="C58" s="3274"/>
      <c r="D58" s="320">
        <v>0</v>
      </c>
      <c r="E58" s="196" t="s">
        <v>306</v>
      </c>
      <c r="F58" s="287"/>
      <c r="G58" s="268"/>
      <c r="H58" s="167"/>
      <c r="I58" s="167"/>
      <c r="J58" s="3353">
        <f>IF(AND(J56="",J57=""),4,IF(项目基本情况!I6="上海银行",J57+1,J56+1))</f>
        <v>4</v>
      </c>
      <c r="K58" s="3304" t="s">
        <v>183</v>
      </c>
      <c r="L58" s="1235" t="s">
        <v>225</v>
      </c>
      <c r="M58" s="1236"/>
      <c r="N58" s="1237">
        <f ca="1">SUMIF(M53:M57,"&lt;9e307")</f>
        <v>0</v>
      </c>
      <c r="O58" s="1238"/>
      <c r="P58" s="3031" t="e">
        <f ca="1">N58/M50</f>
        <v>#REF!</v>
      </c>
    </row>
    <row r="59" spans="1:16" ht="24.75">
      <c r="A59" s="316" t="s">
        <v>309</v>
      </c>
      <c r="B59" s="3261" t="s">
        <v>322</v>
      </c>
      <c r="C59" s="3262"/>
      <c r="D59" s="318" t="e">
        <f ca="1">IF(H59="转让取得",C82,C98)</f>
        <v>#REF!</v>
      </c>
      <c r="E59" s="193" t="s">
        <v>320</v>
      </c>
      <c r="F59" s="197" t="s">
        <v>178</v>
      </c>
      <c r="G59" s="268"/>
      <c r="H59" s="1219" t="s">
        <v>1048</v>
      </c>
      <c r="I59" s="167"/>
      <c r="J59" s="3353"/>
      <c r="K59" s="3304"/>
      <c r="L59" s="1235" t="s">
        <v>226</v>
      </c>
      <c r="M59" s="1239"/>
      <c r="N59" s="1240" t="str">
        <f ca="1">IF(H19="元",NUMBERSTRING(INT(N58),2)&amp;"元整",NUMBERSTRING(INT(N58*10000),2)&amp;"元整")</f>
        <v>零元整</v>
      </c>
      <c r="O59" s="1241"/>
      <c r="P59" s="1226"/>
    </row>
    <row r="60" spans="1:16" ht="24.75" thickBot="1">
      <c r="A60" s="3279" t="s">
        <v>323</v>
      </c>
      <c r="B60" s="3280"/>
      <c r="C60" s="3280"/>
      <c r="D60" s="321" t="str">
        <f>IF(H60="非个人房产","——",IF(H60="个人住宅",0,ROUND(D46*I60,0)))</f>
        <v>——</v>
      </c>
      <c r="E60" s="322" t="str">
        <f>IF(H60="非个人房产","——","销售额×税（费）率")</f>
        <v>——</v>
      </c>
      <c r="F60" s="323" t="str">
        <f>IF(H60="非个人房产","——",IF(H60="个人住宅","免征",I60))</f>
        <v>——</v>
      </c>
      <c r="G60" s="1075" t="s">
        <v>175</v>
      </c>
      <c r="H60" s="1219" t="s">
        <v>1047</v>
      </c>
      <c r="I60" s="324">
        <v>0.01</v>
      </c>
      <c r="J60" s="3302">
        <f>J58+1</f>
        <v>5</v>
      </c>
      <c r="K60" s="3304" t="s">
        <v>179</v>
      </c>
      <c r="L60" s="3029" t="s">
        <v>225</v>
      </c>
      <c r="M60" s="1242"/>
      <c r="N60" s="1243" t="e">
        <f ca="1">M50-N58</f>
        <v>#REF!</v>
      </c>
      <c r="O60" s="1244"/>
      <c r="P60" s="1226"/>
    </row>
    <row r="61" spans="1:16" ht="12" customHeight="1">
      <c r="A61" s="1715"/>
      <c r="B61" s="1059"/>
      <c r="C61" s="1059"/>
      <c r="D61" s="1059"/>
      <c r="E61" s="167"/>
      <c r="F61" s="167"/>
      <c r="G61" s="167"/>
      <c r="H61" s="168"/>
      <c r="I61" s="1059"/>
      <c r="J61" s="3303"/>
      <c r="K61" s="3304"/>
      <c r="L61" s="1235" t="s">
        <v>226</v>
      </c>
      <c r="M61" s="1239"/>
      <c r="N61" s="1240" t="e">
        <f ca="1">IF(H19="元",NUMBERSTRING(INT(N60),2)&amp;"元整",NUMBERSTRING(INT(N60*10000),2)&amp;"元整")</f>
        <v>#REF!</v>
      </c>
      <c r="O61" s="1241"/>
      <c r="P61" s="1226"/>
    </row>
    <row r="62" spans="1:16" ht="13.5" thickBot="1">
      <c r="A62" s="3281" t="s">
        <v>324</v>
      </c>
      <c r="B62" s="3281"/>
      <c r="C62" s="3281"/>
      <c r="D62" s="3281"/>
      <c r="E62" s="3281"/>
      <c r="F62" s="167"/>
      <c r="G62" s="167"/>
      <c r="H62" s="168"/>
      <c r="I62" s="1059"/>
      <c r="J62" s="3030">
        <f>J60+1</f>
        <v>6</v>
      </c>
      <c r="K62" s="3304" t="s">
        <v>227</v>
      </c>
      <c r="L62" s="3304"/>
      <c r="M62" s="1245"/>
      <c r="N62" s="1246" t="e">
        <f ca="1">IF(H19="元",ROUND(N60/项目基本情况!C12,0),ROUND(N60*10000/项目基本情况!C12,0))</f>
        <v>#REF!</v>
      </c>
      <c r="O62" s="1247"/>
      <c r="P62" s="1226"/>
    </row>
    <row r="63" spans="1:16" ht="12.75">
      <c r="A63" s="3291" t="s">
        <v>325</v>
      </c>
      <c r="B63" s="3292"/>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325" t="s">
        <v>2849</v>
      </c>
      <c r="K64" s="3035" t="s">
        <v>2850</v>
      </c>
      <c r="L64" s="3036" t="e">
        <f ca="1">IF(M50&gt;10000,M50*0.5%,IF(AND(M50&gt;1000,M50&lt;=10000),M50*1%,IF(AND(M50&gt;100,M50&lt;=1000),M50*3%,IF(AND(M50&gt;10,M50&lt;=100),M50*5%,M50*8%))))</f>
        <v>#REF!</v>
      </c>
      <c r="M64" s="197" t="e">
        <f ca="1">ROUND(L64,1)</f>
        <v>#REF!</v>
      </c>
      <c r="N64" s="1226"/>
      <c r="O64" s="1226"/>
      <c r="P64" s="1226"/>
    </row>
    <row r="65" spans="1:35" ht="12.75">
      <c r="A65" s="331" t="s">
        <v>228</v>
      </c>
      <c r="B65" s="332" t="s">
        <v>327</v>
      </c>
      <c r="C65" s="333" t="e">
        <f ca="1">D46</f>
        <v>#REF!</v>
      </c>
      <c r="D65" s="334" t="s">
        <v>169</v>
      </c>
      <c r="E65" s="335"/>
      <c r="F65" s="167"/>
      <c r="G65" s="167"/>
      <c r="H65" s="168"/>
      <c r="I65" s="1059"/>
      <c r="J65" s="3325"/>
      <c r="K65" s="3035" t="s">
        <v>2851</v>
      </c>
      <c r="L65" s="3036" t="e">
        <f ca="1">IF(M50&gt;2000,M50*0.5%,IF(AND(M50&gt;1000,M50&lt;=2000),M50*0.6%,IF(AND(M50&gt;500,M50&lt;=1000),M50*0.7%,IF(AND(M50&gt;200,M50&lt;=500),M50*0.8%,IF(AND(M50&gt;100,M50&lt;=200),M50*0.9%,IF(AND(M50&gt;50,M50&lt;=100),M50*1%,IF(AND(M50&gt;20,M50&lt;=50),M50*1.5%,IF(AND(M50&gt;10,M50&lt;=20),M50*2%,IF(AND(M50&gt;1,M50&lt;=10),M50*2.5%)))))))))</f>
        <v>#REF!</v>
      </c>
      <c r="M65" s="197" t="e">
        <f t="shared" ref="M65:M66" ca="1" si="2">ROUND(L65,1)</f>
        <v>#REF!</v>
      </c>
      <c r="N65" s="3037" t="s">
        <v>2852</v>
      </c>
      <c r="O65" s="1226"/>
      <c r="P65" s="1226"/>
    </row>
    <row r="66" spans="1:35" ht="12.75">
      <c r="A66" s="331" t="s">
        <v>229</v>
      </c>
      <c r="B66" s="332" t="s">
        <v>328</v>
      </c>
      <c r="C66" s="336"/>
      <c r="D66" s="334"/>
      <c r="E66" s="335"/>
      <c r="F66" s="167"/>
      <c r="G66" s="167"/>
      <c r="H66" s="168"/>
      <c r="I66" s="1059"/>
      <c r="J66" s="3325"/>
      <c r="K66" s="3035" t="s">
        <v>2853</v>
      </c>
      <c r="L66" s="3036" t="e">
        <f ca="1">IF(M50&gt;1000,M50*0.1%,IF(AND(M50&gt;500,M50&lt;=1000),M50*0.5%,IF(AND(M50&gt;50,M50&lt;=500),M50*1%,IF(AND(M50&gt;1,M50&lt;=50),M50*1.5%))))</f>
        <v>#REF!</v>
      </c>
      <c r="M66" s="197" t="e">
        <f t="shared" ca="1" si="2"/>
        <v>#REF!</v>
      </c>
      <c r="N66" s="3037" t="s">
        <v>2859</v>
      </c>
      <c r="O66" s="1226"/>
      <c r="P66" s="1226"/>
    </row>
    <row r="67" spans="1:35" ht="12.75">
      <c r="A67" s="337" t="s">
        <v>177</v>
      </c>
      <c r="B67" s="338" t="s">
        <v>329</v>
      </c>
      <c r="C67" s="339"/>
      <c r="D67" s="340" t="s">
        <v>169</v>
      </c>
      <c r="E67" s="3063" t="s">
        <v>2893</v>
      </c>
      <c r="F67" s="167"/>
      <c r="G67" s="167"/>
      <c r="H67" s="168"/>
      <c r="I67" s="1059"/>
      <c r="J67" s="3325"/>
      <c r="K67" s="3035" t="s">
        <v>2854</v>
      </c>
      <c r="L67" s="3036" t="e">
        <f ca="1">M50*0.5%</f>
        <v>#REF!</v>
      </c>
      <c r="M67" s="197" t="e">
        <f ca="1">IF(L67&gt;0.5,0.5,ROUND(L67,0))</f>
        <v>#REF!</v>
      </c>
      <c r="N67" s="3037" t="s">
        <v>2860</v>
      </c>
      <c r="O67" s="1226"/>
      <c r="P67" s="1226"/>
    </row>
    <row r="68" spans="1:35" ht="12.75">
      <c r="A68" s="337" t="s">
        <v>170</v>
      </c>
      <c r="B68" s="338" t="s">
        <v>330</v>
      </c>
      <c r="C68" s="341" t="e">
        <f ca="1">C64-C67</f>
        <v>#REF!</v>
      </c>
      <c r="D68" s="334" t="s">
        <v>169</v>
      </c>
      <c r="E68" s="335"/>
      <c r="F68" s="167"/>
      <c r="G68" s="167"/>
      <c r="H68" s="168"/>
      <c r="I68" s="1059"/>
      <c r="J68" s="3325"/>
      <c r="K68" s="3035" t="s">
        <v>2856</v>
      </c>
      <c r="L68" s="3036" t="e">
        <f ca="1">IF(M50&gt;=10000,(8.25+(M50-10000)*0.01%),IF(AND(M50&gt;=8000,M50&lt;10000),(7.85+(M50-8000)*0.02%),IF(AND(M50&gt;=5000,M50&lt;8000),(6.65+(M50-5000)*0.04%),IF(AND(M50&gt;=2000,M50&lt;5000),(4.25+(PM50-2000)*0.08%),IF(AND(M50&gt;=1000,M50&lt;2000),(2.75+(M50-1000)*0.15%),IF(AND(M50&gt;=100,M50&lt;1000),(0.5+(M50-100)*0.25%),IF(AND(M50&gt;0,M50&lt;100),M50*0.5%)))))))</f>
        <v>#REF!</v>
      </c>
      <c r="M68" s="197" t="e">
        <f ca="1">ROUND(L68*0.9,1)</f>
        <v>#REF!</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325"/>
      <c r="K69" s="3035" t="s">
        <v>2857</v>
      </c>
      <c r="L69" s="3036" t="e">
        <f ca="1">IF(M50&gt;10000,M50*0.5%,IF(AND(M50&gt;5000,M50&lt;=10000),M50*1%,IF(AND(M50&gt;1000,M50&lt;=5000),M50*2%,IF(AND(M50&gt;200,M50&lt;=1000),M50*3%,M50*5%))))</f>
        <v>#REF!</v>
      </c>
      <c r="M69" s="197" t="e">
        <f ca="1">ROUND(L69,1)</f>
        <v>#REF!</v>
      </c>
      <c r="N69" s="1226"/>
      <c r="O69" s="1226"/>
      <c r="P69" s="1226"/>
    </row>
    <row r="70" spans="1:35" s="1061" customFormat="1" ht="7.5" customHeight="1">
      <c r="A70" s="1076"/>
      <c r="B70" s="1077"/>
      <c r="C70" s="1078"/>
      <c r="D70" s="1079"/>
      <c r="E70" s="1756"/>
      <c r="F70" s="167"/>
      <c r="G70" s="167"/>
      <c r="H70" s="168"/>
      <c r="I70" s="1059"/>
      <c r="J70" s="3325"/>
      <c r="K70" s="3035" t="s">
        <v>194</v>
      </c>
      <c r="L70" s="3038"/>
      <c r="M70" s="197" t="e">
        <f ca="1">ROUND(SUM(M64:M69),0)</f>
        <v>#REF!</v>
      </c>
      <c r="N70" s="3031" t="e">
        <f ca="1">M70/M50</f>
        <v>#REF!</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95" t="s">
        <v>332</v>
      </c>
      <c r="B71" s="3296"/>
      <c r="C71" s="3296"/>
      <c r="D71" s="3296"/>
      <c r="E71" s="3296"/>
      <c r="F71" s="3296"/>
      <c r="G71" s="3296"/>
      <c r="H71" s="3296"/>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291" t="s">
        <v>325</v>
      </c>
      <c r="B72" s="3292"/>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1046</v>
      </c>
      <c r="G76" s="355" t="s">
        <v>711</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64" t="s">
        <v>341</v>
      </c>
      <c r="F77" s="3263"/>
      <c r="G77" s="3263"/>
      <c r="H77" s="3283"/>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712</v>
      </c>
      <c r="F78" s="360"/>
      <c r="G78" s="1216" t="s">
        <v>2422</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55" t="s">
        <v>2423</v>
      </c>
      <c r="F79" s="3256"/>
      <c r="G79" s="3256"/>
      <c r="H79" s="3257"/>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295" t="s">
        <v>347</v>
      </c>
      <c r="B84" s="3296"/>
      <c r="C84" s="3296"/>
      <c r="D84" s="3296"/>
      <c r="E84" s="3296"/>
      <c r="F84" s="3296"/>
      <c r="G84" s="3296"/>
      <c r="H84" s="3296"/>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291" t="s">
        <v>325</v>
      </c>
      <c r="B85" s="3292"/>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27" t="s">
        <v>713</v>
      </c>
      <c r="F92" s="3256"/>
      <c r="G92" s="3256"/>
      <c r="H92" s="1218" t="s">
        <v>2202</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27" t="s">
        <v>356</v>
      </c>
      <c r="F93" s="3256"/>
      <c r="G93" s="3256"/>
      <c r="H93" s="325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55" t="s">
        <v>2423</v>
      </c>
      <c r="F94" s="3256"/>
      <c r="G94" s="3256"/>
      <c r="H94" s="325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27" t="s">
        <v>358</v>
      </c>
      <c r="F95" s="3256"/>
      <c r="G95" s="3256"/>
      <c r="H95" s="3257"/>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20" t="s">
        <v>241</v>
      </c>
      <c r="B100" s="3321"/>
      <c r="C100" s="3321"/>
      <c r="D100" s="3322"/>
      <c r="E100" s="1059"/>
      <c r="F100" s="3332" t="s">
        <v>2764</v>
      </c>
      <c r="G100" s="3333"/>
      <c r="H100" s="3333"/>
      <c r="I100" s="3334"/>
    </row>
    <row r="101" spans="1:35" ht="14.25">
      <c r="A101" s="3335" t="s">
        <v>212</v>
      </c>
      <c r="B101" s="3336"/>
      <c r="C101" s="1084" t="str">
        <f>C4</f>
        <v>收益法</v>
      </c>
      <c r="D101" s="1085" t="str">
        <f>D4</f>
        <v>比较法-办公</v>
      </c>
      <c r="E101" s="1059"/>
      <c r="F101" s="3220" t="s">
        <v>1860</v>
      </c>
      <c r="G101" s="3221"/>
      <c r="H101" s="3405" t="s">
        <v>1967</v>
      </c>
      <c r="I101" s="3337"/>
    </row>
    <row r="102" spans="1:35" ht="15.75">
      <c r="A102" s="3406" t="s">
        <v>2219</v>
      </c>
      <c r="B102" s="1678" t="str">
        <f>IF(H19="元","总价（元）","总价（万元）")</f>
        <v>总价（万元）</v>
      </c>
      <c r="C102" s="1051">
        <f ca="1">C19</f>
        <v>496</v>
      </c>
      <c r="D102" s="1052">
        <f ca="1">D19</f>
        <v>536</v>
      </c>
      <c r="E102" s="1059"/>
      <c r="F102" s="3407"/>
      <c r="G102" s="3408"/>
      <c r="H102" s="3218">
        <f>典型户型修正!B25</f>
        <v>900.64</v>
      </c>
      <c r="I102" s="3219"/>
    </row>
    <row r="103" spans="1:35" ht="15.75">
      <c r="A103" s="3406"/>
      <c r="B103" s="1678" t="s">
        <v>1858</v>
      </c>
      <c r="C103" s="1053">
        <f ca="1">C20</f>
        <v>40036</v>
      </c>
      <c r="D103" s="1054">
        <f ca="1">D20</f>
        <v>43320</v>
      </c>
      <c r="E103" s="1059"/>
      <c r="F103" s="3247" t="s">
        <v>1866</v>
      </c>
      <c r="G103" s="3248"/>
      <c r="H103" s="1880" t="str">
        <f>C109</f>
        <v>总价（万元）</v>
      </c>
      <c r="I103" s="3069" t="e">
        <f ca="1">H124</f>
        <v>#REF!</v>
      </c>
    </row>
    <row r="104" spans="1:35" ht="15">
      <c r="A104" s="3406" t="s">
        <v>2220</v>
      </c>
      <c r="B104" s="1679" t="str">
        <f>B102</f>
        <v>总价（万元）</v>
      </c>
      <c r="C104" s="2046">
        <f ca="1">ROUND(IF('数据-取费表'!B4="总价",G19,IF(H19="元",G20*'数据-取费表'!E5,G20*'数据-取费表'!E5/10000)),0)</f>
        <v>516</v>
      </c>
      <c r="D104" s="1056"/>
      <c r="E104" s="1059"/>
      <c r="F104" s="3247"/>
      <c r="G104" s="3248"/>
      <c r="H104" s="1880" t="s">
        <v>1858</v>
      </c>
      <c r="I104" s="1766">
        <f ca="1">I124</f>
        <v>42725</v>
      </c>
    </row>
    <row r="105" spans="1:35" ht="15">
      <c r="A105" s="3406"/>
      <c r="B105" s="1678" t="s">
        <v>1858</v>
      </c>
      <c r="C105" s="2049">
        <f ca="1">ROUND(IF('数据-取费表'!B4="楼面单价",G20,IF(H19="元",G19/'数据-取费表'!E5,G19*10000/'数据-取费表'!E5)),0)</f>
        <v>41680</v>
      </c>
      <c r="D105" s="1056"/>
      <c r="E105" s="1059"/>
      <c r="F105" s="3330"/>
      <c r="G105" s="3331"/>
      <c r="H105" s="3314"/>
      <c r="I105" s="3315"/>
    </row>
    <row r="106" spans="1:35" ht="15.75">
      <c r="A106" s="3399" t="s">
        <v>2217</v>
      </c>
      <c r="B106" s="2044" t="str">
        <f>B102</f>
        <v>总价（万元）</v>
      </c>
      <c r="C106" s="1055" t="e">
        <f ca="1">H124</f>
        <v>#REF!</v>
      </c>
      <c r="D106" s="2045"/>
      <c r="E106" s="1059"/>
      <c r="F106" s="3318" t="s">
        <v>1962</v>
      </c>
      <c r="G106" s="3319"/>
      <c r="H106" s="1881" t="str">
        <f>C111</f>
        <v>总额（万元）</v>
      </c>
      <c r="I106" s="3069">
        <f>SUMIF(I107:I109,"&lt;9E307")</f>
        <v>0</v>
      </c>
    </row>
    <row r="107" spans="1:35" ht="15.75" thickBot="1">
      <c r="A107" s="3313"/>
      <c r="B107" s="1680" t="s">
        <v>1858</v>
      </c>
      <c r="C107" s="1057">
        <f ca="1">I124</f>
        <v>42725</v>
      </c>
      <c r="D107" s="1058"/>
      <c r="E107" s="1059"/>
      <c r="F107" s="3236" t="s">
        <v>1863</v>
      </c>
      <c r="G107" s="3237"/>
      <c r="H107" s="1881" t="str">
        <f>C112</f>
        <v>总额（万元）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02" t="s">
        <v>2763</v>
      </c>
      <c r="B108" s="3403"/>
      <c r="C108" s="3403"/>
      <c r="D108" s="3404"/>
      <c r="E108" s="1059"/>
      <c r="F108" s="3236" t="s">
        <v>1864</v>
      </c>
      <c r="G108" s="3237"/>
      <c r="H108" s="1881" t="str">
        <f>C113</f>
        <v>总额（万元）</v>
      </c>
      <c r="I108" s="1766">
        <f>C38</f>
        <v>0</v>
      </c>
      <c r="K108" s="2125"/>
    </row>
    <row r="109" spans="1:35" ht="15">
      <c r="A109" s="3234" t="s">
        <v>1867</v>
      </c>
      <c r="B109" s="3235"/>
      <c r="C109" s="1880" t="str">
        <f>B102</f>
        <v>总价（万元）</v>
      </c>
      <c r="D109" s="1767" t="e">
        <f ca="1">H124</f>
        <v>#REF!</v>
      </c>
      <c r="E109" s="1059"/>
      <c r="F109" s="3236" t="s">
        <v>1865</v>
      </c>
      <c r="G109" s="3237"/>
      <c r="H109" s="1881" t="str">
        <f>C114</f>
        <v>总额（万元）</v>
      </c>
      <c r="I109" s="1766">
        <f>C39</f>
        <v>0</v>
      </c>
    </row>
    <row r="110" spans="1:35" ht="14.25">
      <c r="A110" s="3234"/>
      <c r="B110" s="3235"/>
      <c r="C110" s="1880" t="s">
        <v>1858</v>
      </c>
      <c r="D110" s="1768">
        <f ca="1">I124</f>
        <v>42725</v>
      </c>
      <c r="E110" s="1059"/>
      <c r="F110" s="3330"/>
      <c r="G110" s="3331"/>
      <c r="H110" s="3316"/>
      <c r="I110" s="3317"/>
    </row>
    <row r="111" spans="1:35" ht="28.5" customHeight="1">
      <c r="A111" s="3241" t="s">
        <v>1962</v>
      </c>
      <c r="B111" s="3242"/>
      <c r="C111" s="1881" t="str">
        <f>IF(H19="元","总额（元）","总额（万元）")</f>
        <v>总额（万元）</v>
      </c>
      <c r="D111" s="1767">
        <f>IF(D37="正常操作",I107+I108+I109,I108+I109)</f>
        <v>0</v>
      </c>
      <c r="E111" s="1059"/>
      <c r="F111" s="3222" t="str">
        <f>IF(项目基本情况!F5="已注销","——","3.房地产抵押价值")</f>
        <v>——</v>
      </c>
      <c r="G111" s="3223"/>
      <c r="H111" s="3080" t="str">
        <f>C115</f>
        <v>总价（万元）</v>
      </c>
      <c r="I111" s="3069" t="str">
        <f>IF(F111="——","——",I103-I106)</f>
        <v>——</v>
      </c>
    </row>
    <row r="112" spans="1:35" ht="14.25">
      <c r="A112" s="3236" t="s">
        <v>1863</v>
      </c>
      <c r="B112" s="3237"/>
      <c r="C112" s="1881" t="str">
        <f>C111</f>
        <v>总额（万元）</v>
      </c>
      <c r="D112" s="855">
        <f>IF(D37="同一抵押权人同一抵押物续贷",C37&amp;"（未扣减，详见特别提示）",C37)</f>
        <v>0</v>
      </c>
      <c r="E112" s="1059"/>
      <c r="F112" s="3351"/>
      <c r="G112" s="3352"/>
      <c r="H112" s="1880" t="s">
        <v>1858</v>
      </c>
      <c r="I112" s="3077" t="e">
        <f ca="1">D116</f>
        <v>#REF!</v>
      </c>
    </row>
    <row r="113" spans="1:26" ht="15.75">
      <c r="A113" s="3236" t="s">
        <v>1864</v>
      </c>
      <c r="B113" s="3237"/>
      <c r="C113" s="1881" t="str">
        <f>C111</f>
        <v>总额（万元）</v>
      </c>
      <c r="D113" s="855">
        <f>C38</f>
        <v>0</v>
      </c>
      <c r="E113" s="1059"/>
      <c r="F113" s="3222" t="str">
        <f>IF(项目基本情况!F5="已注销及未注销","4.抵押担保权已注销时的房地产抵押价值",IF(项目基本情况!F5="已注销","3.抵押担保权已注销时的房地产抵押价值","——"))</f>
        <v>3.抵押担保权已注销时的房地产抵押价值</v>
      </c>
      <c r="G113" s="3223"/>
      <c r="H113" s="3080" t="str">
        <f>C117</f>
        <v>总价（万元）</v>
      </c>
      <c r="I113" s="3069" t="e">
        <f ca="1">IF(F113="——","——",I103-I108-I109)</f>
        <v>#REF!</v>
      </c>
    </row>
    <row r="114" spans="1:26" ht="14.25">
      <c r="A114" s="3236" t="s">
        <v>1865</v>
      </c>
      <c r="B114" s="3237"/>
      <c r="C114" s="1881" t="str">
        <f>C111</f>
        <v>总额（万元）</v>
      </c>
      <c r="D114" s="855">
        <f>C39</f>
        <v>0</v>
      </c>
      <c r="E114" s="1059"/>
      <c r="F114" s="3351"/>
      <c r="G114" s="3352"/>
      <c r="H114" s="1880" t="s">
        <v>1858</v>
      </c>
      <c r="I114" s="3070" t="e">
        <f ca="1">D118</f>
        <v>#REF!</v>
      </c>
    </row>
    <row r="115" spans="1:26" ht="15.75">
      <c r="A115" s="3234" t="str">
        <f>IF(项目基本情况!F5="已注销","——","3.房地产抵押价值")</f>
        <v>——</v>
      </c>
      <c r="B115" s="3235"/>
      <c r="C115" s="1880" t="str">
        <f>B102</f>
        <v>总价（万元）</v>
      </c>
      <c r="D115" s="1767" t="str">
        <f>IF(A115="——","——",D109-D111)</f>
        <v>——</v>
      </c>
      <c r="E115" s="1059"/>
      <c r="F115" s="3222" t="str">
        <f>IF(项目基本情况!G5="抵押净值",IF(OR(项目基本情况!F5="已注销",项目基本情况!F5="房地产抵押价值"),"4.抵押净值","5.抵押净值"),"——")</f>
        <v>——</v>
      </c>
      <c r="G115" s="3223"/>
      <c r="H115" s="1880" t="str">
        <f>C119</f>
        <v>总价（万元）</v>
      </c>
      <c r="I115" s="3069" t="str">
        <f>IF(F115="——","——",N60)</f>
        <v>——</v>
      </c>
    </row>
    <row r="116" spans="1:26" ht="15.75" thickBot="1">
      <c r="A116" s="3234"/>
      <c r="B116" s="3235"/>
      <c r="C116" s="1880" t="s">
        <v>1858</v>
      </c>
      <c r="D116" s="1768" t="e">
        <f ca="1">ROUND(IF(D115=D109,D110,IF(H19="元",D115/B124,D115*10000/B124)),0)</f>
        <v>#REF!</v>
      </c>
      <c r="E116" s="1059"/>
      <c r="F116" s="3224"/>
      <c r="G116" s="3225"/>
      <c r="H116" s="1882" t="s">
        <v>1858</v>
      </c>
      <c r="I116" s="3079" t="e">
        <f ca="1">D120</f>
        <v>#REF!</v>
      </c>
    </row>
    <row r="117" spans="1:26" ht="15">
      <c r="A117" s="3234" t="str">
        <f>IF(项目基本情况!F5="已注销及未注销","4.抵押担保权已注销时的房地产抵押价值",IF(项目基本情况!F5="已注销","3.抵押担保权已注销时的房地产抵押价值","——"))</f>
        <v>3.抵押担保权已注销时的房地产抵押价值</v>
      </c>
      <c r="B117" s="3235"/>
      <c r="C117" s="1880" t="str">
        <f>B102</f>
        <v>总价（万元）</v>
      </c>
      <c r="D117" s="1767" t="e">
        <f ca="1">IF(A117="——","——",D109-D113-D114)</f>
        <v>#REF!</v>
      </c>
      <c r="E117" s="1059"/>
      <c r="F117" s="3346"/>
      <c r="G117" s="3346"/>
      <c r="H117" s="3299"/>
      <c r="I117" s="3299"/>
      <c r="N117" s="1891"/>
      <c r="O117" s="1891"/>
    </row>
    <row r="118" spans="1:26" s="1226" customFormat="1" ht="14.25">
      <c r="A118" s="3234"/>
      <c r="B118" s="3235"/>
      <c r="C118" s="1880" t="s">
        <v>1858</v>
      </c>
      <c r="D118" s="1768" t="e">
        <f ca="1">IF(A117="——","——",IF(H19="元",ROUND(D117/B124,0),ROUND(D117*10000/B124,0)))</f>
        <v>#REF!</v>
      </c>
      <c r="E118" s="1059"/>
      <c r="F118" s="3401" t="str">
        <f>IF(B32="总价","（以上估价结果中楼面单价为总价除以建筑面积得出）","（以上估价结果中总价为楼面单价乘以建筑面积得出）")</f>
        <v>（以上估价结果中总价为楼面单价乘以建筑面积得出）</v>
      </c>
      <c r="G118" s="3401"/>
      <c r="H118" s="3401"/>
      <c r="I118" s="3401"/>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234" t="str">
        <f>IF(项目基本情况!G5="抵押净值",IF(OR(项目基本情况!F5="已注销",项目基本情况!F5="房地产抵押价值"),"4.抵押净值","5.抵押净值"),"——")</f>
        <v>——</v>
      </c>
      <c r="B119" s="3235"/>
      <c r="C119" s="1880" t="str">
        <f>B102</f>
        <v>总价（万元）</v>
      </c>
      <c r="D119" s="1767" t="str">
        <f>IF(A119="——","——",N60)</f>
        <v>——</v>
      </c>
      <c r="E119" s="1059"/>
      <c r="F119" s="2043"/>
      <c r="G119" s="2043"/>
      <c r="H119" s="2043"/>
      <c r="I119" s="2043"/>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239"/>
      <c r="B120" s="3240"/>
      <c r="C120" s="1882" t="s">
        <v>1858</v>
      </c>
      <c r="D120" s="1769" t="e">
        <f ca="1">IF(D119=D109,D110,IF(A119="——","——",N62))</f>
        <v>#REF!</v>
      </c>
      <c r="E120" s="1059"/>
      <c r="F120" s="2043"/>
      <c r="G120" s="2043"/>
      <c r="H120" s="2043"/>
      <c r="I120" s="2043"/>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300" t="s">
        <v>2894</v>
      </c>
      <c r="B121" s="3301"/>
      <c r="C121" s="3301"/>
      <c r="D121" s="3301"/>
      <c r="E121" s="3301"/>
      <c r="F121" s="3301"/>
      <c r="G121" s="3301"/>
      <c r="H121" s="3301"/>
      <c r="I121" s="3301"/>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15" t="s">
        <v>3</v>
      </c>
      <c r="B122" s="3245" t="s">
        <v>1887</v>
      </c>
      <c r="C122" s="3245" t="s">
        <v>703</v>
      </c>
      <c r="D122" s="3328" t="s">
        <v>211</v>
      </c>
      <c r="E122" s="3329"/>
      <c r="F122" s="3216" t="s">
        <v>685</v>
      </c>
      <c r="G122" s="3216"/>
      <c r="H122" s="3216" t="s">
        <v>4</v>
      </c>
      <c r="I122" s="3326"/>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15"/>
      <c r="B123" s="3246"/>
      <c r="C123" s="3246"/>
      <c r="D123" s="2029" t="s">
        <v>5</v>
      </c>
      <c r="E123" s="2029" t="s">
        <v>704</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40.5">
      <c r="A124" s="2028" t="str">
        <f>项目基本情况!I1</f>
        <v>北京市海淀区车公庄西路乙19号房地产</v>
      </c>
      <c r="B124" s="2035">
        <f>典型户型修正!B25</f>
        <v>900.64</v>
      </c>
      <c r="C124" s="618"/>
      <c r="D124" s="2035">
        <f>C35</f>
        <v>0</v>
      </c>
      <c r="E124" s="2035">
        <f>ROUND(IF(H19="元",D124/B124,D124*10000/B124),0)</f>
        <v>0</v>
      </c>
      <c r="F124" s="2035">
        <f>C36</f>
        <v>0</v>
      </c>
      <c r="G124" s="2035">
        <f>ROUND(IF(H19="元",F124/B124,F124*10000/B124),0)</f>
        <v>0</v>
      </c>
      <c r="H124" s="2035" t="e">
        <f ca="1">C33</f>
        <v>#REF!</v>
      </c>
      <c r="I124" s="855">
        <f ca="1">C34</f>
        <v>42725</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15" t="s">
        <v>7</v>
      </c>
      <c r="B125" s="3216"/>
      <c r="C125" s="3216"/>
      <c r="D125" s="3249" t="str">
        <f>IF(H19="元",NUMBERSTRING(INT(D124),2)&amp;"元整",NUMBERSTRING(INT(D124*10000),2)&amp;"元整")</f>
        <v>零元整</v>
      </c>
      <c r="E125" s="3305"/>
      <c r="F125" s="3249" t="str">
        <f>IF(H19="元",NUMBERSTRING(INT(F124),2)&amp;"元整",NUMBERSTRING(INT(F124*10000),2)&amp;"元整")</f>
        <v>零元整</v>
      </c>
      <c r="G125" s="3305"/>
      <c r="H125" s="3249" t="e">
        <f ca="1">IF(H19="元",NUMBERSTRING(INT(H124),2)&amp;"元整",NUMBERSTRING(INT(H124*10000),2)&amp;"元整")</f>
        <v>#REF!</v>
      </c>
      <c r="I125" s="3250"/>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06" t="str">
        <f>IF(项目基本情况!D5="房地产市场价值","——",MID(A111,3,LEN(A111)-2))</f>
        <v>估价师所知悉的法定优先受偿款</v>
      </c>
      <c r="B126" s="3307"/>
      <c r="C126" s="3308"/>
      <c r="D126" s="3226">
        <f>I106</f>
        <v>0</v>
      </c>
      <c r="E126" s="3227"/>
      <c r="F126" s="3227"/>
      <c r="G126" s="3227"/>
      <c r="H126" s="3227"/>
      <c r="I126" s="3228"/>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09" t="s">
        <v>7</v>
      </c>
      <c r="B127" s="3310"/>
      <c r="C127" s="3311"/>
      <c r="D127" s="3229">
        <f>H110</f>
        <v>0</v>
      </c>
      <c r="E127" s="3230"/>
      <c r="F127" s="3230"/>
      <c r="G127" s="3230"/>
      <c r="H127" s="3230"/>
      <c r="I127" s="3231"/>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32" t="str">
        <f>IF(项目基本情况!D5="房地产市场价值","——",MID(A115,3,LEN(A115)-2))</f>
        <v/>
      </c>
      <c r="B128" s="3233"/>
      <c r="C128" s="3233"/>
      <c r="D128" s="3226" t="str">
        <f>I111</f>
        <v>——</v>
      </c>
      <c r="E128" s="3227"/>
      <c r="F128" s="3227"/>
      <c r="G128" s="3227"/>
      <c r="H128" s="3227"/>
      <c r="I128" s="3228"/>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15" t="s">
        <v>7</v>
      </c>
      <c r="B129" s="3216"/>
      <c r="C129" s="3216"/>
      <c r="D129" s="3229" t="e">
        <f ca="1">I112</f>
        <v>#REF!</v>
      </c>
      <c r="E129" s="3230"/>
      <c r="F129" s="3230"/>
      <c r="G129" s="3230"/>
      <c r="H129" s="3230"/>
      <c r="I129" s="3231"/>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32" t="str">
        <f>IF(项目基本情况!D5="房地产市场价值","——",MID(A117,3,LEN(A117)-2))</f>
        <v>抵押担保权已注销时的房地产抵押价值</v>
      </c>
      <c r="B130" s="3233"/>
      <c r="C130" s="3233"/>
      <c r="D130" s="3343" t="e">
        <f ca="1">I113</f>
        <v>#REF!</v>
      </c>
      <c r="E130" s="3344"/>
      <c r="F130" s="3344"/>
      <c r="G130" s="3344"/>
      <c r="H130" s="3344"/>
      <c r="I130" s="3345"/>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15" t="s">
        <v>7</v>
      </c>
      <c r="B131" s="3216"/>
      <c r="C131" s="3217"/>
      <c r="D131" s="3298" t="e">
        <f ca="1">I114</f>
        <v>#REF!</v>
      </c>
      <c r="E131" s="3298"/>
      <c r="F131" s="3298"/>
      <c r="G131" s="3298"/>
      <c r="H131" s="3298"/>
      <c r="I131" s="3298"/>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32" t="str">
        <f>IF(项目基本情况!D5="房地产市场价值","——",MID(F115,3,LEN(F115)-2))</f>
        <v/>
      </c>
      <c r="B132" s="3233"/>
      <c r="C132" s="3297"/>
      <c r="D132" s="3238" t="str">
        <f>I115</f>
        <v>——</v>
      </c>
      <c r="E132" s="3238"/>
      <c r="F132" s="3238"/>
      <c r="G132" s="3238"/>
      <c r="H132" s="3238"/>
      <c r="I132" s="3238"/>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43" t="s">
        <v>7</v>
      </c>
      <c r="B133" s="3244"/>
      <c r="C133" s="3244"/>
      <c r="D133" s="3251">
        <f>H117</f>
        <v>0</v>
      </c>
      <c r="E133" s="3252"/>
      <c r="F133" s="3252"/>
      <c r="G133" s="3252"/>
      <c r="H133" s="3252"/>
      <c r="I133" s="3253"/>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单位：平方米、万元、元/平方米（币种：人民币）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13" t="str">
        <f>IF(B32="总价","（以上估价结果中楼面单价为总价除以建筑面积得出）","（以上估价结果中总价为楼面单价乘以建筑面积得出）")</f>
        <v>（以上估价结果中总价为楼面单价乘以建筑面积得出）</v>
      </c>
      <c r="B135" s="3213"/>
      <c r="C135" s="3213"/>
      <c r="D135" s="3213"/>
      <c r="E135" s="3213"/>
      <c r="F135" s="3213"/>
      <c r="G135" s="3213"/>
      <c r="H135" s="3213"/>
      <c r="I135" s="3213"/>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705</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706</v>
      </c>
      <c r="G142" s="1261"/>
      <c r="H142" s="1261"/>
      <c r="I142" s="1262" t="s">
        <v>707</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708</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709</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710</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709</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18" priority="9" stopIfTrue="1" operator="equal">
      <formula>25</formula>
    </cfRule>
  </conditionalFormatting>
  <conditionalFormatting sqref="C8:C9">
    <cfRule type="cellIs" dxfId="117" priority="8" stopIfTrue="1" operator="equal">
      <formula>15</formula>
    </cfRule>
  </conditionalFormatting>
  <conditionalFormatting sqref="C14:C16">
    <cfRule type="cellIs" dxfId="116" priority="7" stopIfTrue="1" operator="equal">
      <formula>30</formula>
    </cfRule>
  </conditionalFormatting>
  <conditionalFormatting sqref="D5:D7">
    <cfRule type="cellIs" dxfId="115" priority="6" stopIfTrue="1" operator="equal">
      <formula>25</formula>
    </cfRule>
  </conditionalFormatting>
  <conditionalFormatting sqref="D8:D9">
    <cfRule type="cellIs" dxfId="114" priority="5" stopIfTrue="1" operator="equal">
      <formula>15</formula>
    </cfRule>
  </conditionalFormatting>
  <conditionalFormatting sqref="C10:D13">
    <cfRule type="cellIs" dxfId="113" priority="4" stopIfTrue="1" operator="equal">
      <formula>15</formula>
    </cfRule>
  </conditionalFormatting>
  <conditionalFormatting sqref="D14:D16">
    <cfRule type="cellIs" dxfId="112" priority="3" stopIfTrue="1" operator="equal">
      <formula>30</formula>
    </cfRule>
  </conditionalFormatting>
  <conditionalFormatting sqref="C91">
    <cfRule type="expression" dxfId="111" priority="2" stopIfTrue="1">
      <formula>$H$89&lt;&gt;"仅含出让金"</formula>
    </cfRule>
  </conditionalFormatting>
  <conditionalFormatting sqref="C92">
    <cfRule type="expression" dxfId="110"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2209</v>
      </c>
      <c r="B8" s="2025" t="s">
        <v>2208</v>
      </c>
      <c r="C8" s="1746"/>
    </row>
    <row r="9" spans="1:7">
      <c r="A9" s="2023"/>
      <c r="B9" s="1861" t="str">
        <f>项目基本情况!B1</f>
        <v>北京市海淀区车公庄西路乙19号房地产抵押价值预评估</v>
      </c>
      <c r="C9" s="1747"/>
      <c r="D9" s="1748"/>
      <c r="E9" s="1748"/>
      <c r="F9" s="1748"/>
      <c r="G9" s="1748"/>
    </row>
    <row r="10" spans="1:7">
      <c r="A10" s="2023"/>
      <c r="B10" s="1861"/>
      <c r="C10" s="1747"/>
      <c r="D10" s="1748"/>
      <c r="E10" s="1748"/>
      <c r="F10" s="1748"/>
      <c r="G10" s="1748"/>
    </row>
    <row r="11" spans="1:7">
      <c r="A11" s="2026" t="s">
        <v>2209</v>
      </c>
      <c r="B11" s="2025" t="s">
        <v>2210</v>
      </c>
      <c r="C11" s="1746"/>
    </row>
    <row r="12" spans="1:7">
      <c r="A12" s="2023"/>
      <c r="B12" s="1860" t="str">
        <f>项目基本情况!B4</f>
        <v>华通路桥集团有限公司</v>
      </c>
      <c r="C12" s="1746"/>
    </row>
    <row r="13" spans="1:7">
      <c r="A13" s="2023"/>
      <c r="B13" s="1860"/>
      <c r="C13" s="1746"/>
    </row>
    <row r="14" spans="1:7">
      <c r="A14" s="2026" t="s">
        <v>2209</v>
      </c>
      <c r="B14" s="2025" t="s">
        <v>2211</v>
      </c>
      <c r="C14" s="1746"/>
    </row>
    <row r="15" spans="1:7">
      <c r="A15" s="2023"/>
      <c r="B15" s="1860" t="s">
        <v>1945</v>
      </c>
      <c r="C15" s="1746"/>
    </row>
    <row r="16" spans="1:7">
      <c r="A16" s="2023"/>
      <c r="B16" s="1860"/>
      <c r="C16" s="1746"/>
    </row>
    <row r="17" spans="1:5">
      <c r="A17" s="2026" t="s">
        <v>2209</v>
      </c>
      <c r="B17" s="2025" t="s">
        <v>2212</v>
      </c>
      <c r="C17" s="1746"/>
    </row>
    <row r="18" spans="1:5" s="1750" customFormat="1">
      <c r="A18" s="2024"/>
      <c r="B18" s="1860" t="str">
        <f>CONCATENATE(项目基本情况!B3,"（注册号:",项目基本情况!C3,"）、",项目基本情况!D3,"（注册号:",项目基本情况!E3,")")</f>
        <v>注册房地产估价师（注册号:0）、注册房地产估价师（注册号:0)</v>
      </c>
      <c r="C18" s="1749"/>
      <c r="E18" s="1749"/>
    </row>
    <row r="19" spans="1:5">
      <c r="A19" s="2023"/>
      <c r="B19" s="1860"/>
      <c r="C19" s="1746"/>
    </row>
    <row r="20" spans="1:5">
      <c r="A20" s="2026" t="s">
        <v>2209</v>
      </c>
      <c r="B20" s="2025" t="s">
        <v>2213</v>
      </c>
      <c r="C20" s="1746"/>
    </row>
    <row r="21" spans="1:5">
      <c r="A21" s="2023"/>
      <c r="B21" s="1860" t="str">
        <f>"康正预评字"&amp;项目基本情况!G1&amp;"号"</f>
        <v>康正预评字号</v>
      </c>
    </row>
    <row r="22" spans="1:5">
      <c r="A22" s="2023"/>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734</v>
      </c>
      <c r="B1" s="2321"/>
      <c r="C1" s="379"/>
      <c r="D1" s="379"/>
      <c r="E1" s="379"/>
      <c r="F1" s="379"/>
      <c r="G1" s="380"/>
    </row>
    <row r="2" spans="1:7" s="381" customFormat="1" ht="18" customHeight="1">
      <c r="A2" s="382" t="s">
        <v>735</v>
      </c>
      <c r="B2" s="383">
        <f ca="1">IF(D2="——",IF(C2="元",C52,ROUND(C52/10000,0)),IF(C2="元",C52,ROUND(C52/10000,0))-E2)</f>
        <v>175</v>
      </c>
      <c r="C2" s="32" t="str">
        <f>'数据-取费表'!B3</f>
        <v>万元</v>
      </c>
      <c r="D2" s="2654" t="s">
        <v>2898</v>
      </c>
      <c r="E2" s="2652" t="e">
        <f ca="1">SUMIF(INDIRECT("'"&amp;G2&amp;"'"&amp;"!A:A"),"承租人权益价值",INDIRECT("'"&amp;G2&amp;"'"&amp;"!c:c"))</f>
        <v>#REF!</v>
      </c>
      <c r="F2" s="2653" t="str">
        <f>C2</f>
        <v>万元</v>
      </c>
      <c r="G2" s="2655"/>
    </row>
    <row r="3" spans="1:7" s="381" customFormat="1" ht="18" customHeight="1" thickBot="1">
      <c r="A3" s="384" t="s">
        <v>736</v>
      </c>
      <c r="B3" s="385">
        <f ca="1">ROUND(C52/IF(B1="仅计算典型户型",'数据-取费表'!E5,'数据-取费表'!B5),0)</f>
        <v>14145</v>
      </c>
      <c r="C3" s="32" t="s">
        <v>775</v>
      </c>
      <c r="D3" s="380"/>
      <c r="E3" s="380"/>
      <c r="F3" s="380"/>
      <c r="G3" s="380"/>
    </row>
    <row r="4" spans="1:7" s="389" customFormat="1" ht="15.75">
      <c r="A4" s="386" t="s">
        <v>737</v>
      </c>
      <c r="B4" s="387"/>
      <c r="C4" s="387"/>
      <c r="D4" s="387"/>
      <c r="E4" s="387"/>
      <c r="F4" s="387"/>
      <c r="G4" s="388"/>
    </row>
    <row r="5" spans="1:7" s="392" customFormat="1" ht="13.5" customHeight="1">
      <c r="A5" s="421" t="s">
        <v>2245</v>
      </c>
      <c r="B5" s="390" t="s">
        <v>738</v>
      </c>
      <c r="C5" s="412">
        <f>C6+C7+C8</f>
        <v>1030500</v>
      </c>
      <c r="D5" s="412" t="s">
        <v>739</v>
      </c>
      <c r="E5" s="2638" t="s">
        <v>740</v>
      </c>
      <c r="F5" s="2638" t="s">
        <v>741</v>
      </c>
      <c r="G5" s="391"/>
    </row>
    <row r="6" spans="1:7" s="392" customFormat="1" ht="13.5" customHeight="1">
      <c r="A6" s="393" t="s">
        <v>2256</v>
      </c>
      <c r="B6" s="394" t="s">
        <v>742</v>
      </c>
      <c r="C6" s="2637">
        <v>1000000</v>
      </c>
      <c r="D6" s="2639"/>
      <c r="E6" s="2640"/>
      <c r="F6" s="2640"/>
      <c r="G6" s="396"/>
    </row>
    <row r="7" spans="1:7" s="392" customFormat="1" ht="13.5" customHeight="1">
      <c r="A7" s="393" t="s">
        <v>2257</v>
      </c>
      <c r="B7" s="394" t="s">
        <v>361</v>
      </c>
      <c r="C7" s="416">
        <f>ROUND(C6*F7,0)</f>
        <v>30500</v>
      </c>
      <c r="D7" s="416"/>
      <c r="E7" s="2640"/>
      <c r="F7" s="2641">
        <f>'数据-取费表'!E36+'数据-取费表'!E37</f>
        <v>3.0499999999999999E-2</v>
      </c>
      <c r="G7" s="396"/>
    </row>
    <row r="8" spans="1:7" s="397" customFormat="1">
      <c r="A8" s="393" t="s">
        <v>2258</v>
      </c>
      <c r="B8" s="394" t="s">
        <v>743</v>
      </c>
      <c r="C8" s="416">
        <f>IF(G8="已包含在土地购买价格中","0",'数据-取费表'!E13)</f>
        <v>0</v>
      </c>
      <c r="D8" s="2642"/>
      <c r="E8" s="416"/>
      <c r="F8" s="2641"/>
      <c r="G8" s="31"/>
    </row>
    <row r="9" spans="1:7" s="392" customFormat="1" ht="13.5" customHeight="1">
      <c r="A9" s="2284" t="s">
        <v>2261</v>
      </c>
      <c r="B9" s="398" t="s">
        <v>744</v>
      </c>
      <c r="C9" s="2643">
        <f>ROUND(D9*E9,0)</f>
        <v>0</v>
      </c>
      <c r="D9" s="2644">
        <f>IF('数据-取费表'!B10="住宅",IF(B1="仅计算典型户型",'数据-取费表'!E5,'数据-取费表'!B5),0)</f>
        <v>0</v>
      </c>
      <c r="E9" s="2643">
        <f>'数据-取费表'!E11</f>
        <v>160</v>
      </c>
      <c r="F9" s="2641"/>
      <c r="G9" s="399"/>
    </row>
    <row r="10" spans="1:7" s="392" customFormat="1" ht="13.5" customHeight="1">
      <c r="A10" s="2284" t="s">
        <v>2262</v>
      </c>
      <c r="B10" s="398" t="s">
        <v>745</v>
      </c>
      <c r="C10" s="2643">
        <f>ROUND(D10*E10,0)</f>
        <v>27236</v>
      </c>
      <c r="D10" s="2644">
        <f>IF('数据-取费表'!B10&lt;&gt;"住宅",IF(B1="仅计算典型户型",'数据-取费表'!E5,'数据-取费表'!B5),0)</f>
        <v>123.8</v>
      </c>
      <c r="E10" s="2643">
        <f>'数据-取费表'!E12</f>
        <v>220</v>
      </c>
      <c r="F10" s="2641"/>
      <c r="G10" s="399"/>
    </row>
    <row r="11" spans="1:7" s="392" customFormat="1" ht="13.5" hidden="1" customHeight="1">
      <c r="A11" s="393" t="s">
        <v>27</v>
      </c>
      <c r="B11" s="394" t="s">
        <v>746</v>
      </c>
      <c r="C11" s="412"/>
      <c r="D11" s="416"/>
      <c r="E11" s="2640"/>
      <c r="F11" s="2640"/>
      <c r="G11" s="396"/>
    </row>
    <row r="12" spans="1:7" s="392" customFormat="1" ht="13.5" hidden="1" customHeight="1">
      <c r="A12" s="393" t="s">
        <v>28</v>
      </c>
      <c r="B12" s="394" t="s">
        <v>747</v>
      </c>
      <c r="C12" s="412">
        <v>0</v>
      </c>
      <c r="D12" s="416"/>
      <c r="E12" s="2645"/>
      <c r="F12" s="2641">
        <v>3.0499999999999999E-2</v>
      </c>
      <c r="G12" s="396"/>
    </row>
    <row r="13" spans="1:7" s="392" customFormat="1" ht="13.5" hidden="1" customHeight="1">
      <c r="A13" s="393" t="s">
        <v>29</v>
      </c>
      <c r="B13" s="394" t="s">
        <v>748</v>
      </c>
      <c r="C13" s="412"/>
      <c r="D13" s="416"/>
      <c r="E13" s="2640"/>
      <c r="F13" s="2640"/>
      <c r="G13" s="396"/>
    </row>
    <row r="14" spans="1:7" s="392" customFormat="1" ht="13.5" hidden="1" customHeight="1">
      <c r="A14" s="393" t="s">
        <v>30</v>
      </c>
      <c r="B14" s="394" t="s">
        <v>743</v>
      </c>
      <c r="C14" s="412"/>
      <c r="D14" s="416"/>
      <c r="E14" s="2640"/>
      <c r="F14" s="2640"/>
      <c r="G14" s="396" t="s">
        <v>749</v>
      </c>
    </row>
    <row r="15" spans="1:7" s="392" customFormat="1" ht="13.5" hidden="1" customHeight="1">
      <c r="A15" s="393" t="s">
        <v>31</v>
      </c>
      <c r="B15" s="394" t="s">
        <v>750</v>
      </c>
      <c r="C15" s="416"/>
      <c r="D15" s="416"/>
      <c r="E15" s="2640"/>
      <c r="F15" s="2640"/>
      <c r="G15" s="396" t="s">
        <v>751</v>
      </c>
    </row>
    <row r="16" spans="1:7" s="392" customFormat="1" ht="13.5" hidden="1" customHeight="1">
      <c r="A16" s="393" t="s">
        <v>32</v>
      </c>
      <c r="B16" s="394" t="s">
        <v>743</v>
      </c>
      <c r="C16" s="416"/>
      <c r="D16" s="416"/>
      <c r="E16" s="2640"/>
      <c r="F16" s="2640"/>
      <c r="G16" s="396"/>
    </row>
    <row r="17" spans="1:7" s="392" customFormat="1" ht="13.5" hidden="1" customHeight="1">
      <c r="A17" s="393" t="s">
        <v>33</v>
      </c>
      <c r="B17" s="394" t="s">
        <v>752</v>
      </c>
      <c r="C17" s="2646"/>
      <c r="D17" s="2646"/>
      <c r="E17" s="2646"/>
      <c r="F17" s="2646"/>
      <c r="G17" s="396" t="s">
        <v>751</v>
      </c>
    </row>
    <row r="18" spans="1:7" s="392" customFormat="1" ht="13.5" hidden="1" customHeight="1">
      <c r="A18" s="393" t="s">
        <v>34</v>
      </c>
      <c r="B18" s="394" t="s">
        <v>753</v>
      </c>
      <c r="C18" s="416">
        <v>0</v>
      </c>
      <c r="D18" s="416"/>
      <c r="E18" s="2640"/>
      <c r="F18" s="2641">
        <v>3.0499999999999999E-2</v>
      </c>
      <c r="G18" s="396" t="s">
        <v>754</v>
      </c>
    </row>
    <row r="19" spans="1:7" s="397" customFormat="1" ht="13.5" customHeight="1">
      <c r="A19" s="421" t="s">
        <v>2246</v>
      </c>
      <c r="B19" s="390" t="s">
        <v>1855</v>
      </c>
      <c r="C19" s="412">
        <f>IF(G19="已包含在土地取得成本中","0",ROUND(D19*E19,0))</f>
        <v>24760</v>
      </c>
      <c r="D19" s="2647">
        <f>IF(B1="仅计算典型户型",'数据-取费表'!E5,'数据-取费表'!B5)</f>
        <v>123.8</v>
      </c>
      <c r="E19" s="412">
        <f>'数据-取费表'!E15</f>
        <v>200</v>
      </c>
      <c r="F19" s="413"/>
      <c r="G19" s="31"/>
    </row>
    <row r="20" spans="1:7" s="392" customFormat="1" ht="13.5" customHeight="1">
      <c r="A20" s="421" t="s">
        <v>2247</v>
      </c>
      <c r="B20" s="390" t="s">
        <v>755</v>
      </c>
      <c r="C20" s="400">
        <f>ROUND((C5+C19)*F20,0)</f>
        <v>21105</v>
      </c>
      <c r="D20" s="400"/>
      <c r="E20" s="400"/>
      <c r="F20" s="404">
        <f>'数据-取费表'!E25</f>
        <v>0.02</v>
      </c>
      <c r="G20" s="2436" t="s">
        <v>2430</v>
      </c>
    </row>
    <row r="21" spans="1:7" s="392" customFormat="1" ht="13.5" customHeight="1">
      <c r="A21" s="421" t="s">
        <v>2248</v>
      </c>
      <c r="B21" s="390" t="s">
        <v>756</v>
      </c>
      <c r="C21" s="402">
        <f>F21</f>
        <v>0.02</v>
      </c>
      <c r="D21" s="403" t="s">
        <v>772</v>
      </c>
      <c r="E21" s="400"/>
      <c r="F21" s="404">
        <f>'数据-取费表'!E26</f>
        <v>0.02</v>
      </c>
      <c r="G21" s="401" t="s">
        <v>757</v>
      </c>
    </row>
    <row r="22" spans="1:7" s="392" customFormat="1" ht="13.5" customHeight="1">
      <c r="A22" s="421" t="s">
        <v>2249</v>
      </c>
      <c r="B22" s="390" t="s">
        <v>758</v>
      </c>
      <c r="C22" s="422">
        <f ca="1">ROUND(SUM(C23:C25),0)</f>
        <v>76820</v>
      </c>
      <c r="D22" s="402">
        <f ca="1">C26</f>
        <v>6.9999999999999999E-4</v>
      </c>
      <c r="E22" s="403" t="s">
        <v>772</v>
      </c>
      <c r="F22" s="404">
        <f ca="1">'数据-取费表'!E27</f>
        <v>4.7500000000000001E-2</v>
      </c>
      <c r="G22" s="2436" t="str">
        <f>IF('数据-取费表'!B23&lt;=1,"单利计息。","复利计息。")</f>
        <v>复利计息。</v>
      </c>
    </row>
    <row r="23" spans="1:7" s="392" customFormat="1" ht="13.5" customHeight="1">
      <c r="A23" s="393" t="s">
        <v>2256</v>
      </c>
      <c r="B23" s="394" t="s">
        <v>2426</v>
      </c>
      <c r="C23" s="2527">
        <f ca="1">ROUND(IF('数据-取费表'!B23&lt;=1,C5*F22*'数据-取费表'!B24,C5*(POWER((1+F22),'数据-取费表'!B24)-1)),0)</f>
        <v>74288</v>
      </c>
      <c r="D23" s="405"/>
      <c r="E23" s="405"/>
      <c r="F23" s="406"/>
      <c r="G23" s="407" t="s">
        <v>759</v>
      </c>
    </row>
    <row r="24" spans="1:7" s="392" customFormat="1" ht="13.5" customHeight="1">
      <c r="A24" s="393" t="s">
        <v>2257</v>
      </c>
      <c r="B24" s="394" t="s">
        <v>2427</v>
      </c>
      <c r="C24" s="2527">
        <f ca="1">ROUND(IF('数据-取费表'!B23&lt;=1,C19*F22*('数据-取费表'!B20/2+'数据-取费表'!B22),C19*(POWER((1+F22),('数据-取费表'!B20/2+'数据-取费表'!B22))-1)),0)</f>
        <v>1785</v>
      </c>
      <c r="D24" s="405"/>
      <c r="E24" s="405"/>
      <c r="F24" s="406"/>
      <c r="G24" s="407" t="s">
        <v>760</v>
      </c>
    </row>
    <row r="25" spans="1:7" s="392" customFormat="1" ht="24">
      <c r="A25" s="393" t="s">
        <v>2258</v>
      </c>
      <c r="B25" s="394" t="s">
        <v>2428</v>
      </c>
      <c r="C25" s="2527">
        <f ca="1">ROUND(IF('数据-取费表'!B23&lt;=1,C20*F22*'数据-取费表'!B24/2,C20*(POWER((1+F22),'数据-取费表'!B24/2)-1)),0)</f>
        <v>747</v>
      </c>
      <c r="D25" s="405"/>
      <c r="E25" s="408"/>
      <c r="F25" s="406"/>
      <c r="G25" s="409" t="s">
        <v>761</v>
      </c>
    </row>
    <row r="26" spans="1:7" s="392" customFormat="1">
      <c r="A26" s="393" t="s">
        <v>2259</v>
      </c>
      <c r="B26" s="394" t="s">
        <v>2429</v>
      </c>
      <c r="C26" s="405">
        <f ca="1">ROUND(IF('数据-取费表'!B23&lt;=1,F21*F22*'数据-取费表'!B24/2,F21*(POWER((1+F22),'数据-取费表'!B24/2)-1)),4)</f>
        <v>6.9999999999999999E-4</v>
      </c>
      <c r="D26" s="405"/>
      <c r="E26" s="408"/>
      <c r="F26" s="406"/>
      <c r="G26" s="410"/>
    </row>
    <row r="27" spans="1:7" s="392" customFormat="1" ht="25.5">
      <c r="A27" s="2285" t="s">
        <v>2250</v>
      </c>
      <c r="B27" s="411" t="s">
        <v>762</v>
      </c>
      <c r="C27" s="412">
        <f>C28</f>
        <v>161455</v>
      </c>
      <c r="D27" s="402">
        <f>C29</f>
        <v>3.0000000000000001E-3</v>
      </c>
      <c r="E27" s="403" t="s">
        <v>772</v>
      </c>
      <c r="F27" s="413">
        <f>'数据-取费表'!E28</f>
        <v>0.15</v>
      </c>
      <c r="G27" s="414" t="s">
        <v>2431</v>
      </c>
    </row>
    <row r="28" spans="1:7" s="392" customFormat="1" ht="13.5" customHeight="1">
      <c r="A28" s="393" t="s">
        <v>2256</v>
      </c>
      <c r="B28" s="415" t="s">
        <v>2433</v>
      </c>
      <c r="C28" s="416">
        <f>ROUND((C5+C19+C20)*F27*'数据-取费表'!B22/'数据-取费表'!B21,0)</f>
        <v>161455</v>
      </c>
      <c r="D28" s="402"/>
      <c r="E28" s="403"/>
      <c r="F28" s="413"/>
      <c r="G28" s="414"/>
    </row>
    <row r="29" spans="1:7" s="392" customFormat="1" ht="13.5" customHeight="1">
      <c r="A29" s="393" t="s">
        <v>2257</v>
      </c>
      <c r="B29" s="415" t="s">
        <v>2434</v>
      </c>
      <c r="C29" s="405">
        <f>ROUND(C21*F27*'数据-取费表'!B22/'数据-取费表'!B21,4)</f>
        <v>3.0000000000000001E-3</v>
      </c>
      <c r="D29" s="402"/>
      <c r="E29" s="403"/>
      <c r="F29" s="413"/>
      <c r="G29" s="414"/>
    </row>
    <row r="30" spans="1:7" s="392" customFormat="1" ht="13.5" customHeight="1">
      <c r="A30" s="2285" t="s">
        <v>2251</v>
      </c>
      <c r="B30" s="390" t="s">
        <v>362</v>
      </c>
      <c r="C30" s="402">
        <f>ROUND(F30/(1+'数据-取费表'!F30),4)</f>
        <v>5.33E-2</v>
      </c>
      <c r="D30" s="403" t="s">
        <v>2801</v>
      </c>
      <c r="E30" s="408"/>
      <c r="F30" s="404">
        <f>'数据-取费表'!E29</f>
        <v>5.6000000000000001E-2</v>
      </c>
      <c r="G30" s="2436" t="s">
        <v>2802</v>
      </c>
    </row>
    <row r="31" spans="1:7" ht="16.5" customHeight="1">
      <c r="A31" s="421">
        <v>1</v>
      </c>
      <c r="B31" s="390" t="s">
        <v>773</v>
      </c>
      <c r="C31" s="412">
        <f ca="1">ROUND((C5+C19+C20+C22+C27)/(1-C21-D22-D27-C30),0)</f>
        <v>1424312</v>
      </c>
      <c r="D31" s="2647"/>
      <c r="E31" s="412"/>
      <c r="F31" s="2648"/>
      <c r="G31" s="2436" t="s">
        <v>2432</v>
      </c>
    </row>
    <row r="32" spans="1:7" s="389" customFormat="1" ht="15.75">
      <c r="A32" s="418" t="s">
        <v>763</v>
      </c>
      <c r="B32" s="419"/>
      <c r="C32" s="2649"/>
      <c r="D32" s="2649"/>
      <c r="E32" s="2649"/>
      <c r="F32" s="2649"/>
      <c r="G32" s="420"/>
    </row>
    <row r="33" spans="1:7" s="392" customFormat="1" ht="13.5" customHeight="1">
      <c r="A33" s="421" t="s">
        <v>2252</v>
      </c>
      <c r="B33" s="390" t="s">
        <v>764</v>
      </c>
      <c r="C33" s="422">
        <f>SUM(C34:C38)</f>
        <v>348188</v>
      </c>
      <c r="D33" s="400"/>
      <c r="E33" s="2638"/>
      <c r="F33" s="408"/>
      <c r="G33" s="401"/>
    </row>
    <row r="34" spans="1:7" s="423" customFormat="1" ht="13.5" customHeight="1">
      <c r="A34" s="393" t="s">
        <v>2256</v>
      </c>
      <c r="B34" s="394" t="s">
        <v>363</v>
      </c>
      <c r="C34" s="416">
        <f>IF(B1="仅计算典型户型",'数据-取费表'!F18,'数据-取费表'!E18)</f>
        <v>309500</v>
      </c>
      <c r="D34" s="2639"/>
      <c r="E34" s="416"/>
      <c r="F34" s="2650" t="str">
        <f>IF('数据-取费表'!B25=0,"",'数据-取费表'!E20)</f>
        <v/>
      </c>
      <c r="G34" s="396"/>
    </row>
    <row r="35" spans="1:7" ht="13.5" customHeight="1">
      <c r="A35" s="393" t="s">
        <v>2257</v>
      </c>
      <c r="B35" s="394" t="s">
        <v>364</v>
      </c>
      <c r="C35" s="416">
        <f>ROUND(C34*F35,0)</f>
        <v>9285</v>
      </c>
      <c r="D35" s="416"/>
      <c r="E35" s="416"/>
      <c r="F35" s="2651">
        <f>'数据-取费表'!E21</f>
        <v>0.03</v>
      </c>
      <c r="G35" s="396" t="s">
        <v>765</v>
      </c>
    </row>
    <row r="36" spans="1:7" ht="24">
      <c r="A36" s="393" t="s">
        <v>2258</v>
      </c>
      <c r="B36" s="394" t="s">
        <v>365</v>
      </c>
      <c r="C36" s="416">
        <f>ROUND(IF('数据-取费表'!B10="住宅",C34*F36,0),0)</f>
        <v>0</v>
      </c>
      <c r="D36" s="416"/>
      <c r="E36" s="416"/>
      <c r="F36" s="2651">
        <f>'数据-取费表'!E22</f>
        <v>0</v>
      </c>
      <c r="G36" s="424" t="s">
        <v>366</v>
      </c>
    </row>
    <row r="37" spans="1:7" s="423" customFormat="1" ht="13.5" customHeight="1">
      <c r="A37" s="393" t="s">
        <v>2259</v>
      </c>
      <c r="B37" s="394" t="s">
        <v>766</v>
      </c>
      <c r="C37" s="416">
        <f>ROUND(E37*D37,0)</f>
        <v>24760</v>
      </c>
      <c r="D37" s="2639">
        <f>IF(B1="仅计算典型户型",'数据-取费表'!E5,'数据-取费表'!B5)</f>
        <v>123.8</v>
      </c>
      <c r="E37" s="416">
        <f>'数据-取费表'!E23</f>
        <v>200</v>
      </c>
      <c r="F37" s="2651"/>
      <c r="G37" s="425" t="s">
        <v>767</v>
      </c>
    </row>
    <row r="38" spans="1:7" ht="13.5" customHeight="1">
      <c r="A38" s="393" t="s">
        <v>2260</v>
      </c>
      <c r="B38" s="394" t="s">
        <v>367</v>
      </c>
      <c r="C38" s="416">
        <f>ROUND(C34*F38,0)</f>
        <v>4643</v>
      </c>
      <c r="D38" s="416"/>
      <c r="E38" s="416"/>
      <c r="F38" s="2651">
        <f>'数据-取费表'!E24</f>
        <v>1.4999999999999999E-2</v>
      </c>
      <c r="G38" s="396" t="s">
        <v>765</v>
      </c>
    </row>
    <row r="39" spans="1:7" s="392" customFormat="1" ht="13.5" customHeight="1">
      <c r="A39" s="421" t="s">
        <v>2246</v>
      </c>
      <c r="B39" s="390" t="s">
        <v>755</v>
      </c>
      <c r="C39" s="400">
        <f>ROUND(C33*F20,0)</f>
        <v>6964</v>
      </c>
      <c r="D39" s="400"/>
      <c r="E39" s="400"/>
      <c r="F39" s="404"/>
      <c r="G39" s="2436" t="s">
        <v>2437</v>
      </c>
    </row>
    <row r="40" spans="1:7" s="392" customFormat="1" ht="13.5" customHeight="1">
      <c r="A40" s="421" t="s">
        <v>2247</v>
      </c>
      <c r="B40" s="390" t="s">
        <v>756</v>
      </c>
      <c r="C40" s="3001">
        <f>F21</f>
        <v>0.02</v>
      </c>
      <c r="D40" s="403" t="s">
        <v>774</v>
      </c>
      <c r="E40" s="400"/>
      <c r="F40" s="404"/>
      <c r="G40" s="401" t="s">
        <v>768</v>
      </c>
    </row>
    <row r="41" spans="1:7" s="392" customFormat="1" ht="13.5" customHeight="1">
      <c r="A41" s="421" t="s">
        <v>2248</v>
      </c>
      <c r="B41" s="390" t="s">
        <v>758</v>
      </c>
      <c r="C41" s="400">
        <f ca="1">ROUND(SUM(C42:C43),0)</f>
        <v>12579</v>
      </c>
      <c r="D41" s="402">
        <f ca="1">C44</f>
        <v>6.9999999999999999E-4</v>
      </c>
      <c r="E41" s="403" t="s">
        <v>774</v>
      </c>
      <c r="F41" s="404"/>
      <c r="G41" s="2436" t="str">
        <f>IF('数据-取费表'!B23&lt;=1,"单利计息。","复利计息。")</f>
        <v>复利计息。</v>
      </c>
    </row>
    <row r="42" spans="1:7" ht="13.5" customHeight="1">
      <c r="A42" s="393" t="s">
        <v>2256</v>
      </c>
      <c r="B42" s="394" t="s">
        <v>2426</v>
      </c>
      <c r="C42" s="405">
        <f ca="1">ROUND(IF('数据-取费表'!B23&lt;=1,C33*F22*'数据-取费表'!B22/2,C33*(POWER((1+F22),'数据-取费表'!B22/2)-1)),0)</f>
        <v>12332</v>
      </c>
      <c r="D42" s="405"/>
      <c r="E42" s="405"/>
      <c r="F42" s="406"/>
      <c r="G42" s="3411" t="s">
        <v>2520</v>
      </c>
    </row>
    <row r="43" spans="1:7" ht="13.5" customHeight="1">
      <c r="A43" s="393" t="s">
        <v>2257</v>
      </c>
      <c r="B43" s="394" t="s">
        <v>2427</v>
      </c>
      <c r="C43" s="405">
        <f ca="1">ROUND(IF('数据-取费表'!B23&lt;=1,C39*F22*'数据-取费表'!B22/2,C39*(POWER((1+F22),'数据-取费表'!B22/2)-1)),0)</f>
        <v>247</v>
      </c>
      <c r="D43" s="405"/>
      <c r="E43" s="405"/>
      <c r="F43" s="406"/>
      <c r="G43" s="3412"/>
    </row>
    <row r="44" spans="1:7" ht="13.5" customHeight="1">
      <c r="A44" s="393" t="s">
        <v>2258</v>
      </c>
      <c r="B44" s="394" t="s">
        <v>2428</v>
      </c>
      <c r="C44" s="405">
        <f ca="1">ROUND(IF('数据-取费表'!B23&lt;=1,C40*F22*'数据-取费表'!B22/2,C40*(POWER((1+F22),'数据-取费表'!B22/2)-1)),4)</f>
        <v>6.9999999999999999E-4</v>
      </c>
      <c r="D44" s="405"/>
      <c r="E44" s="405"/>
      <c r="F44" s="406"/>
      <c r="G44" s="3413"/>
    </row>
    <row r="45" spans="1:7" s="392" customFormat="1" ht="13.5" customHeight="1">
      <c r="A45" s="421" t="s">
        <v>2249</v>
      </c>
      <c r="B45" s="411" t="s">
        <v>762</v>
      </c>
      <c r="C45" s="412">
        <f>C46</f>
        <v>53273</v>
      </c>
      <c r="D45" s="402">
        <f>C47</f>
        <v>3.0000000000000001E-3</v>
      </c>
      <c r="E45" s="403" t="s">
        <v>774</v>
      </c>
      <c r="F45" s="413"/>
      <c r="G45" s="414" t="s">
        <v>2438</v>
      </c>
    </row>
    <row r="46" spans="1:7" s="392" customFormat="1" ht="13.5" customHeight="1">
      <c r="A46" s="393" t="s">
        <v>2256</v>
      </c>
      <c r="B46" s="415" t="s">
        <v>2435</v>
      </c>
      <c r="C46" s="416">
        <f>ROUND((C33+C39)*F27,0)</f>
        <v>53273</v>
      </c>
      <c r="D46" s="426"/>
      <c r="E46" s="403"/>
      <c r="F46" s="413"/>
      <c r="G46" s="414"/>
    </row>
    <row r="47" spans="1:7" s="392" customFormat="1" ht="13.5" customHeight="1">
      <c r="A47" s="393" t="s">
        <v>2257</v>
      </c>
      <c r="B47" s="415" t="s">
        <v>2436</v>
      </c>
      <c r="C47" s="405">
        <f>ROUND(C40*F27,4)</f>
        <v>3.0000000000000001E-3</v>
      </c>
      <c r="D47" s="426"/>
      <c r="E47" s="403"/>
      <c r="F47" s="413"/>
      <c r="G47" s="414"/>
    </row>
    <row r="48" spans="1:7" s="392" customFormat="1" ht="13.5" customHeight="1">
      <c r="A48" s="2285" t="s">
        <v>2250</v>
      </c>
      <c r="B48" s="390" t="s">
        <v>769</v>
      </c>
      <c r="C48" s="3001">
        <f>ROUND(F30/(1+'数据-取费表'!F30),4)</f>
        <v>5.33E-2</v>
      </c>
      <c r="D48" s="403" t="s">
        <v>2803</v>
      </c>
      <c r="E48" s="400"/>
      <c r="F48" s="404"/>
      <c r="G48" s="2436" t="s">
        <v>2804</v>
      </c>
    </row>
    <row r="49" spans="1:7" ht="16.5" customHeight="1">
      <c r="A49" s="2285" t="s">
        <v>2253</v>
      </c>
      <c r="B49" s="390" t="s">
        <v>1854</v>
      </c>
      <c r="C49" s="400">
        <f ca="1">ROUND((C33+C39+C41+C45)/(1-C40-D41-D45-C48),0)</f>
        <v>456126</v>
      </c>
      <c r="D49" s="400"/>
      <c r="E49" s="400"/>
      <c r="F49" s="427"/>
      <c r="G49" s="2436" t="s">
        <v>2439</v>
      </c>
    </row>
    <row r="50" spans="1:7" s="423" customFormat="1" ht="24">
      <c r="A50" s="2285" t="s">
        <v>2254</v>
      </c>
      <c r="B50" s="390" t="s">
        <v>770</v>
      </c>
      <c r="C50" s="400"/>
      <c r="D50" s="400"/>
      <c r="E50" s="400"/>
      <c r="F50" s="427">
        <f>IF('数据-取费表'!B25=0,'数据-取费表'!E20,1)</f>
        <v>0.71666666666666667</v>
      </c>
      <c r="G50" s="414" t="s">
        <v>771</v>
      </c>
    </row>
    <row r="51" spans="1:7" ht="16.5" customHeight="1">
      <c r="A51" s="2285" t="s">
        <v>2255</v>
      </c>
      <c r="B51" s="390" t="s">
        <v>1856</v>
      </c>
      <c r="C51" s="400">
        <f ca="1">ROUND(C49*F50,0)</f>
        <v>326890</v>
      </c>
      <c r="D51" s="400"/>
      <c r="E51" s="400"/>
      <c r="F51" s="427"/>
      <c r="G51" s="401" t="s">
        <v>368</v>
      </c>
    </row>
    <row r="52" spans="1:7" s="389" customFormat="1" ht="16.5" thickBot="1">
      <c r="A52" s="428" t="s">
        <v>369</v>
      </c>
      <c r="B52" s="429"/>
      <c r="C52" s="430">
        <f ca="1">C31+C51</f>
        <v>1751202</v>
      </c>
      <c r="D52" s="429"/>
      <c r="E52" s="429"/>
      <c r="F52" s="429"/>
      <c r="G52" s="431"/>
    </row>
    <row r="55" spans="1:7" ht="15">
      <c r="B55" s="433" t="s">
        <v>370</v>
      </c>
      <c r="C55" s="434"/>
    </row>
    <row r="56" spans="1:7">
      <c r="B56" s="436" t="s">
        <v>371</v>
      </c>
      <c r="C56" s="437">
        <f ca="1">ROUND(C51/C52,3)</f>
        <v>0.187</v>
      </c>
    </row>
    <row r="57" spans="1:7">
      <c r="B57" s="436" t="s">
        <v>372</v>
      </c>
      <c r="C57" s="438">
        <f ca="1">1-C56</f>
        <v>0.81299999999999994</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776</v>
      </c>
      <c r="B1" s="439"/>
      <c r="C1" s="2321" t="s">
        <v>2290</v>
      </c>
      <c r="D1" s="2522"/>
      <c r="E1" s="2126"/>
      <c r="F1" s="2126"/>
      <c r="G1" s="2126"/>
      <c r="H1" s="2126"/>
      <c r="I1" s="2126"/>
      <c r="J1" s="2126"/>
      <c r="K1" s="2126"/>
    </row>
    <row r="2" spans="1:33" s="440" customFormat="1" ht="18" customHeight="1">
      <c r="A2" s="382" t="s">
        <v>735</v>
      </c>
      <c r="B2" s="385">
        <f ca="1">IF(C2="元",C32,ROUND(C32/10000,0))</f>
        <v>309</v>
      </c>
      <c r="C2" s="35" t="str">
        <f>'数据-取费表'!B3</f>
        <v>万元</v>
      </c>
      <c r="D2" s="2126"/>
      <c r="E2" s="2126"/>
      <c r="F2" s="2126"/>
      <c r="G2" s="2126"/>
      <c r="H2" s="2126"/>
      <c r="I2" s="2126"/>
      <c r="J2" s="2126"/>
      <c r="K2" s="2126"/>
    </row>
    <row r="3" spans="1:33" s="440" customFormat="1" ht="18" customHeight="1" thickBot="1">
      <c r="A3" s="384" t="s">
        <v>736</v>
      </c>
      <c r="B3" s="385">
        <f ca="1">ROUND(C32/IF(C1="仅计算典型户型",'数据-取费表'!E5,'数据-取费表'!B5),0)</f>
        <v>24942</v>
      </c>
      <c r="C3" s="35" t="s">
        <v>775</v>
      </c>
      <c r="D3" s="2126"/>
      <c r="E3" s="2126"/>
      <c r="F3" s="2126"/>
      <c r="G3" s="2126"/>
      <c r="H3" s="2126"/>
      <c r="I3" s="2126"/>
      <c r="J3" s="2126"/>
      <c r="K3" s="2126"/>
    </row>
    <row r="4" spans="1:33" s="444" customFormat="1" ht="16.5" customHeight="1">
      <c r="A4" s="441" t="s">
        <v>777</v>
      </c>
      <c r="B4" s="442"/>
      <c r="C4" s="2521">
        <f>SUM(C8:K8)</f>
        <v>4333000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778</v>
      </c>
      <c r="B5" s="446" t="s">
        <v>779</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2263</v>
      </c>
      <c r="B6" s="448" t="s">
        <v>780</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2264</v>
      </c>
      <c r="B7" s="448" t="s">
        <v>781</v>
      </c>
      <c r="C7" s="451">
        <f>IF(C1="仅计算典型户型",'数据-取费表'!E5,'数据-取费表'!B5)</f>
        <v>123.8</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2265</v>
      </c>
      <c r="B8" s="448" t="s">
        <v>782</v>
      </c>
      <c r="C8" s="1086">
        <f>C6*C7</f>
        <v>4333000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783</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778</v>
      </c>
      <c r="B10" s="457" t="s">
        <v>779</v>
      </c>
      <c r="C10" s="458" t="s">
        <v>784</v>
      </c>
      <c r="D10" s="459" t="s">
        <v>785</v>
      </c>
      <c r="E10" s="459" t="s">
        <v>786</v>
      </c>
      <c r="F10" s="459" t="s">
        <v>787</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2810</v>
      </c>
      <c r="B11" s="463" t="s">
        <v>788</v>
      </c>
      <c r="C11" s="464">
        <f>IF(C1="仅计算典型户型",'数据-取费表'!F18,'数据-取费表'!E18)</f>
        <v>309500</v>
      </c>
      <c r="D11" s="465"/>
      <c r="E11" s="287"/>
      <c r="F11" s="466">
        <f>1-'数据-取费表'!E20</f>
        <v>0.28333333333333333</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2811</v>
      </c>
      <c r="B12" s="463" t="s">
        <v>789</v>
      </c>
      <c r="C12" s="197">
        <f>ROUND(C11*F12,0)</f>
        <v>9285</v>
      </c>
      <c r="D12" s="465"/>
      <c r="E12" s="287"/>
      <c r="F12" s="468">
        <f>'数据-取费表'!E21</f>
        <v>0.03</v>
      </c>
      <c r="G12" s="457" t="s">
        <v>790</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2812</v>
      </c>
      <c r="B13" s="463" t="s">
        <v>791</v>
      </c>
      <c r="C13" s="197">
        <f>ROUND(IF('数据-取费表'!B10="住宅",C11*F13,0),0)</f>
        <v>0</v>
      </c>
      <c r="D13" s="465"/>
      <c r="E13" s="287"/>
      <c r="F13" s="468">
        <f>'数据-取费表'!E22</f>
        <v>0</v>
      </c>
      <c r="G13" s="457" t="s">
        <v>792</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2813</v>
      </c>
      <c r="B14" s="463" t="s">
        <v>793</v>
      </c>
      <c r="C14" s="197">
        <f>ROUND(D14*E14*F11,0)</f>
        <v>7015</v>
      </c>
      <c r="D14" s="465">
        <f>IF(C1="仅计算典型户型",'数据-取费表'!E5,'数据-取费表'!B5)</f>
        <v>123.8</v>
      </c>
      <c r="E14" s="197">
        <f>'数据-取费表'!E23</f>
        <v>200</v>
      </c>
      <c r="F14" s="468"/>
      <c r="G14" s="457" t="s">
        <v>794</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2814</v>
      </c>
      <c r="B15" s="463" t="s">
        <v>801</v>
      </c>
      <c r="C15" s="476">
        <f>ROUND(C11*F15,0)</f>
        <v>4643</v>
      </c>
      <c r="D15" s="470"/>
      <c r="E15" s="476"/>
      <c r="F15" s="477">
        <f>'数据-取费表'!E24</f>
        <v>1.4999999999999999E-2</v>
      </c>
      <c r="G15" s="448" t="s">
        <v>802</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2815</v>
      </c>
      <c r="B16" s="3016" t="s">
        <v>2816</v>
      </c>
      <c r="C16" s="464">
        <f>SUM(C11:C15)</f>
        <v>330443</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2817</v>
      </c>
      <c r="B17" s="463" t="s">
        <v>795</v>
      </c>
      <c r="C17" s="197">
        <f>ROUND(D17*E17,0)</f>
        <v>0</v>
      </c>
      <c r="D17" s="465">
        <f>IF(C1="仅计算典型户型",'数据-取费表'!E5,'数据-取费表'!B5)</f>
        <v>123.8</v>
      </c>
      <c r="E17" s="197">
        <f>'数据-取费表'!E16</f>
        <v>0</v>
      </c>
      <c r="F17" s="470"/>
      <c r="G17" s="448" t="s">
        <v>796</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2818</v>
      </c>
      <c r="B18" s="463" t="s">
        <v>797</v>
      </c>
      <c r="C18" s="197">
        <f>C19+C20-'数据-取费表'!E13</f>
        <v>27236</v>
      </c>
      <c r="D18" s="465"/>
      <c r="E18" s="197"/>
      <c r="F18" s="468"/>
      <c r="G18" s="448" t="s">
        <v>798</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2268</v>
      </c>
      <c r="B19" s="463" t="s">
        <v>799</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2269</v>
      </c>
      <c r="B20" s="463" t="s">
        <v>800</v>
      </c>
      <c r="C20" s="197">
        <f>ROUND(D20*E20,0)</f>
        <v>27236</v>
      </c>
      <c r="D20" s="465">
        <f>IF('数据-取费表'!B10&lt;&gt;"住宅",IF(C1="仅计算典型户型",'数据-取费表'!E5,'数据-取费表'!B5),0)</f>
        <v>123.8</v>
      </c>
      <c r="E20" s="197">
        <f>'数据-取费表'!E12</f>
        <v>220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2263</v>
      </c>
      <c r="B21" s="478" t="s">
        <v>803</v>
      </c>
      <c r="C21" s="479">
        <f>C16+C17+C18</f>
        <v>357679</v>
      </c>
      <c r="D21" s="480"/>
      <c r="E21" s="481"/>
      <c r="F21" s="481"/>
      <c r="G21" s="448" t="s">
        <v>2819</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2264</v>
      </c>
      <c r="B22" s="478" t="s">
        <v>804</v>
      </c>
      <c r="C22" s="479">
        <f>ROUND(C21*F22,0)</f>
        <v>7154</v>
      </c>
      <c r="D22" s="481"/>
      <c r="E22" s="481"/>
      <c r="F22" s="482">
        <f>'数据-取费表'!E25</f>
        <v>0.02</v>
      </c>
      <c r="G22" s="457" t="s">
        <v>805</v>
      </c>
      <c r="H22" s="460"/>
      <c r="I22" s="460"/>
      <c r="J22" s="460"/>
      <c r="K22" s="461"/>
      <c r="L22" s="483"/>
      <c r="M22" s="483"/>
      <c r="N22" s="483"/>
    </row>
    <row r="23" spans="1:33" s="467" customFormat="1" ht="13.5" customHeight="1">
      <c r="A23" s="2287" t="s">
        <v>2265</v>
      </c>
      <c r="B23" s="478" t="s">
        <v>806</v>
      </c>
      <c r="C23" s="479">
        <f>ROUND(C4*F23*F11,0)</f>
        <v>24554</v>
      </c>
      <c r="D23" s="481"/>
      <c r="E23" s="481"/>
      <c r="F23" s="482">
        <f>'数据-取费表'!E26</f>
        <v>0.02</v>
      </c>
      <c r="G23" s="457" t="s">
        <v>807</v>
      </c>
      <c r="H23" s="460"/>
      <c r="I23" s="460"/>
      <c r="J23" s="460"/>
      <c r="K23" s="461"/>
    </row>
    <row r="24" spans="1:33" s="467" customFormat="1" ht="13.5" customHeight="1">
      <c r="A24" s="2287" t="s">
        <v>2270</v>
      </c>
      <c r="B24" s="478" t="s">
        <v>808</v>
      </c>
      <c r="C24" s="484">
        <f>ROUND(F24/(1+'数据-取费表'!F30),4)</f>
        <v>2.9000000000000001E-2</v>
      </c>
      <c r="D24" s="485" t="s">
        <v>35</v>
      </c>
      <c r="E24" s="485"/>
      <c r="F24" s="482">
        <f>'数据-取费表'!E36+'数据-取费表'!E37</f>
        <v>3.0499999999999999E-2</v>
      </c>
      <c r="G24" s="3015" t="s">
        <v>2809</v>
      </c>
      <c r="H24" s="487"/>
      <c r="I24" s="487"/>
      <c r="J24" s="487"/>
      <c r="K24" s="488"/>
    </row>
    <row r="25" spans="1:33" s="483" customFormat="1" ht="13.5" customHeight="1">
      <c r="A25" s="2287" t="s">
        <v>2271</v>
      </c>
      <c r="B25" s="480" t="s">
        <v>809</v>
      </c>
      <c r="C25" s="489">
        <f ca="1">C27</f>
        <v>0</v>
      </c>
      <c r="D25" s="484">
        <f ca="1">C26</f>
        <v>0</v>
      </c>
      <c r="E25" s="490" t="s">
        <v>35</v>
      </c>
      <c r="F25" s="491">
        <f ca="1">'数据-取费表'!E27</f>
        <v>4.7500000000000001E-2</v>
      </c>
      <c r="G25" s="448" t="s">
        <v>821</v>
      </c>
      <c r="H25" s="487"/>
      <c r="I25" s="487"/>
      <c r="J25" s="487"/>
      <c r="K25" s="488"/>
    </row>
    <row r="26" spans="1:33" s="497" customFormat="1" ht="13.5" customHeight="1">
      <c r="A26" s="2289" t="s">
        <v>2266</v>
      </c>
      <c r="B26" s="492" t="s">
        <v>810</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2267</v>
      </c>
      <c r="B27" s="492" t="s">
        <v>811</v>
      </c>
      <c r="C27" s="498">
        <f ca="1">ROUND(IF('数据-取费表'!B23&lt;=1,(C21+C22+C23)*F25*'数据-取费表'!B25/2,(C21+C22+C23)*(POWER((1+F25),'数据-取费表'!B25/2)-1)),0)</f>
        <v>0</v>
      </c>
      <c r="D27" s="494"/>
      <c r="E27" s="495"/>
      <c r="F27" s="496"/>
      <c r="G27" s="448" t="s">
        <v>812</v>
      </c>
      <c r="H27" s="471"/>
      <c r="I27" s="471"/>
      <c r="J27" s="471"/>
      <c r="K27" s="472"/>
    </row>
    <row r="28" spans="1:33" s="502" customFormat="1" ht="13.5" customHeight="1">
      <c r="A28" s="2287" t="s">
        <v>2272</v>
      </c>
      <c r="B28" s="499" t="s">
        <v>813</v>
      </c>
      <c r="C28" s="500">
        <f>C30</f>
        <v>58408</v>
      </c>
      <c r="D28" s="484">
        <f>C29</f>
        <v>0.15440000000000001</v>
      </c>
      <c r="E28" s="490" t="s">
        <v>35</v>
      </c>
      <c r="F28" s="501">
        <f>'数据-取费表'!E28</f>
        <v>0.15</v>
      </c>
      <c r="G28" s="486"/>
      <c r="H28" s="487"/>
      <c r="I28" s="487"/>
      <c r="J28" s="487"/>
      <c r="K28" s="488"/>
    </row>
    <row r="29" spans="1:33" s="505" customFormat="1" ht="13.5" customHeight="1">
      <c r="A29" s="2289" t="s">
        <v>2266</v>
      </c>
      <c r="B29" s="503" t="s">
        <v>814</v>
      </c>
      <c r="C29" s="494">
        <f>ROUND((1+C24)*F28,4)</f>
        <v>0.15440000000000001</v>
      </c>
      <c r="D29" s="494"/>
      <c r="E29" s="495"/>
      <c r="F29" s="504"/>
      <c r="G29" s="448" t="s">
        <v>815</v>
      </c>
      <c r="H29" s="471"/>
      <c r="I29" s="471"/>
      <c r="J29" s="471"/>
      <c r="K29" s="472"/>
    </row>
    <row r="30" spans="1:33" s="505" customFormat="1" ht="13.5" customHeight="1">
      <c r="A30" s="2289" t="s">
        <v>2267</v>
      </c>
      <c r="B30" s="503" t="s">
        <v>816</v>
      </c>
      <c r="C30" s="506">
        <f>ROUND((C21+C22+C23)*F28,0)</f>
        <v>58408</v>
      </c>
      <c r="D30" s="494"/>
      <c r="E30" s="507"/>
      <c r="F30" s="504"/>
      <c r="G30" s="448"/>
      <c r="H30" s="471"/>
      <c r="I30" s="471"/>
      <c r="J30" s="471"/>
      <c r="K30" s="472"/>
    </row>
    <row r="31" spans="1:33" s="483" customFormat="1" ht="13.5" customHeight="1" thickBot="1">
      <c r="A31" s="2290" t="s">
        <v>2273</v>
      </c>
      <c r="B31" s="478" t="s">
        <v>817</v>
      </c>
      <c r="C31" s="508">
        <f>ROUND(C4*F31/(1+'数据-取费表'!F30),0)</f>
        <v>231093</v>
      </c>
      <c r="D31" s="453"/>
      <c r="E31" s="509"/>
      <c r="F31" s="510">
        <f>'数据-取费表'!E29</f>
        <v>5.6000000000000001E-2</v>
      </c>
      <c r="G31" s="511" t="s">
        <v>818</v>
      </c>
      <c r="H31" s="512"/>
      <c r="I31" s="512"/>
      <c r="J31" s="512"/>
      <c r="K31" s="513"/>
    </row>
    <row r="32" spans="1:33" s="462" customFormat="1" ht="13.5" customHeight="1" thickBot="1">
      <c r="A32" s="514" t="s">
        <v>819</v>
      </c>
      <c r="B32" s="515"/>
      <c r="C32" s="516">
        <f ca="1">ROUND((C4-C21-C22-C23-C25-C28-C31)/(1+C24+D25+D28),0)</f>
        <v>3087808</v>
      </c>
      <c r="D32" s="515"/>
      <c r="E32" s="515"/>
      <c r="F32" s="515"/>
      <c r="G32" s="517" t="s">
        <v>820</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30" t="s">
        <v>2502</v>
      </c>
      <c r="B1" s="3431"/>
      <c r="C1" s="3432"/>
      <c r="D1" s="3433">
        <f>SUM(I10,I15,I20,I21,I23)</f>
        <v>0</v>
      </c>
      <c r="E1" s="3433"/>
      <c r="F1" s="3433"/>
      <c r="G1" s="3433"/>
      <c r="H1" s="3433"/>
      <c r="I1" s="3434"/>
    </row>
    <row r="2" spans="1:9">
      <c r="A2" s="3420" t="s">
        <v>2503</v>
      </c>
      <c r="B2" s="3421" t="s">
        <v>2452</v>
      </c>
      <c r="C2" s="3421"/>
      <c r="D2" s="2457" t="s">
        <v>2453</v>
      </c>
      <c r="E2" s="2457" t="s">
        <v>2454</v>
      </c>
      <c r="F2" s="2457" t="s">
        <v>2455</v>
      </c>
      <c r="G2" s="2457" t="s">
        <v>2456</v>
      </c>
      <c r="H2" s="2457" t="s">
        <v>2457</v>
      </c>
      <c r="I2" s="2458" t="s">
        <v>2458</v>
      </c>
    </row>
    <row r="3" spans="1:9">
      <c r="A3" s="3420"/>
      <c r="B3" s="3421" t="s">
        <v>2459</v>
      </c>
      <c r="C3" s="3421"/>
      <c r="D3" s="2459"/>
      <c r="E3" s="2457"/>
      <c r="F3" s="2460"/>
      <c r="G3" s="2460"/>
      <c r="H3" s="2461"/>
      <c r="I3" s="2462">
        <f>ROUND(D3*E3*F3*G3*H3/10000,0)</f>
        <v>0</v>
      </c>
    </row>
    <row r="4" spans="1:9">
      <c r="A4" s="3420"/>
      <c r="B4" s="3421" t="s">
        <v>2460</v>
      </c>
      <c r="C4" s="3421"/>
      <c r="D4" s="2459"/>
      <c r="E4" s="2457"/>
      <c r="F4" s="2460"/>
      <c r="G4" s="2460"/>
      <c r="H4" s="2461"/>
      <c r="I4" s="2462">
        <f t="shared" ref="I4:I9" si="0">ROUND(D4*E4*F4*G4*H4/10000,0)</f>
        <v>0</v>
      </c>
    </row>
    <row r="5" spans="1:9">
      <c r="A5" s="3420"/>
      <c r="B5" s="3421" t="s">
        <v>2461</v>
      </c>
      <c r="C5" s="3421"/>
      <c r="D5" s="2459"/>
      <c r="E5" s="2457"/>
      <c r="F5" s="2460"/>
      <c r="G5" s="2460"/>
      <c r="H5" s="2461"/>
      <c r="I5" s="2462">
        <f t="shared" si="0"/>
        <v>0</v>
      </c>
    </row>
    <row r="6" spans="1:9">
      <c r="A6" s="3420"/>
      <c r="B6" s="3421" t="s">
        <v>2462</v>
      </c>
      <c r="C6" s="3421"/>
      <c r="D6" s="2459"/>
      <c r="E6" s="2457"/>
      <c r="F6" s="2460"/>
      <c r="G6" s="2460"/>
      <c r="H6" s="2461"/>
      <c r="I6" s="2462">
        <f t="shared" si="0"/>
        <v>0</v>
      </c>
    </row>
    <row r="7" spans="1:9">
      <c r="A7" s="3420"/>
      <c r="B7" s="3421" t="s">
        <v>2463</v>
      </c>
      <c r="C7" s="3421"/>
      <c r="D7" s="2459"/>
      <c r="E7" s="2457"/>
      <c r="F7" s="2460"/>
      <c r="G7" s="2460"/>
      <c r="H7" s="2461"/>
      <c r="I7" s="2462">
        <f t="shared" si="0"/>
        <v>0</v>
      </c>
    </row>
    <row r="8" spans="1:9">
      <c r="A8" s="3420"/>
      <c r="B8" s="3421" t="s">
        <v>2464</v>
      </c>
      <c r="C8" s="3421"/>
      <c r="D8" s="2459"/>
      <c r="E8" s="2457"/>
      <c r="F8" s="2460"/>
      <c r="G8" s="2460"/>
      <c r="H8" s="2461"/>
      <c r="I8" s="2462">
        <f t="shared" si="0"/>
        <v>0</v>
      </c>
    </row>
    <row r="9" spans="1:9">
      <c r="A9" s="3420"/>
      <c r="B9" s="3421" t="s">
        <v>2465</v>
      </c>
      <c r="C9" s="3421"/>
      <c r="D9" s="2459"/>
      <c r="E9" s="2457"/>
      <c r="F9" s="2460"/>
      <c r="G9" s="2460"/>
      <c r="H9" s="2461"/>
      <c r="I9" s="2462">
        <f t="shared" si="0"/>
        <v>0</v>
      </c>
    </row>
    <row r="10" spans="1:9">
      <c r="A10" s="3420"/>
      <c r="B10" s="3422" t="s">
        <v>2466</v>
      </c>
      <c r="C10" s="3422"/>
      <c r="D10" s="2463">
        <v>527</v>
      </c>
      <c r="E10" s="2463" t="e">
        <f>ROUND(D1*10000/D10/H9,0)</f>
        <v>#DIV/0!</v>
      </c>
      <c r="F10" s="2464"/>
      <c r="G10" s="2464"/>
      <c r="H10" s="2465"/>
      <c r="I10" s="2466">
        <f>SUM(I3:I9)</f>
        <v>0</v>
      </c>
    </row>
    <row r="11" spans="1:9" ht="14.25">
      <c r="A11" s="3420" t="s">
        <v>2504</v>
      </c>
      <c r="B11" s="3421" t="s">
        <v>2467</v>
      </c>
      <c r="C11" s="3421"/>
      <c r="D11" s="2459" t="s">
        <v>2468</v>
      </c>
      <c r="E11" s="2459" t="s">
        <v>2469</v>
      </c>
      <c r="F11" s="2460" t="s">
        <v>2470</v>
      </c>
      <c r="G11" s="2460" t="s">
        <v>2457</v>
      </c>
      <c r="H11" s="2467" t="s">
        <v>2471</v>
      </c>
      <c r="I11" s="2458" t="s">
        <v>2458</v>
      </c>
    </row>
    <row r="12" spans="1:9">
      <c r="A12" s="3420"/>
      <c r="B12" s="3421" t="s">
        <v>2472</v>
      </c>
      <c r="C12" s="3421"/>
      <c r="D12" s="2459"/>
      <c r="E12" s="2459"/>
      <c r="F12" s="2460"/>
      <c r="G12" s="2461"/>
      <c r="H12" s="2468"/>
      <c r="I12" s="2458">
        <f>ROUND(D12*E12*F12*G12/10000,0)</f>
        <v>0</v>
      </c>
    </row>
    <row r="13" spans="1:9">
      <c r="A13" s="3420"/>
      <c r="B13" s="3421" t="s">
        <v>2473</v>
      </c>
      <c r="C13" s="3421"/>
      <c r="D13" s="2459"/>
      <c r="E13" s="2459"/>
      <c r="F13" s="2460"/>
      <c r="G13" s="2461"/>
      <c r="H13" s="2468"/>
      <c r="I13" s="2458">
        <f>ROUND(D13*E13*F13*G13/10000,0)</f>
        <v>0</v>
      </c>
    </row>
    <row r="14" spans="1:9">
      <c r="A14" s="3420"/>
      <c r="B14" s="3421" t="s">
        <v>2474</v>
      </c>
      <c r="C14" s="3421"/>
      <c r="D14" s="2459"/>
      <c r="E14" s="2459"/>
      <c r="F14" s="2460"/>
      <c r="G14" s="2461"/>
      <c r="H14" s="2468"/>
      <c r="I14" s="2458">
        <f>ROUND(D14*E14*F14*G14/10000,0)</f>
        <v>0</v>
      </c>
    </row>
    <row r="15" spans="1:9">
      <c r="A15" s="3420"/>
      <c r="B15" s="3422" t="s">
        <v>2466</v>
      </c>
      <c r="C15" s="3422"/>
      <c r="D15" s="2463"/>
      <c r="E15" s="2463">
        <f>SUM(E12:E14)</f>
        <v>0</v>
      </c>
      <c r="F15" s="2464"/>
      <c r="G15" s="2461"/>
      <c r="H15" s="2468"/>
      <c r="I15" s="2469">
        <f>SUM(I12:I14)</f>
        <v>0</v>
      </c>
    </row>
    <row r="16" spans="1:9" ht="24">
      <c r="A16" s="3420" t="s">
        <v>2505</v>
      </c>
      <c r="B16" s="3421" t="s">
        <v>2475</v>
      </c>
      <c r="C16" s="3421"/>
      <c r="D16" s="2459" t="s">
        <v>2453</v>
      </c>
      <c r="E16" s="2470" t="s">
        <v>2476</v>
      </c>
      <c r="F16" s="2460" t="s">
        <v>2477</v>
      </c>
      <c r="G16" s="2461" t="s">
        <v>2457</v>
      </c>
      <c r="H16" s="2467" t="s">
        <v>2471</v>
      </c>
      <c r="I16" s="2458" t="s">
        <v>2458</v>
      </c>
    </row>
    <row r="17" spans="1:9" ht="14.25">
      <c r="A17" s="3420"/>
      <c r="B17" s="3421" t="s">
        <v>2478</v>
      </c>
      <c r="C17" s="3421"/>
      <c r="D17" s="2459"/>
      <c r="E17" s="2459"/>
      <c r="F17" s="2460"/>
      <c r="G17" s="2461"/>
      <c r="H17" s="2471"/>
      <c r="I17" s="2472">
        <f>ROUND(D17*E17*F17*G17/10000,0)</f>
        <v>0</v>
      </c>
    </row>
    <row r="18" spans="1:9" ht="14.25">
      <c r="A18" s="3420"/>
      <c r="B18" s="3421" t="s">
        <v>2479</v>
      </c>
      <c r="C18" s="3421"/>
      <c r="D18" s="2459"/>
      <c r="E18" s="2459"/>
      <c r="F18" s="2460"/>
      <c r="G18" s="2461"/>
      <c r="H18" s="2471"/>
      <c r="I18" s="2472">
        <f>ROUND(D18*E18*F18*G18/10000,0)</f>
        <v>0</v>
      </c>
    </row>
    <row r="19" spans="1:9" ht="14.25">
      <c r="A19" s="3420"/>
      <c r="B19" s="3421" t="s">
        <v>2480</v>
      </c>
      <c r="C19" s="3421"/>
      <c r="D19" s="2459"/>
      <c r="E19" s="2459"/>
      <c r="F19" s="2460"/>
      <c r="G19" s="2461"/>
      <c r="H19" s="2471"/>
      <c r="I19" s="2472">
        <f>ROUND(D19*E19*F19*G19/10000,0)</f>
        <v>0</v>
      </c>
    </row>
    <row r="20" spans="1:9">
      <c r="A20" s="3420"/>
      <c r="B20" s="3422" t="s">
        <v>2466</v>
      </c>
      <c r="C20" s="3422"/>
      <c r="D20" s="2463">
        <f>SUM(D17:D19)</f>
        <v>0</v>
      </c>
      <c r="E20" s="2463"/>
      <c r="F20" s="2464"/>
      <c r="G20" s="2461"/>
      <c r="H20" s="2468"/>
      <c r="I20" s="2469">
        <f>SUM(I17:I19)</f>
        <v>0</v>
      </c>
    </row>
    <row r="21" spans="1:9">
      <c r="A21" s="3420" t="s">
        <v>2506</v>
      </c>
      <c r="B21" s="3423"/>
      <c r="C21" s="3423"/>
      <c r="D21" s="3423"/>
      <c r="E21" s="3423"/>
      <c r="F21" s="3423"/>
      <c r="G21" s="3423"/>
      <c r="H21" s="2473">
        <v>0.1</v>
      </c>
      <c r="I21" s="2466">
        <f>ROUND(I10*H21,0)</f>
        <v>0</v>
      </c>
    </row>
    <row r="22" spans="1:9" ht="14.25">
      <c r="A22" s="3424" t="s">
        <v>2507</v>
      </c>
      <c r="B22" s="3425"/>
      <c r="C22" s="3426"/>
      <c r="D22" s="2474" t="s">
        <v>2481</v>
      </c>
      <c r="E22" s="2474" t="s">
        <v>2482</v>
      </c>
      <c r="F22" s="2475" t="s">
        <v>2457</v>
      </c>
      <c r="G22" s="2475" t="s">
        <v>2483</v>
      </c>
      <c r="H22" s="2467" t="s">
        <v>2471</v>
      </c>
      <c r="I22" s="2458" t="s">
        <v>2458</v>
      </c>
    </row>
    <row r="23" spans="1:9" ht="14.25" thickBot="1">
      <c r="A23" s="3427"/>
      <c r="B23" s="3428"/>
      <c r="C23" s="3429"/>
      <c r="D23" s="2476"/>
      <c r="E23" s="2476"/>
      <c r="F23" s="2476"/>
      <c r="G23" s="2477"/>
      <c r="H23" s="2478"/>
      <c r="I23" s="2479">
        <f>ROUND(E23*D23*F23*(1-G23)/10000,0)</f>
        <v>0</v>
      </c>
    </row>
    <row r="26" spans="1:9">
      <c r="A26" s="2480" t="s">
        <v>2484</v>
      </c>
      <c r="B26" s="2480"/>
      <c r="C26" s="2480"/>
      <c r="D26" s="2480"/>
      <c r="E26" s="3417">
        <f>C27-C30-C31-C32</f>
        <v>0</v>
      </c>
      <c r="F26" s="3417"/>
      <c r="G26" s="3417"/>
      <c r="H26" s="3014" t="s">
        <v>2808</v>
      </c>
    </row>
    <row r="27" spans="1:9">
      <c r="A27" s="2481">
        <v>1</v>
      </c>
      <c r="B27" s="2482" t="s">
        <v>2485</v>
      </c>
      <c r="C27" s="2482">
        <f>C28+C29</f>
        <v>0</v>
      </c>
      <c r="D27" s="2482"/>
      <c r="E27" s="3418"/>
      <c r="F27" s="3418"/>
      <c r="G27" s="3418"/>
    </row>
    <row r="28" spans="1:9">
      <c r="A28" s="2483" t="s">
        <v>2486</v>
      </c>
      <c r="B28" s="2482" t="s">
        <v>2487</v>
      </c>
      <c r="C28" s="2482"/>
      <c r="D28" s="2482"/>
      <c r="E28" s="3418"/>
      <c r="F28" s="3418"/>
      <c r="G28" s="3418"/>
    </row>
    <row r="29" spans="1:9">
      <c r="A29" s="2483" t="s">
        <v>2488</v>
      </c>
      <c r="B29" s="2482" t="s">
        <v>2489</v>
      </c>
      <c r="C29" s="2482"/>
      <c r="D29" s="2482"/>
      <c r="E29" s="2482" t="s">
        <v>2490</v>
      </c>
      <c r="F29" s="2482"/>
      <c r="G29" s="2482"/>
    </row>
    <row r="30" spans="1:9">
      <c r="A30" s="2481">
        <v>2</v>
      </c>
      <c r="B30" s="2482" t="s">
        <v>2491</v>
      </c>
      <c r="C30" s="2482">
        <f>C27*D30</f>
        <v>0</v>
      </c>
      <c r="D30" s="2484">
        <v>0.2</v>
      </c>
      <c r="E30" s="2482" t="s">
        <v>2492</v>
      </c>
      <c r="F30" s="2482"/>
      <c r="G30" s="2482"/>
    </row>
    <row r="31" spans="1:9">
      <c r="A31" s="2481">
        <v>3</v>
      </c>
      <c r="B31" s="2482" t="s">
        <v>2493</v>
      </c>
      <c r="C31" s="2482">
        <f>C25*D31</f>
        <v>0</v>
      </c>
      <c r="D31" s="2484">
        <v>0.15</v>
      </c>
      <c r="E31" s="2482" t="s">
        <v>2494</v>
      </c>
      <c r="F31" s="2482"/>
      <c r="G31" s="2482"/>
    </row>
    <row r="32" spans="1:9">
      <c r="A32" s="2481">
        <v>4</v>
      </c>
      <c r="B32" s="2482" t="s">
        <v>2495</v>
      </c>
      <c r="C32" s="2482">
        <f>C27*D32</f>
        <v>0</v>
      </c>
      <c r="D32" s="2484">
        <v>0.05</v>
      </c>
      <c r="E32" s="3419"/>
      <c r="F32" s="3419"/>
      <c r="G32" s="3419"/>
    </row>
    <row r="33" spans="1:7" hidden="1">
      <c r="A33" s="3414" t="s">
        <v>2496</v>
      </c>
      <c r="B33" s="3415"/>
      <c r="C33" s="3415"/>
      <c r="D33" s="3416"/>
      <c r="E33" s="3417"/>
      <c r="F33" s="3417"/>
      <c r="G33" s="3417"/>
    </row>
    <row r="34" spans="1:7" hidden="1">
      <c r="A34" s="2485">
        <v>1</v>
      </c>
      <c r="B34" s="2482" t="s">
        <v>2497</v>
      </c>
      <c r="C34" s="2482"/>
      <c r="D34" s="2482"/>
      <c r="E34" s="3418"/>
      <c r="F34" s="3418"/>
      <c r="G34" s="3418"/>
    </row>
    <row r="35" spans="1:7" hidden="1">
      <c r="A35" s="2485">
        <v>2</v>
      </c>
      <c r="B35" s="2482" t="s">
        <v>2498</v>
      </c>
      <c r="C35" s="2482"/>
      <c r="D35" s="2482"/>
      <c r="E35" s="3418"/>
      <c r="F35" s="3418"/>
      <c r="G35" s="3418"/>
    </row>
    <row r="36" spans="1:7" hidden="1">
      <c r="A36" s="2485">
        <v>3</v>
      </c>
      <c r="B36" s="2482" t="s">
        <v>2499</v>
      </c>
      <c r="C36" s="2482"/>
      <c r="D36" s="2482"/>
      <c r="E36" s="3418"/>
      <c r="F36" s="3418"/>
      <c r="G36" s="3418"/>
    </row>
    <row r="37" spans="1:7" hidden="1">
      <c r="A37" s="2485">
        <v>4</v>
      </c>
      <c r="B37" s="2482" t="s">
        <v>2500</v>
      </c>
      <c r="C37" s="2482"/>
      <c r="D37" s="2482"/>
      <c r="E37" s="3418"/>
      <c r="F37" s="3418"/>
      <c r="G37" s="3418"/>
    </row>
    <row r="38" spans="1:7" hidden="1">
      <c r="A38" s="3414" t="s">
        <v>2501</v>
      </c>
      <c r="B38" s="3415"/>
      <c r="C38" s="3415"/>
      <c r="D38" s="3416"/>
      <c r="E38" s="3417"/>
      <c r="F38" s="3417"/>
      <c r="G38" s="34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N23" sqref="N23"/>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2199</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万元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f ca="1">B24</f>
        <v>42725</v>
      </c>
      <c r="C3" s="2020" t="s">
        <v>2207</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438" t="s">
        <v>534</v>
      </c>
      <c r="D4" s="3439"/>
      <c r="E4" s="3439"/>
      <c r="F4" s="3439"/>
      <c r="G4" s="3439"/>
      <c r="H4" s="3439"/>
      <c r="I4" s="3439"/>
      <c r="J4" s="3439"/>
      <c r="K4" s="3439"/>
      <c r="L4" s="3439"/>
      <c r="M4" s="3439"/>
      <c r="N4" s="3439"/>
      <c r="O4" s="3439"/>
      <c r="P4" s="3439"/>
      <c r="Q4" s="3439"/>
      <c r="R4" s="3439"/>
      <c r="S4" s="3440"/>
      <c r="T4" s="966" t="s">
        <v>535</v>
      </c>
      <c r="U4" s="2304"/>
      <c r="V4" s="2304"/>
      <c r="X4" s="2304"/>
      <c r="Y4" s="2304"/>
    </row>
    <row r="5" spans="1:44" s="980" customFormat="1">
      <c r="A5" s="2322"/>
      <c r="B5" s="975" t="s">
        <v>536</v>
      </c>
      <c r="C5" s="976" t="str">
        <f t="shared" ref="C5:L5" si="0">C6&amp;"(含)"&amp;"-"&amp;D6</f>
        <v>100(含)-500</v>
      </c>
      <c r="D5" s="977" t="str">
        <f t="shared" si="0"/>
        <v>500(含)-1000</v>
      </c>
      <c r="E5" s="977" t="str">
        <f t="shared" si="0"/>
        <v>1000(含)-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v>100</v>
      </c>
      <c r="D6" s="983">
        <v>500</v>
      </c>
      <c r="E6" s="983">
        <v>1000</v>
      </c>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v>100</v>
      </c>
      <c r="D7" s="1995">
        <v>98</v>
      </c>
      <c r="E7" s="1995">
        <v>96</v>
      </c>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ht="24">
      <c r="A8" s="2325"/>
      <c r="B8" s="2006" t="s">
        <v>2222</v>
      </c>
      <c r="C8" s="3533" t="s">
        <v>2966</v>
      </c>
      <c r="D8" s="3534" t="s">
        <v>2968</v>
      </c>
      <c r="E8" s="1999"/>
      <c r="F8" s="1999"/>
      <c r="G8" s="1999"/>
      <c r="H8" s="1999"/>
      <c r="I8" s="1999"/>
      <c r="J8" s="1999"/>
      <c r="K8" s="1999"/>
      <c r="L8" s="2000"/>
      <c r="M8" s="2001"/>
      <c r="N8" s="2001"/>
      <c r="O8" s="1999"/>
      <c r="P8" s="1999"/>
      <c r="Q8" s="1999"/>
      <c r="R8" s="1999"/>
      <c r="S8" s="2059"/>
      <c r="T8" s="2002">
        <v>5</v>
      </c>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95</v>
      </c>
      <c r="E9" s="1990">
        <f t="shared" si="7"/>
        <v>90</v>
      </c>
      <c r="F9" s="1990">
        <f t="shared" si="7"/>
        <v>85</v>
      </c>
      <c r="G9" s="1990">
        <f t="shared" si="7"/>
        <v>80</v>
      </c>
      <c r="H9" s="1990">
        <f t="shared" si="7"/>
        <v>75</v>
      </c>
      <c r="I9" s="1990">
        <f t="shared" si="7"/>
        <v>70</v>
      </c>
      <c r="J9" s="1990">
        <f t="shared" si="7"/>
        <v>65</v>
      </c>
      <c r="K9" s="1990">
        <f t="shared" si="7"/>
        <v>60</v>
      </c>
      <c r="L9" s="1990">
        <f t="shared" si="7"/>
        <v>55</v>
      </c>
      <c r="M9" s="1991">
        <f t="shared" si="7"/>
        <v>50</v>
      </c>
      <c r="N9" s="1991">
        <f t="shared" si="7"/>
        <v>45</v>
      </c>
      <c r="O9" s="1990">
        <f t="shared" si="7"/>
        <v>40</v>
      </c>
      <c r="P9" s="1990">
        <f t="shared" si="7"/>
        <v>35</v>
      </c>
      <c r="Q9" s="1990">
        <f t="shared" si="7"/>
        <v>30</v>
      </c>
      <c r="R9" s="1990">
        <f t="shared" si="7"/>
        <v>25</v>
      </c>
      <c r="S9" s="2060">
        <f t="shared" si="7"/>
        <v>20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2223</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2224</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2225</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2295</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2296</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2294</v>
      </c>
      <c r="B20" s="2327" t="s">
        <v>2293</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2912</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2205</v>
      </c>
      <c r="B23" s="526" t="e">
        <f ca="1">IF(F23="——",IF(C23="万元",T25-H23,T25),IF(C23="元",S25-H23,S25))</f>
        <v>#REF!</v>
      </c>
      <c r="C23" s="2018" t="str">
        <f>'数据-取费表'!B3</f>
        <v>万元</v>
      </c>
      <c r="D23" s="301"/>
      <c r="E23" s="301"/>
      <c r="F23" s="3115" t="s">
        <v>2898</v>
      </c>
      <c r="G23" s="3116"/>
      <c r="H23" s="966" t="e">
        <f ca="1">SUMIF(INDIRECT("'"&amp;J23&amp;"'"&amp;"!A:A"),"承租人权益价值",INDIRECT("'"&amp;J23&amp;"'"&amp;"!c:c"))</f>
        <v>#REF!</v>
      </c>
      <c r="I23" s="966" t="str">
        <f>C2</f>
        <v>万元</v>
      </c>
      <c r="J23" s="3117"/>
      <c r="K23" s="301"/>
      <c r="L23" s="301"/>
      <c r="M23" s="301"/>
      <c r="N23" s="301"/>
      <c r="O23" s="301"/>
      <c r="P23" s="301"/>
      <c r="Q23" s="301"/>
      <c r="R23" s="1209"/>
      <c r="S23" s="270"/>
      <c r="T23" s="270"/>
      <c r="V23" s="2305"/>
      <c r="W23" s="1278"/>
      <c r="X23" s="219"/>
      <c r="Y23" s="219"/>
      <c r="Z23" s="1278"/>
    </row>
    <row r="24" spans="1:45" ht="15.75">
      <c r="A24" s="2018" t="s">
        <v>2206</v>
      </c>
      <c r="B24" s="526">
        <f ca="1">R25</f>
        <v>42725</v>
      </c>
      <c r="C24" s="1969"/>
      <c r="D24" s="301"/>
      <c r="E24" s="301"/>
      <c r="F24" s="301"/>
      <c r="G24" s="301"/>
      <c r="H24" s="301"/>
      <c r="I24" s="301"/>
      <c r="J24" s="301"/>
      <c r="K24" s="301"/>
      <c r="L24" s="301"/>
      <c r="M24" s="301"/>
      <c r="N24" s="301"/>
      <c r="O24" s="301"/>
      <c r="P24" s="301"/>
      <c r="Q24" s="301"/>
      <c r="R24" s="1209"/>
      <c r="S24" s="2012" t="s">
        <v>2197</v>
      </c>
      <c r="T24" s="2344" t="s">
        <v>2196</v>
      </c>
      <c r="U24" s="2347" t="s">
        <v>2281</v>
      </c>
      <c r="V24" s="2348"/>
      <c r="W24" s="2346" t="s">
        <v>2284</v>
      </c>
      <c r="X24" s="2347" t="s">
        <v>2279</v>
      </c>
      <c r="Y24" s="2348"/>
      <c r="Z24" s="2345" t="s">
        <v>2284</v>
      </c>
    </row>
    <row r="25" spans="1:45">
      <c r="A25" s="552" t="s">
        <v>537</v>
      </c>
      <c r="B25" s="197">
        <f>SUM(B27:B10000)</f>
        <v>900.64</v>
      </c>
      <c r="C25" s="3435" t="s">
        <v>174</v>
      </c>
      <c r="D25" s="3436"/>
      <c r="E25" s="3436"/>
      <c r="F25" s="3436"/>
      <c r="G25" s="3436"/>
      <c r="H25" s="3436"/>
      <c r="I25" s="3436"/>
      <c r="J25" s="3436"/>
      <c r="K25" s="3436"/>
      <c r="L25" s="3436"/>
      <c r="M25" s="3436"/>
      <c r="N25" s="3436"/>
      <c r="O25" s="3436"/>
      <c r="P25" s="3436"/>
      <c r="Q25" s="3437"/>
      <c r="R25" s="991">
        <f ca="1">IF(C23="万元",ROUND(T25*10000/B25,0),ROUND(S25/B25,0))</f>
        <v>42725</v>
      </c>
      <c r="S25" s="197">
        <f ca="1">SUM(S27:S10000)</f>
        <v>38476073</v>
      </c>
      <c r="T25" s="197">
        <f ca="1">SUM(T27:T10000)</f>
        <v>3848</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2198</v>
      </c>
      <c r="U26" s="2306" t="s">
        <v>2282</v>
      </c>
      <c r="V26" s="2307" t="s">
        <v>2283</v>
      </c>
      <c r="W26" s="2300" t="s">
        <v>2280</v>
      </c>
      <c r="X26" s="2306" t="s">
        <v>2282</v>
      </c>
      <c r="Y26" s="2307" t="s">
        <v>2283</v>
      </c>
      <c r="Z26" s="2300" t="s">
        <v>2280</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123.8</v>
      </c>
      <c r="C27" s="994">
        <v>1</v>
      </c>
      <c r="D27" s="995" t="s">
        <v>2967</v>
      </c>
      <c r="E27" s="994">
        <v>1</v>
      </c>
      <c r="F27" s="995"/>
      <c r="G27" s="994">
        <v>1</v>
      </c>
      <c r="H27" s="995"/>
      <c r="I27" s="994">
        <v>1</v>
      </c>
      <c r="J27" s="995"/>
      <c r="K27" s="994">
        <v>1</v>
      </c>
      <c r="L27" s="995"/>
      <c r="M27" s="994">
        <v>1</v>
      </c>
      <c r="N27" s="995"/>
      <c r="O27" s="994">
        <v>1</v>
      </c>
      <c r="P27" s="995"/>
      <c r="Q27" s="994">
        <v>1</v>
      </c>
      <c r="R27" s="2050">
        <f ca="1">'结果表 (1修多)'!G20</f>
        <v>41678</v>
      </c>
      <c r="S27" s="994">
        <f ca="1">ROUND(R27*B27,0)</f>
        <v>5159736</v>
      </c>
      <c r="T27" s="994">
        <f ca="1">ROUND(R27*B27/10000,0)</f>
        <v>516</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v>776.84</v>
      </c>
      <c r="C28" s="197">
        <f t="shared" ref="C28:C91" si="14">IF(B28="",1,(LOOKUP(B28,$6:$6,$7:$7)-LOOKUP($B$27,$6:$6,$7:$7)+100)/100)</f>
        <v>0.98</v>
      </c>
      <c r="D28" s="995" t="s">
        <v>2961</v>
      </c>
      <c r="E28" s="197">
        <f t="shared" ref="E28:E91" si="15">(SUMIF($8:$8,D28,$9:$9)-SUMIF($8:$8,$D$27,$9:$9)+100)/100</f>
        <v>1.05</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 ca="1">IF(B28="",0,ROUND($R$27*C28*E28*G28*I28*K28*M28*O28*Q28,0))</f>
        <v>42887</v>
      </c>
      <c r="S28" s="552">
        <f ca="1">ROUND(R28*B28,0)</f>
        <v>33316337</v>
      </c>
      <c r="T28" s="2013">
        <f ca="1">ROUND(R28*B28/10000,0)</f>
        <v>3332</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0.05</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0.05</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0.05</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0.05</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0.05</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0.05</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0.05</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0.05</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0.05</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0.05</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0.05</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0.05</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0.05</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0.05</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0.05</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0.05</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0.05</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0.05</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0.05</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0.05</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0.05</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0.05</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0.05</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0.05</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0.05</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0.05</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0.05</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0.05</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0.05</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0.05</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0.05</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0.05</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0.05</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0.05</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0.05</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0.05</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0.05</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0.05</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0.05</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0.05</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0.05</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0.05</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0.05</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0.05</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0.05</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0.05</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0.05</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0.05</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0.05</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0.05</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0.05</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0.05</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0.05</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0.05</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0.05</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0.05</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0.05</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0.05</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0.05</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0.05</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0.05</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0.05</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0.05</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0.05</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0.05</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0.05</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0.05</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0.05</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0.05</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0.05</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0.05</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0.05</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0.05</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0.05</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0.05</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0.05</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0.05</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0.05</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0.05</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0.05</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0.05</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0.05</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0.05</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0.05</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0.05</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0.05</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0.05</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0.05</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0.05</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0.05</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0.05</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0.05</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0.05</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0.05</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0.05</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0.05</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0.05</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0.05</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0.05</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0.05</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0.05</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0.05</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0.05</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0.05</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0.05</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0.05</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0.05</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0.05</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0.05</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0.05</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0.05</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0.05</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0.05</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0.05</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0.05</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0.05</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0.05</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0.05</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0.05</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0.05</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0.05</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0.05</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0.05</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0.05</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0.05</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0.05</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0.05</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0.05</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0.05</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0.05</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0.05</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0.05</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0.05</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0.05</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0.05</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0.05</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0.05</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0.05</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0.05</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0.05</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0.05</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0.05</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0.05</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0.05</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0.05</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0.05</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0.05</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0.05</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0.05</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0.05</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0.05</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0.05</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0.05</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0.05</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0.05</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0.05</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0.05</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0.05</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0.05</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0.05</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0.05</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0.05</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0.05</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0.05</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0.05</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0.05</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0.05</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0.05</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0.05</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0.05</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0.05</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0.05</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0.05</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0.05</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0.05</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0.05</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0.05</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0.05</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0.05</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0.05</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0.05</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0.05</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0.05</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0.05</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0.05</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0.05</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0.05</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0.05</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0.05</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0.05</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0.05</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0.05</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0.05</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0.05</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0.05</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0.05</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0.05</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0.05</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0.05</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0.05</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0.05</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0.05</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0.05</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0.05</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0.05</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0.05</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0.05</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0.05</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0.05</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0.05</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0.05</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0.05</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0.05</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0.05</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0.05</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0.05</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0.05</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0.05</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0.05</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0.05</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0.05</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0.05</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0.05</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0.05</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0.05</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0.05</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0.05</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0.05</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0.05</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0.05</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0.05</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0.05</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0.05</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0.05</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0.05</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0.05</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0.05</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0.05</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0.05</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0.05</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0.05</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0.05</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0.05</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0.05</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0.05</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0.05</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0.05</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0.05</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0.05</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0.05</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0.05</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0.05</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0.05</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0.05</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0.05</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0.05</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0.05</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0.05</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0.05</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0.05</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0.05</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0.05</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0.05</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0.05</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0.05</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0.05</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0.05</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0.05</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0.05</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0.05</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0.05</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0.05</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0.05</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0.05</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0.05</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0.05</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0.05</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0.05</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0.05</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0.05</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0.05</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0.05</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0.05</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0.05</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0.05</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0.05</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0.05</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0.05</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0.05</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0.05</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0.05</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0.05</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0.05</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0.05</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0.05</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0.05</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0.05</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0.05</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0.05</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0.05</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0.05</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0.05</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0.05</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0.05</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0.05</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0.05</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0.05</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0.05</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0.05</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0.05</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0.05</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0.05</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0.05</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0.05</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0.05</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0.05</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0.05</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0.05</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0.05</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0.05</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0.05</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0.05</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0.05</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0.05</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0.05</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0.05</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0.05</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0.05</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0.05</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0.05</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0.05</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0.05</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0.05</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0.05</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0.05</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0.05</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0.05</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0.05</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0.05</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0.05</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0.05</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0.05</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0.05</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0.05</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0.05</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0.05</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0.05</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0.05</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0.05</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0.05</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0.05</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0.05</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0.05</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0.05</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0.05</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0.05</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0.05</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0.05</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0.05</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0.05</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0.05</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0.05</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0.05</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0.05</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0.05</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0.05</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0.05</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0.05</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0.05</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0.05</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0.05</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0.05</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0.05</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0.05</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0.05</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0.05</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0.05</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0.05</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0.05</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0.05</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0.05</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0.05</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0.05</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0.05</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0.05</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0.05</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0.05</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0.05</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0.05</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0.05</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0.05</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0.05</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0.05</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0.05</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0.05</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0.05</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0.05</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0.05</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0.05</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0.05</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0.05</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0.05</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0.05</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0.05</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0.05</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0.05</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0.05</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0.05</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0.05</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0.05</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0.05</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0.05</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0.05</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0.05</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0.05</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0.05</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0.05</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0.05</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0.05</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0.05</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0.05</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0.05</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0.05</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0.05</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0.05</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0.05</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0.05</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0.05</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0.05</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0.05</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0.05</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0.05</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0.05</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0.05</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0.05</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0.05</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0.05</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0.05</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0.05</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0.05</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0.05</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0.05</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0.05</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0.05</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0.05</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0.05</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0.05</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0.05</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0.05</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0.05</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0.05</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0.05</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0.05</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0.05</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0.05</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0.05</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0.05</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0.05</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0.05</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0.05</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0.05</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0.05</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0.05</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0.05</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0.05</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0.05</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0.05</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0.05</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0.05</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0.05</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0.05</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0.05</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0.05</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0.05</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0.05</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0.05</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0.05</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0.05</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0.05</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0.05</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0.05</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0.05</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0.05</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0.05</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0.05</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0.05</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0.05</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0.05</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0.05</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0.05</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0.05</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0.05</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0.05</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0.05</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0.05</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0.05</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0.05</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0.05</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0.05</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2" sqref="G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896</v>
      </c>
      <c r="B1" s="2890" t="s">
        <v>897</v>
      </c>
      <c r="C1" s="2891"/>
      <c r="D1" s="2892"/>
      <c r="E1" s="2893"/>
      <c r="F1" s="2894" t="s">
        <v>898</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899</v>
      </c>
      <c r="B2" s="2885" t="e">
        <f ca="1">IF(D2="——",IF(C2="元",ROUND(C49*D3,0),ROUND(C49*D3/10000,0)),IF(C2="元",ROUND(C49*D3,0),ROUND(C49*D3/10000,0))-E2)</f>
        <v>#DIV/0!</v>
      </c>
      <c r="C2" s="32" t="str">
        <f>'数据-取费表'!B3</f>
        <v>万元</v>
      </c>
      <c r="D2" s="2886"/>
      <c r="E2" s="3034" t="e">
        <f ca="1">SUMIF(INDIRECT("'"&amp;G2&amp;"'"&amp;"!A:A"),"承租人权益价值",INDIRECT("'"&amp;G2&amp;"'"&amp;"!c:c"))</f>
        <v>#REF!</v>
      </c>
      <c r="F2" s="2887" t="str">
        <f>C2</f>
        <v>万元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900</v>
      </c>
      <c r="B3" s="596" t="e">
        <f ca="1">ROUND(IF(D2="——",C49,IF(C2="万元",B2*10000/D3,B2/D3)),0)</f>
        <v>#DIV/0!</v>
      </c>
      <c r="C3" s="89" t="s">
        <v>901</v>
      </c>
      <c r="D3" s="596">
        <f>IF(C1="仅计算典型户型",'数据-取费表'!E5,'数据-取费表'!B5)</f>
        <v>123.8</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902</v>
      </c>
      <c r="B4" s="91"/>
      <c r="C4" s="3380" t="s">
        <v>903</v>
      </c>
      <c r="D4" s="3381"/>
      <c r="E4" s="3382" t="s">
        <v>904</v>
      </c>
      <c r="F4" s="3383"/>
      <c r="G4" s="3380" t="s">
        <v>905</v>
      </c>
      <c r="H4" s="3381"/>
      <c r="I4" s="3380" t="s">
        <v>906</v>
      </c>
      <c r="J4" s="3381"/>
      <c r="K4" s="92" t="s">
        <v>907</v>
      </c>
      <c r="L4" s="2162"/>
      <c r="M4" s="2163"/>
      <c r="N4" s="2163"/>
      <c r="O4" s="2163"/>
      <c r="P4" s="3450" t="s">
        <v>902</v>
      </c>
      <c r="Q4" s="3373"/>
      <c r="R4" s="3366" t="s">
        <v>904</v>
      </c>
      <c r="S4" s="3367"/>
      <c r="T4" s="3366" t="s">
        <v>905</v>
      </c>
      <c r="U4" s="3367"/>
      <c r="V4" s="3388" t="s">
        <v>906</v>
      </c>
      <c r="W4" s="3388"/>
      <c r="X4" s="1133"/>
      <c r="Y4" s="3366" t="s">
        <v>902</v>
      </c>
      <c r="Z4" s="3367"/>
      <c r="AA4" s="3377" t="s">
        <v>904</v>
      </c>
      <c r="AB4" s="3377" t="s">
        <v>905</v>
      </c>
      <c r="AC4" s="3377" t="s">
        <v>906</v>
      </c>
    </row>
    <row r="5" spans="1:29">
      <c r="A5" s="93"/>
      <c r="B5" s="94"/>
      <c r="C5" s="3391" t="s">
        <v>908</v>
      </c>
      <c r="D5" s="3392"/>
      <c r="E5" s="3389" t="s">
        <v>909</v>
      </c>
      <c r="F5" s="3390"/>
      <c r="G5" s="3391" t="s">
        <v>910</v>
      </c>
      <c r="H5" s="3392"/>
      <c r="I5" s="3391" t="s">
        <v>911</v>
      </c>
      <c r="J5" s="3392"/>
      <c r="K5" s="99"/>
      <c r="L5" s="2162"/>
      <c r="M5" s="2163"/>
      <c r="N5" s="2163"/>
      <c r="O5" s="2163"/>
      <c r="P5" s="3451"/>
      <c r="Q5" s="3374"/>
      <c r="R5" s="3368"/>
      <c r="S5" s="3369"/>
      <c r="T5" s="3368"/>
      <c r="U5" s="3369"/>
      <c r="V5" s="3388"/>
      <c r="W5" s="3388"/>
      <c r="X5" s="1133"/>
      <c r="Y5" s="3368"/>
      <c r="Z5" s="3369"/>
      <c r="AA5" s="3378"/>
      <c r="AB5" s="3378"/>
      <c r="AC5" s="3378"/>
    </row>
    <row r="6" spans="1:29" ht="14.25" thickBot="1">
      <c r="A6" s="95"/>
      <c r="B6" s="96"/>
      <c r="C6" s="3393" t="s">
        <v>912</v>
      </c>
      <c r="D6" s="3394"/>
      <c r="E6" s="3395" t="s">
        <v>912</v>
      </c>
      <c r="F6" s="3396"/>
      <c r="G6" s="3393" t="s">
        <v>912</v>
      </c>
      <c r="H6" s="3394"/>
      <c r="I6" s="3393" t="s">
        <v>912</v>
      </c>
      <c r="J6" s="3394"/>
      <c r="K6" s="99" t="s">
        <v>913</v>
      </c>
      <c r="L6" s="2162"/>
      <c r="M6" s="2163"/>
      <c r="N6" s="2163"/>
      <c r="O6" s="2163"/>
      <c r="P6" s="3452"/>
      <c r="Q6" s="3387"/>
      <c r="R6" s="3368"/>
      <c r="S6" s="3369"/>
      <c r="T6" s="3370"/>
      <c r="U6" s="3371"/>
      <c r="V6" s="3388"/>
      <c r="W6" s="3388"/>
      <c r="X6" s="1133"/>
      <c r="Y6" s="3370"/>
      <c r="Z6" s="3371"/>
      <c r="AA6" s="3379"/>
      <c r="AB6" s="3379"/>
      <c r="AC6" s="3379"/>
    </row>
    <row r="7" spans="1:29" s="11" customFormat="1" ht="15" thickBot="1">
      <c r="A7" s="872" t="s">
        <v>914</v>
      </c>
      <c r="B7" s="873"/>
      <c r="C7" s="874">
        <f>'数据-取费表'!B2</f>
        <v>42992</v>
      </c>
      <c r="D7" s="608">
        <v>100</v>
      </c>
      <c r="E7" s="875"/>
      <c r="F7" s="610">
        <f>SUMIF(58:58,YEAR(E7)&amp;"-"&amp;MONTH(E7),59:59)</f>
        <v>0</v>
      </c>
      <c r="G7" s="875"/>
      <c r="H7" s="608">
        <f>SUMIF(58:58,YEAR(G7)&amp;"-"&amp;MONTH(G7),59:59)</f>
        <v>0</v>
      </c>
      <c r="I7" s="875"/>
      <c r="J7" s="608">
        <f>SUMIF(58:58,YEAR(I7)&amp;"-"&amp;MONTH(I7),59:59)</f>
        <v>0</v>
      </c>
      <c r="K7" s="1134"/>
      <c r="L7" s="2164"/>
      <c r="M7" s="2106"/>
      <c r="N7" s="2106"/>
      <c r="O7" s="2106"/>
      <c r="P7" s="3364" t="s">
        <v>914</v>
      </c>
      <c r="Q7" s="3372"/>
      <c r="R7" s="1135" t="s">
        <v>117</v>
      </c>
      <c r="S7" s="1136">
        <f t="shared" ref="S7:S15" si="0">F7</f>
        <v>0</v>
      </c>
      <c r="T7" s="1135" t="s">
        <v>117</v>
      </c>
      <c r="U7" s="1136">
        <f t="shared" ref="U7:U15" si="1">H7</f>
        <v>0</v>
      </c>
      <c r="V7" s="1135" t="s">
        <v>117</v>
      </c>
      <c r="W7" s="1136">
        <f t="shared" ref="W7:W15" si="2">J7</f>
        <v>0</v>
      </c>
      <c r="X7" s="184"/>
      <c r="Y7" s="3364" t="s">
        <v>914</v>
      </c>
      <c r="Z7" s="3365"/>
      <c r="AA7" s="1137" t="e">
        <f>D7/F7</f>
        <v>#DIV/0!</v>
      </c>
      <c r="AB7" s="1137" t="e">
        <f>D7/H7</f>
        <v>#DIV/0!</v>
      </c>
      <c r="AC7" s="1137" t="e">
        <f>D7/J7</f>
        <v>#DIV/0!</v>
      </c>
    </row>
    <row r="8" spans="1:29" s="11" customFormat="1" ht="15" thickBot="1">
      <c r="A8" s="872" t="s">
        <v>915</v>
      </c>
      <c r="B8" s="873"/>
      <c r="C8" s="878" t="s">
        <v>916</v>
      </c>
      <c r="D8" s="608">
        <v>100</v>
      </c>
      <c r="E8" s="1138"/>
      <c r="F8" s="610">
        <f>SUMIF(61:61,E8,62:62)-SUMIF(61:61,C8,62:62)+100</f>
        <v>0</v>
      </c>
      <c r="G8" s="878"/>
      <c r="H8" s="608">
        <f>SUMIF(61:61,G8,62:62)-SUMIF(61:61,C8,62:62)+100</f>
        <v>0</v>
      </c>
      <c r="I8" s="1138"/>
      <c r="J8" s="608">
        <f>SUMIF(61:61,I8,62:62)-SUMIF(61:61,C8,62:62)+100</f>
        <v>0</v>
      </c>
      <c r="K8" s="1134"/>
      <c r="L8" s="2164"/>
      <c r="M8" s="2106"/>
      <c r="N8" s="2106"/>
      <c r="O8" s="2106"/>
      <c r="P8" s="3364" t="s">
        <v>915</v>
      </c>
      <c r="Q8" s="3365"/>
      <c r="R8" s="1135" t="s">
        <v>117</v>
      </c>
      <c r="S8" s="1136">
        <f t="shared" si="0"/>
        <v>0</v>
      </c>
      <c r="T8" s="1135" t="s">
        <v>117</v>
      </c>
      <c r="U8" s="1136">
        <f t="shared" si="1"/>
        <v>0</v>
      </c>
      <c r="V8" s="1135" t="s">
        <v>117</v>
      </c>
      <c r="W8" s="1136">
        <f t="shared" si="2"/>
        <v>0</v>
      </c>
      <c r="X8" s="184"/>
      <c r="Y8" s="3364" t="s">
        <v>915</v>
      </c>
      <c r="Z8" s="3365"/>
      <c r="AA8" s="1137" t="e">
        <f t="shared" ref="AA8:AA46" si="3">D8/F8</f>
        <v>#DIV/0!</v>
      </c>
      <c r="AB8" s="1137" t="e">
        <f t="shared" ref="AB8:AB46" si="4">D8/H8</f>
        <v>#DIV/0!</v>
      </c>
      <c r="AC8" s="1137" t="e">
        <f t="shared" ref="AC8:AC46" si="5">D8/J8</f>
        <v>#DIV/0!</v>
      </c>
    </row>
    <row r="9" spans="1:29" s="11" customFormat="1" ht="14.25">
      <c r="A9" s="879" t="s">
        <v>917</v>
      </c>
      <c r="B9" s="20" t="s">
        <v>918</v>
      </c>
      <c r="C9" s="1139"/>
      <c r="D9" s="234">
        <v>100</v>
      </c>
      <c r="E9" s="1140"/>
      <c r="F9" s="616">
        <f>SUMIF(63:63,E9,64:64)-SUMIF(63:63,C9,64:64)+100</f>
        <v>100</v>
      </c>
      <c r="G9" s="1141"/>
      <c r="H9" s="234">
        <f>SUMIF(63:63,G9,64:64)-SUMIF(63:63,C9,64:64)+100</f>
        <v>100</v>
      </c>
      <c r="I9" s="1141"/>
      <c r="J9" s="234">
        <f>SUMIF(63:63,I9,64:64)-SUMIF(63:63,C9,64:64)+100</f>
        <v>100</v>
      </c>
      <c r="K9" s="1134"/>
      <c r="L9" s="2164"/>
      <c r="M9" s="2106"/>
      <c r="N9" s="2106"/>
      <c r="O9" s="2106"/>
      <c r="P9" s="3449" t="s">
        <v>63</v>
      </c>
      <c r="Q9" s="2" t="str">
        <f t="shared" ref="Q9:Q15" si="6">B9</f>
        <v>用途</v>
      </c>
      <c r="R9" s="1135" t="s">
        <v>61</v>
      </c>
      <c r="S9" s="1136">
        <f t="shared" si="0"/>
        <v>100</v>
      </c>
      <c r="T9" s="1135" t="s">
        <v>61</v>
      </c>
      <c r="U9" s="1136">
        <f t="shared" si="1"/>
        <v>100</v>
      </c>
      <c r="V9" s="1135" t="s">
        <v>61</v>
      </c>
      <c r="W9" s="1136">
        <f t="shared" si="2"/>
        <v>100</v>
      </c>
      <c r="X9" s="184"/>
      <c r="Y9" s="321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65"/>
      <c r="M10" s="2166"/>
      <c r="N10" s="2166"/>
      <c r="O10" s="2166"/>
      <c r="P10" s="3449"/>
      <c r="Q10" s="2" t="str">
        <f t="shared" si="6"/>
        <v>土地使用年限（年）</v>
      </c>
      <c r="R10" s="1135" t="s">
        <v>61</v>
      </c>
      <c r="S10" s="1136">
        <f t="shared" si="0"/>
        <v>100</v>
      </c>
      <c r="T10" s="1135" t="s">
        <v>61</v>
      </c>
      <c r="U10" s="1136">
        <f t="shared" si="1"/>
        <v>100</v>
      </c>
      <c r="V10" s="1135" t="s">
        <v>61</v>
      </c>
      <c r="W10" s="1136">
        <f t="shared" si="2"/>
        <v>100</v>
      </c>
      <c r="X10" s="184"/>
      <c r="Y10" s="3216"/>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7"/>
      <c r="M11" s="2163"/>
      <c r="N11" s="2163"/>
      <c r="O11" s="2163"/>
      <c r="P11" s="3449"/>
      <c r="Q11" s="2" t="str">
        <f t="shared" si="6"/>
        <v>容积率</v>
      </c>
      <c r="R11" s="1135" t="s">
        <v>99</v>
      </c>
      <c r="S11" s="1136" t="e">
        <f t="shared" si="0"/>
        <v>#N/A</v>
      </c>
      <c r="T11" s="1135" t="s">
        <v>99</v>
      </c>
      <c r="U11" s="1136" t="e">
        <f t="shared" si="1"/>
        <v>#N/A</v>
      </c>
      <c r="V11" s="1135" t="s">
        <v>99</v>
      </c>
      <c r="W11" s="1136" t="e">
        <f t="shared" si="2"/>
        <v>#N/A</v>
      </c>
      <c r="X11" s="184"/>
      <c r="Y11" s="3216"/>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49"/>
      <c r="Q12" s="2">
        <f t="shared" si="6"/>
        <v>111</v>
      </c>
      <c r="R12" s="1135" t="s">
        <v>99</v>
      </c>
      <c r="S12" s="1136">
        <f t="shared" si="0"/>
        <v>100</v>
      </c>
      <c r="T12" s="1135" t="s">
        <v>99</v>
      </c>
      <c r="U12" s="1136">
        <f t="shared" si="1"/>
        <v>100</v>
      </c>
      <c r="V12" s="1135" t="s">
        <v>99</v>
      </c>
      <c r="W12" s="1136">
        <f t="shared" si="2"/>
        <v>100</v>
      </c>
      <c r="X12" s="184"/>
      <c r="Y12" s="3216"/>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49"/>
      <c r="Q13" s="2">
        <f t="shared" si="6"/>
        <v>111</v>
      </c>
      <c r="R13" s="1135" t="s">
        <v>99</v>
      </c>
      <c r="S13" s="1136">
        <f t="shared" si="0"/>
        <v>100</v>
      </c>
      <c r="T13" s="1135" t="s">
        <v>99</v>
      </c>
      <c r="U13" s="1136">
        <f t="shared" si="1"/>
        <v>100</v>
      </c>
      <c r="V13" s="1135" t="s">
        <v>99</v>
      </c>
      <c r="W13" s="1136">
        <f t="shared" si="2"/>
        <v>100</v>
      </c>
      <c r="X13" s="184"/>
      <c r="Y13" s="3216"/>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49"/>
      <c r="Q14" s="2">
        <f t="shared" si="6"/>
        <v>111</v>
      </c>
      <c r="R14" s="1135" t="s">
        <v>99</v>
      </c>
      <c r="S14" s="1136">
        <f t="shared" si="0"/>
        <v>100</v>
      </c>
      <c r="T14" s="1135" t="s">
        <v>99</v>
      </c>
      <c r="U14" s="1136">
        <f t="shared" si="1"/>
        <v>100</v>
      </c>
      <c r="V14" s="1135" t="s">
        <v>99</v>
      </c>
      <c r="W14" s="1136">
        <f t="shared" si="2"/>
        <v>100</v>
      </c>
      <c r="X14" s="184"/>
      <c r="Y14" s="3216"/>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68"/>
      <c r="M15" s="2163"/>
      <c r="N15" s="2163"/>
      <c r="O15" s="2163"/>
      <c r="P15" s="3444" t="s">
        <v>65</v>
      </c>
      <c r="Q15" s="1145" t="str">
        <f t="shared" si="6"/>
        <v>居住社区成熟度</v>
      </c>
      <c r="R15" s="1146" t="s">
        <v>99</v>
      </c>
      <c r="S15" s="1147">
        <f t="shared" si="0"/>
        <v>100</v>
      </c>
      <c r="T15" s="1146" t="s">
        <v>99</v>
      </c>
      <c r="U15" s="1147">
        <f t="shared" si="1"/>
        <v>100</v>
      </c>
      <c r="V15" s="1146" t="s">
        <v>99</v>
      </c>
      <c r="W15" s="1147">
        <f t="shared" si="2"/>
        <v>100</v>
      </c>
      <c r="X15" s="1133"/>
      <c r="Y15" s="3375"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68"/>
      <c r="M16" s="2163"/>
      <c r="N16" s="2163"/>
      <c r="O16" s="2163"/>
      <c r="P16" s="3445"/>
      <c r="Q16" s="1145"/>
      <c r="R16" s="1146"/>
      <c r="S16" s="1147"/>
      <c r="T16" s="1146"/>
      <c r="U16" s="1147"/>
      <c r="V16" s="1146"/>
      <c r="W16" s="1147"/>
      <c r="X16" s="1133"/>
      <c r="Y16" s="3376"/>
      <c r="Z16" s="1148"/>
      <c r="AA16" s="1149">
        <v>1</v>
      </c>
      <c r="AB16" s="1149">
        <v>1</v>
      </c>
      <c r="AC16" s="1149">
        <v>1</v>
      </c>
    </row>
    <row r="17" spans="1:29" ht="81">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45"/>
      <c r="Q17" s="1145" t="str">
        <f>B17</f>
        <v>交通便捷度</v>
      </c>
      <c r="R17" s="1146" t="s">
        <v>99</v>
      </c>
      <c r="S17" s="1147">
        <f>F17</f>
        <v>100</v>
      </c>
      <c r="T17" s="1146" t="s">
        <v>99</v>
      </c>
      <c r="U17" s="1147">
        <f>H17</f>
        <v>100</v>
      </c>
      <c r="V17" s="1146" t="s">
        <v>99</v>
      </c>
      <c r="W17" s="1147">
        <f>J17</f>
        <v>100</v>
      </c>
      <c r="X17" s="1133"/>
      <c r="Y17" s="337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68"/>
      <c r="M18" s="2163"/>
      <c r="N18" s="2163"/>
      <c r="O18" s="2163"/>
      <c r="P18" s="3445"/>
      <c r="Q18" s="1145"/>
      <c r="R18" s="1146"/>
      <c r="S18" s="1147"/>
      <c r="T18" s="1146"/>
      <c r="U18" s="1147"/>
      <c r="V18" s="1146"/>
      <c r="W18" s="1147"/>
      <c r="X18" s="1133"/>
      <c r="Y18" s="3376"/>
      <c r="Z18" s="1148"/>
      <c r="AA18" s="1149">
        <v>1</v>
      </c>
      <c r="AB18" s="1149">
        <v>1</v>
      </c>
      <c r="AC18" s="1149">
        <v>1</v>
      </c>
    </row>
    <row r="19" spans="1:29" ht="40.5">
      <c r="A19" s="98"/>
      <c r="B19" s="1150" t="s">
        <v>2534</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45"/>
      <c r="Q19" s="1145" t="str">
        <f>B19</f>
        <v>公共配套设施</v>
      </c>
      <c r="R19" s="1146" t="s">
        <v>99</v>
      </c>
      <c r="S19" s="1147">
        <f>F19</f>
        <v>100</v>
      </c>
      <c r="T19" s="1146" t="s">
        <v>99</v>
      </c>
      <c r="U19" s="1147">
        <f>H19</f>
        <v>100</v>
      </c>
      <c r="V19" s="1146" t="s">
        <v>99</v>
      </c>
      <c r="W19" s="1147">
        <f>J19</f>
        <v>100</v>
      </c>
      <c r="X19" s="1133"/>
      <c r="Y19" s="337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68"/>
      <c r="M20" s="2163"/>
      <c r="N20" s="2163"/>
      <c r="O20" s="2163"/>
      <c r="P20" s="3445"/>
      <c r="Q20" s="1145"/>
      <c r="R20" s="1146"/>
      <c r="S20" s="1147"/>
      <c r="T20" s="1146"/>
      <c r="U20" s="1147"/>
      <c r="V20" s="1146"/>
      <c r="W20" s="1147"/>
      <c r="X20" s="1133"/>
      <c r="Y20" s="3376"/>
      <c r="Z20" s="1148"/>
      <c r="AA20" s="1149">
        <v>1</v>
      </c>
      <c r="AB20" s="1149">
        <v>1</v>
      </c>
      <c r="AC20" s="1149">
        <v>1</v>
      </c>
    </row>
    <row r="21" spans="1:29" ht="27">
      <c r="A21" s="98"/>
      <c r="B21" s="1205" t="s">
        <v>2535</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45"/>
      <c r="Q21" s="2548" t="str">
        <f>B21</f>
        <v>基础设施水平</v>
      </c>
      <c r="R21" s="1146" t="s">
        <v>99</v>
      </c>
      <c r="S21" s="1147">
        <f>F21</f>
        <v>100</v>
      </c>
      <c r="T21" s="1146" t="s">
        <v>99</v>
      </c>
      <c r="U21" s="1147">
        <f>H21</f>
        <v>100</v>
      </c>
      <c r="V21" s="1146" t="s">
        <v>99</v>
      </c>
      <c r="W21" s="1147">
        <f>J21</f>
        <v>100</v>
      </c>
      <c r="X21" s="2546"/>
      <c r="Y21" s="337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7"/>
      <c r="L22" s="2168"/>
      <c r="M22" s="2163"/>
      <c r="N22" s="2163"/>
      <c r="O22" s="2163"/>
      <c r="P22" s="3445"/>
      <c r="Q22" s="2548"/>
      <c r="R22" s="1146"/>
      <c r="S22" s="1147"/>
      <c r="T22" s="1146"/>
      <c r="U22" s="1147"/>
      <c r="V22" s="1146"/>
      <c r="W22" s="1147"/>
      <c r="X22" s="2546"/>
      <c r="Y22" s="3376"/>
      <c r="Z22" s="2547"/>
      <c r="AA22" s="1149">
        <v>1</v>
      </c>
      <c r="AB22" s="1149">
        <v>1</v>
      </c>
      <c r="AC22" s="1149">
        <v>1</v>
      </c>
    </row>
    <row r="23" spans="1:29" ht="54">
      <c r="A23" s="98"/>
      <c r="B23" s="1150" t="s">
        <v>68</v>
      </c>
      <c r="C23" s="108"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45"/>
      <c r="Q23" s="1145" t="str">
        <f>B23</f>
        <v>自然及人文环境</v>
      </c>
      <c r="R23" s="1146" t="s">
        <v>99</v>
      </c>
      <c r="S23" s="1147">
        <f>F23</f>
        <v>100</v>
      </c>
      <c r="T23" s="1146" t="s">
        <v>99</v>
      </c>
      <c r="U23" s="1147">
        <f>H23</f>
        <v>100</v>
      </c>
      <c r="V23" s="1146" t="s">
        <v>99</v>
      </c>
      <c r="W23" s="1147">
        <f>J23</f>
        <v>100</v>
      </c>
      <c r="X23" s="1133"/>
      <c r="Y23" s="337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68"/>
      <c r="M24" s="2163"/>
      <c r="N24" s="2163"/>
      <c r="O24" s="2163"/>
      <c r="P24" s="3445"/>
      <c r="Q24" s="1145"/>
      <c r="R24" s="1146"/>
      <c r="S24" s="1147"/>
      <c r="T24" s="1146"/>
      <c r="U24" s="1147"/>
      <c r="V24" s="1146"/>
      <c r="W24" s="1147"/>
      <c r="X24" s="1133"/>
      <c r="Y24" s="3376"/>
      <c r="Z24" s="1148"/>
      <c r="AA24" s="1149">
        <v>1</v>
      </c>
      <c r="AB24" s="1149">
        <v>1</v>
      </c>
      <c r="AC24" s="1149">
        <v>1</v>
      </c>
    </row>
    <row r="25" spans="1:29" ht="15">
      <c r="A25" s="98"/>
      <c r="B25" s="4" t="s">
        <v>2192</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45"/>
      <c r="Q25" s="1145" t="str">
        <f t="shared" ref="Q25:Q46" si="11">B25</f>
        <v>楼层-1</v>
      </c>
      <c r="R25" s="1146" t="s">
        <v>99</v>
      </c>
      <c r="S25" s="1147">
        <f>F25</f>
        <v>100</v>
      </c>
      <c r="T25" s="1146" t="s">
        <v>99</v>
      </c>
      <c r="U25" s="1147">
        <f>H25</f>
        <v>100</v>
      </c>
      <c r="V25" s="1146" t="s">
        <v>99</v>
      </c>
      <c r="W25" s="1147">
        <f>J25</f>
        <v>100</v>
      </c>
      <c r="X25" s="1133"/>
      <c r="Y25" s="3376"/>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68"/>
      <c r="M26" s="2163"/>
      <c r="N26" s="2163"/>
      <c r="O26" s="2163"/>
      <c r="P26" s="3445"/>
      <c r="Q26" s="1145" t="str">
        <f t="shared" si="11"/>
        <v>朝向</v>
      </c>
      <c r="R26" s="1146" t="s">
        <v>99</v>
      </c>
      <c r="S26" s="1147">
        <f>F26</f>
        <v>100</v>
      </c>
      <c r="T26" s="1146" t="s">
        <v>99</v>
      </c>
      <c r="U26" s="1147">
        <f>H26</f>
        <v>100</v>
      </c>
      <c r="V26" s="1146" t="s">
        <v>99</v>
      </c>
      <c r="W26" s="1147">
        <f>J26</f>
        <v>100</v>
      </c>
      <c r="X26" s="1133"/>
      <c r="Y26" s="3376"/>
      <c r="Z26" s="1148" t="str">
        <f>Q26</f>
        <v>朝向</v>
      </c>
      <c r="AA26" s="1149">
        <f t="shared" si="3"/>
        <v>1</v>
      </c>
      <c r="AB26" s="1149">
        <f t="shared" si="4"/>
        <v>1</v>
      </c>
      <c r="AC26" s="1149">
        <f t="shared" si="5"/>
        <v>1</v>
      </c>
    </row>
    <row r="27" spans="1:29" s="11" customFormat="1" ht="14.25">
      <c r="A27" s="888"/>
      <c r="B27" s="889" t="s">
        <v>919</v>
      </c>
      <c r="C27" s="882"/>
      <c r="D27" s="661">
        <v>100</v>
      </c>
      <c r="E27" s="885"/>
      <c r="F27" s="663">
        <f>SUMIF(90:90,E27,91:91)-SUMIF(90:90,C27,91:91)+100</f>
        <v>100</v>
      </c>
      <c r="G27" s="884"/>
      <c r="H27" s="661">
        <f>SUMIF(90:90,G27,91:91)-SUMIF(90:90,C27,91:91)+100</f>
        <v>100</v>
      </c>
      <c r="I27" s="885"/>
      <c r="J27" s="661">
        <f>SUMIF(90:90,I27,91:91)-SUMIF(90:90,C27,91:91)+100</f>
        <v>100</v>
      </c>
      <c r="K27" s="100"/>
      <c r="L27" s="2164"/>
      <c r="M27" s="2106"/>
      <c r="N27" s="2106"/>
      <c r="O27" s="2106"/>
      <c r="P27" s="3445"/>
      <c r="Q27" s="2" t="str">
        <f t="shared" si="11"/>
        <v>道路级别</v>
      </c>
      <c r="R27" s="1135" t="s">
        <v>99</v>
      </c>
      <c r="S27" s="1136">
        <f>F27</f>
        <v>100</v>
      </c>
      <c r="T27" s="1135" t="s">
        <v>99</v>
      </c>
      <c r="U27" s="1136">
        <f>H27</f>
        <v>100</v>
      </c>
      <c r="V27" s="1135" t="s">
        <v>99</v>
      </c>
      <c r="W27" s="1136">
        <f>J27</f>
        <v>100</v>
      </c>
      <c r="X27" s="184"/>
      <c r="Y27" s="3376"/>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45"/>
      <c r="Q28" s="1145">
        <f t="shared" si="11"/>
        <v>111</v>
      </c>
      <c r="R28" s="1146" t="s">
        <v>99</v>
      </c>
      <c r="S28" s="1147">
        <f t="shared" ref="S28:S46" si="12">F28</f>
        <v>100</v>
      </c>
      <c r="T28" s="1146" t="s">
        <v>99</v>
      </c>
      <c r="U28" s="1147">
        <f t="shared" ref="U28:U46" si="13">H28</f>
        <v>100</v>
      </c>
      <c r="V28" s="1146" t="s">
        <v>99</v>
      </c>
      <c r="W28" s="1147">
        <f t="shared" ref="W28:W46" si="14">J28</f>
        <v>100</v>
      </c>
      <c r="X28" s="1133"/>
      <c r="Y28" s="3376"/>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45"/>
      <c r="Q29" s="1145">
        <f t="shared" si="11"/>
        <v>111</v>
      </c>
      <c r="R29" s="1146" t="s">
        <v>99</v>
      </c>
      <c r="S29" s="1147">
        <f t="shared" si="12"/>
        <v>100</v>
      </c>
      <c r="T29" s="1146" t="s">
        <v>99</v>
      </c>
      <c r="U29" s="1147">
        <f t="shared" si="13"/>
        <v>100</v>
      </c>
      <c r="V29" s="1146" t="s">
        <v>99</v>
      </c>
      <c r="W29" s="1147">
        <f t="shared" si="14"/>
        <v>100</v>
      </c>
      <c r="X29" s="1133"/>
      <c r="Y29" s="337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45"/>
      <c r="Q30" s="1145">
        <f t="shared" si="11"/>
        <v>111</v>
      </c>
      <c r="R30" s="1146" t="s">
        <v>99</v>
      </c>
      <c r="S30" s="1147">
        <f t="shared" si="12"/>
        <v>100</v>
      </c>
      <c r="T30" s="1146" t="s">
        <v>99</v>
      </c>
      <c r="U30" s="1147">
        <f t="shared" si="13"/>
        <v>100</v>
      </c>
      <c r="V30" s="1146" t="s">
        <v>99</v>
      </c>
      <c r="W30" s="1147">
        <f t="shared" si="14"/>
        <v>100</v>
      </c>
      <c r="X30" s="1133"/>
      <c r="Y30" s="3376"/>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45"/>
      <c r="Q31" s="1145">
        <f t="shared" si="11"/>
        <v>111</v>
      </c>
      <c r="R31" s="1146" t="s">
        <v>99</v>
      </c>
      <c r="S31" s="1147">
        <f t="shared" si="12"/>
        <v>100</v>
      </c>
      <c r="T31" s="1146" t="s">
        <v>99</v>
      </c>
      <c r="U31" s="1147">
        <f t="shared" si="13"/>
        <v>100</v>
      </c>
      <c r="V31" s="1146" t="s">
        <v>99</v>
      </c>
      <c r="W31" s="1147">
        <f t="shared" si="14"/>
        <v>100</v>
      </c>
      <c r="X31" s="1133"/>
      <c r="Y31" s="3376"/>
      <c r="Z31" s="1148">
        <f t="shared" si="15"/>
        <v>111</v>
      </c>
      <c r="AA31" s="1149">
        <f t="shared" si="3"/>
        <v>1</v>
      </c>
      <c r="AB31" s="1149">
        <f t="shared" si="4"/>
        <v>1</v>
      </c>
      <c r="AC31" s="1149">
        <f t="shared" si="5"/>
        <v>1</v>
      </c>
    </row>
    <row r="32" spans="1:29" ht="15">
      <c r="A32" s="105" t="s">
        <v>920</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68"/>
      <c r="M32" s="2163"/>
      <c r="N32" s="2163"/>
      <c r="O32" s="2163"/>
      <c r="P32" s="3446" t="s">
        <v>66</v>
      </c>
      <c r="Q32" s="1145" t="str">
        <f t="shared" si="11"/>
        <v>建筑类型</v>
      </c>
      <c r="R32" s="1146" t="s">
        <v>99</v>
      </c>
      <c r="S32" s="1147">
        <f t="shared" si="12"/>
        <v>100</v>
      </c>
      <c r="T32" s="1146" t="s">
        <v>99</v>
      </c>
      <c r="U32" s="1147">
        <f t="shared" si="13"/>
        <v>100</v>
      </c>
      <c r="V32" s="1146" t="s">
        <v>99</v>
      </c>
      <c r="W32" s="1147">
        <f t="shared" si="14"/>
        <v>100</v>
      </c>
      <c r="X32" s="1133"/>
      <c r="Y32" s="3362"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67"/>
      <c r="M33" s="2169"/>
      <c r="N33" s="2169"/>
      <c r="O33" s="2169"/>
      <c r="P33" s="3447"/>
      <c r="Q33" s="1153" t="str">
        <f t="shared" si="11"/>
        <v>项目建筑规模</v>
      </c>
      <c r="R33" s="1154" t="s">
        <v>99</v>
      </c>
      <c r="S33" s="1155" t="e">
        <f t="shared" si="12"/>
        <v>#N/A</v>
      </c>
      <c r="T33" s="1154" t="s">
        <v>99</v>
      </c>
      <c r="U33" s="1155" t="e">
        <f t="shared" si="13"/>
        <v>#N/A</v>
      </c>
      <c r="V33" s="1154" t="s">
        <v>99</v>
      </c>
      <c r="W33" s="1155" t="e">
        <f t="shared" si="14"/>
        <v>#N/A</v>
      </c>
      <c r="X33" s="1156"/>
      <c r="Y33" s="3362"/>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68"/>
      <c r="M34" s="2163"/>
      <c r="N34" s="2163"/>
      <c r="O34" s="2163"/>
      <c r="P34" s="3447"/>
      <c r="Q34" s="1145" t="str">
        <f t="shared" si="11"/>
        <v>建筑结构</v>
      </c>
      <c r="R34" s="1146" t="s">
        <v>99</v>
      </c>
      <c r="S34" s="1147">
        <f t="shared" si="12"/>
        <v>100</v>
      </c>
      <c r="T34" s="1146" t="s">
        <v>99</v>
      </c>
      <c r="U34" s="1147">
        <f t="shared" si="13"/>
        <v>100</v>
      </c>
      <c r="V34" s="1146" t="s">
        <v>99</v>
      </c>
      <c r="W34" s="1147">
        <f t="shared" si="14"/>
        <v>100</v>
      </c>
      <c r="X34" s="1133"/>
      <c r="Y34" s="3362"/>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8"/>
      <c r="M35" s="2163"/>
      <c r="N35" s="2163"/>
      <c r="O35" s="2163"/>
      <c r="P35" s="3447"/>
      <c r="Q35" s="1145" t="str">
        <f t="shared" si="11"/>
        <v>建筑品质</v>
      </c>
      <c r="R35" s="1146" t="s">
        <v>99</v>
      </c>
      <c r="S35" s="1147">
        <f t="shared" si="12"/>
        <v>100</v>
      </c>
      <c r="T35" s="1146" t="s">
        <v>99</v>
      </c>
      <c r="U35" s="1147">
        <f t="shared" si="13"/>
        <v>100</v>
      </c>
      <c r="V35" s="1146" t="s">
        <v>99</v>
      </c>
      <c r="W35" s="1147">
        <f t="shared" si="14"/>
        <v>100</v>
      </c>
      <c r="X35" s="1133"/>
      <c r="Y35" s="3362"/>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68"/>
      <c r="M36" s="2163"/>
      <c r="N36" s="2163"/>
      <c r="O36" s="2163"/>
      <c r="P36" s="3447"/>
      <c r="Q36" s="1145" t="str">
        <f t="shared" si="11"/>
        <v>公共部分装修</v>
      </c>
      <c r="R36" s="1146" t="s">
        <v>99</v>
      </c>
      <c r="S36" s="1147">
        <f t="shared" si="12"/>
        <v>100</v>
      </c>
      <c r="T36" s="1146" t="s">
        <v>99</v>
      </c>
      <c r="U36" s="1147">
        <f t="shared" si="13"/>
        <v>100</v>
      </c>
      <c r="V36" s="1146" t="s">
        <v>99</v>
      </c>
      <c r="W36" s="1147">
        <f t="shared" si="14"/>
        <v>100</v>
      </c>
      <c r="X36" s="1133"/>
      <c r="Y36" s="3362"/>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64"/>
      <c r="M37" s="2106"/>
      <c r="N37" s="2106"/>
      <c r="O37" s="2106"/>
      <c r="P37" s="3447"/>
      <c r="Q37" s="2" t="str">
        <f t="shared" si="11"/>
        <v>成新度</v>
      </c>
      <c r="R37" s="1135" t="s">
        <v>99</v>
      </c>
      <c r="S37" s="1136" t="e">
        <f t="shared" si="12"/>
        <v>#N/A</v>
      </c>
      <c r="T37" s="1135" t="s">
        <v>99</v>
      </c>
      <c r="U37" s="1136" t="e">
        <f t="shared" si="13"/>
        <v>#N/A</v>
      </c>
      <c r="V37" s="1135" t="s">
        <v>99</v>
      </c>
      <c r="W37" s="1136" t="e">
        <f t="shared" si="14"/>
        <v>#N/A</v>
      </c>
      <c r="X37" s="184"/>
      <c r="Y37" s="3362"/>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68"/>
      <c r="M38" s="2163"/>
      <c r="N38" s="2163"/>
      <c r="O38" s="2163"/>
      <c r="P38" s="3447" t="s">
        <v>66</v>
      </c>
      <c r="Q38" s="1145" t="str">
        <f t="shared" si="11"/>
        <v>物业管理</v>
      </c>
      <c r="R38" s="1146" t="s">
        <v>99</v>
      </c>
      <c r="S38" s="1147">
        <f t="shared" si="12"/>
        <v>100</v>
      </c>
      <c r="T38" s="1146" t="s">
        <v>99</v>
      </c>
      <c r="U38" s="1147">
        <f t="shared" si="13"/>
        <v>100</v>
      </c>
      <c r="V38" s="1146" t="s">
        <v>99</v>
      </c>
      <c r="W38" s="1147">
        <f t="shared" si="14"/>
        <v>100</v>
      </c>
      <c r="X38" s="1133"/>
      <c r="Y38" s="3362" t="s">
        <v>66</v>
      </c>
      <c r="Z38" s="1148" t="str">
        <f t="shared" si="15"/>
        <v>物业管理</v>
      </c>
      <c r="AA38" s="1149">
        <f t="shared" si="3"/>
        <v>1</v>
      </c>
      <c r="AB38" s="1149">
        <f t="shared" si="4"/>
        <v>1</v>
      </c>
      <c r="AC38" s="1149">
        <f t="shared" si="5"/>
        <v>1</v>
      </c>
    </row>
    <row r="39" spans="1:29" ht="15">
      <c r="A39" s="111"/>
      <c r="B39" s="4" t="s">
        <v>2540</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68"/>
      <c r="M39" s="2163"/>
      <c r="N39" s="2163"/>
      <c r="O39" s="2163"/>
      <c r="P39" s="3447"/>
      <c r="Q39" s="1145" t="str">
        <f t="shared" si="11"/>
        <v>市政基础设施</v>
      </c>
      <c r="R39" s="1146" t="s">
        <v>99</v>
      </c>
      <c r="S39" s="1147">
        <f t="shared" si="12"/>
        <v>100</v>
      </c>
      <c r="T39" s="1146" t="s">
        <v>99</v>
      </c>
      <c r="U39" s="1147">
        <f t="shared" si="13"/>
        <v>100</v>
      </c>
      <c r="V39" s="1146" t="s">
        <v>99</v>
      </c>
      <c r="W39" s="1147">
        <f t="shared" si="14"/>
        <v>100</v>
      </c>
      <c r="X39" s="1133"/>
      <c r="Y39" s="3362"/>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47"/>
      <c r="Q40" s="1145" t="str">
        <f t="shared" si="11"/>
        <v>房型</v>
      </c>
      <c r="R40" s="1146" t="s">
        <v>99</v>
      </c>
      <c r="S40" s="1147">
        <f t="shared" si="12"/>
        <v>100</v>
      </c>
      <c r="T40" s="1146" t="s">
        <v>99</v>
      </c>
      <c r="U40" s="1147">
        <f t="shared" si="13"/>
        <v>100</v>
      </c>
      <c r="V40" s="1146" t="s">
        <v>99</v>
      </c>
      <c r="W40" s="1147">
        <f t="shared" si="14"/>
        <v>100</v>
      </c>
      <c r="X40" s="1133"/>
      <c r="Y40" s="3362"/>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47"/>
      <c r="Q41" s="1153" t="str">
        <f t="shared" si="11"/>
        <v>单套/主力户型建筑面积</v>
      </c>
      <c r="R41" s="1154" t="s">
        <v>99</v>
      </c>
      <c r="S41" s="1155">
        <f t="shared" si="12"/>
        <v>100</v>
      </c>
      <c r="T41" s="1154" t="s">
        <v>99</v>
      </c>
      <c r="U41" s="1155">
        <f t="shared" si="13"/>
        <v>100</v>
      </c>
      <c r="V41" s="1154" t="s">
        <v>99</v>
      </c>
      <c r="W41" s="1155">
        <f t="shared" si="14"/>
        <v>100</v>
      </c>
      <c r="X41" s="1156"/>
      <c r="Y41" s="3362"/>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68"/>
      <c r="M42" s="2163"/>
      <c r="N42" s="2163"/>
      <c r="O42" s="2163"/>
      <c r="P42" s="3447"/>
      <c r="Q42" s="1145" t="str">
        <f t="shared" si="11"/>
        <v>内部装修</v>
      </c>
      <c r="R42" s="1146" t="s">
        <v>99</v>
      </c>
      <c r="S42" s="1147">
        <f t="shared" si="12"/>
        <v>100</v>
      </c>
      <c r="T42" s="1146" t="s">
        <v>99</v>
      </c>
      <c r="U42" s="1147">
        <f t="shared" si="13"/>
        <v>100</v>
      </c>
      <c r="V42" s="1146" t="s">
        <v>99</v>
      </c>
      <c r="W42" s="1147">
        <f t="shared" si="14"/>
        <v>100</v>
      </c>
      <c r="X42" s="1133"/>
      <c r="Y42" s="3362"/>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47"/>
      <c r="Q43" s="1145" t="str">
        <f t="shared" si="11"/>
        <v>内部装修维护情况</v>
      </c>
      <c r="R43" s="1146" t="s">
        <v>99</v>
      </c>
      <c r="S43" s="1147">
        <f t="shared" si="12"/>
        <v>100</v>
      </c>
      <c r="T43" s="1146" t="s">
        <v>99</v>
      </c>
      <c r="U43" s="1147">
        <f t="shared" si="13"/>
        <v>100</v>
      </c>
      <c r="V43" s="1146" t="s">
        <v>99</v>
      </c>
      <c r="W43" s="1147">
        <f t="shared" si="14"/>
        <v>100</v>
      </c>
      <c r="X43" s="1133"/>
      <c r="Y43" s="3362"/>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4"/>
      <c r="M44" s="2106"/>
      <c r="N44" s="2106"/>
      <c r="O44" s="2106"/>
      <c r="P44" s="3447"/>
      <c r="Q44" s="2">
        <f t="shared" si="11"/>
        <v>111</v>
      </c>
      <c r="R44" s="1135" t="s">
        <v>99</v>
      </c>
      <c r="S44" s="1136">
        <f t="shared" si="12"/>
        <v>100</v>
      </c>
      <c r="T44" s="1135" t="s">
        <v>99</v>
      </c>
      <c r="U44" s="1136">
        <f t="shared" si="13"/>
        <v>100</v>
      </c>
      <c r="V44" s="1135" t="s">
        <v>99</v>
      </c>
      <c r="W44" s="1136">
        <f t="shared" si="14"/>
        <v>100</v>
      </c>
      <c r="X44" s="184"/>
      <c r="Y44" s="3362"/>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47"/>
      <c r="Q45" s="1145">
        <f t="shared" si="11"/>
        <v>111</v>
      </c>
      <c r="R45" s="1146" t="s">
        <v>99</v>
      </c>
      <c r="S45" s="1147">
        <f t="shared" si="12"/>
        <v>100</v>
      </c>
      <c r="T45" s="1146" t="s">
        <v>99</v>
      </c>
      <c r="U45" s="1147">
        <f t="shared" si="13"/>
        <v>100</v>
      </c>
      <c r="V45" s="1146" t="s">
        <v>99</v>
      </c>
      <c r="W45" s="1147">
        <f t="shared" si="14"/>
        <v>100</v>
      </c>
      <c r="X45" s="1133"/>
      <c r="Y45" s="3362"/>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48"/>
      <c r="Q46" s="1145">
        <f t="shared" si="11"/>
        <v>111</v>
      </c>
      <c r="R46" s="1146" t="s">
        <v>98</v>
      </c>
      <c r="S46" s="1147">
        <f t="shared" si="12"/>
        <v>100</v>
      </c>
      <c r="T46" s="1146" t="s">
        <v>98</v>
      </c>
      <c r="U46" s="1147">
        <f t="shared" si="13"/>
        <v>100</v>
      </c>
      <c r="V46" s="1146" t="s">
        <v>98</v>
      </c>
      <c r="W46" s="1147">
        <f t="shared" si="14"/>
        <v>100</v>
      </c>
      <c r="X46" s="1133"/>
      <c r="Y46" s="3363"/>
      <c r="Z46" s="1148">
        <f t="shared" si="15"/>
        <v>111</v>
      </c>
      <c r="AA46" s="1149">
        <f t="shared" si="3"/>
        <v>1</v>
      </c>
      <c r="AB46" s="1149">
        <f t="shared" si="4"/>
        <v>1</v>
      </c>
      <c r="AC46" s="1149">
        <f t="shared" si="5"/>
        <v>1</v>
      </c>
    </row>
    <row r="47" spans="1:29" ht="15">
      <c r="A47" s="113" t="s">
        <v>97</v>
      </c>
      <c r="B47" s="114"/>
      <c r="C47" s="2608" t="s">
        <v>96</v>
      </c>
      <c r="D47" s="2609"/>
      <c r="E47" s="2610"/>
      <c r="F47" s="2611"/>
      <c r="G47" s="2612"/>
      <c r="H47" s="2613"/>
      <c r="I47" s="2610"/>
      <c r="J47" s="2613"/>
      <c r="K47" s="1158"/>
      <c r="L47" s="2170"/>
      <c r="M47" s="2171"/>
      <c r="N47" s="2163"/>
      <c r="O47" s="2171"/>
      <c r="P47" s="3355" t="str">
        <f>A47</f>
        <v>成交单价（元/平方米）</v>
      </c>
      <c r="Q47" s="3355"/>
      <c r="R47" s="3356">
        <f>E47</f>
        <v>0</v>
      </c>
      <c r="S47" s="3356"/>
      <c r="T47" s="3356">
        <f>G47</f>
        <v>0</v>
      </c>
      <c r="U47" s="3356"/>
      <c r="V47" s="3356">
        <f>I47</f>
        <v>0</v>
      </c>
      <c r="W47" s="3356"/>
      <c r="X47" s="1159"/>
      <c r="Y47" s="1160"/>
      <c r="Z47" s="1159"/>
      <c r="AA47" s="1159"/>
      <c r="AB47" s="1159"/>
      <c r="AC47" s="1159"/>
    </row>
    <row r="48" spans="1:29" ht="15.75" thickBot="1">
      <c r="A48" s="115" t="s">
        <v>95</v>
      </c>
      <c r="B48" s="116"/>
      <c r="C48" s="2614" t="e">
        <f>R49</f>
        <v>#DIV/0!</v>
      </c>
      <c r="D48" s="2615"/>
      <c r="E48" s="2616" t="e">
        <f>R48</f>
        <v>#DIV/0!</v>
      </c>
      <c r="F48" s="2616"/>
      <c r="G48" s="2614" t="e">
        <f>T48</f>
        <v>#DIV/0!</v>
      </c>
      <c r="H48" s="2615"/>
      <c r="I48" s="2616" t="e">
        <f>V48</f>
        <v>#DIV/0!</v>
      </c>
      <c r="J48" s="2615"/>
      <c r="K48" s="1161"/>
      <c r="L48" s="2170"/>
      <c r="M48" s="2171"/>
      <c r="N48" s="2171"/>
      <c r="O48" s="2171"/>
      <c r="P48" s="3355" t="str">
        <f>A48</f>
        <v>比较价值（元/平方米）</v>
      </c>
      <c r="Q48" s="3355"/>
      <c r="R48" s="3356" t="e">
        <f>IF(E1="售价",ROUND(PRODUCT(R47,AA7:AA46),0),ROUND(PRODUCT(R47,AA7:AA46),1))</f>
        <v>#DIV/0!</v>
      </c>
      <c r="S48" s="3356"/>
      <c r="T48" s="3441" t="e">
        <f>IF(E1="售价",ROUND(PRODUCT(T47,AB7:AB46),0),ROUND(PRODUCT(T47,AB7:AB46),1))</f>
        <v>#DIV/0!</v>
      </c>
      <c r="U48" s="3442"/>
      <c r="V48" s="3356" t="e">
        <f>IF(E1="售价",ROUND(PRODUCT(V47,AC7:AC46),0),ROUND(PRODUCT(V47,AC7:AC46),1))</f>
        <v>#DIV/0!</v>
      </c>
      <c r="W48" s="3356"/>
      <c r="X48" s="1159"/>
      <c r="Y48" s="1159"/>
      <c r="Z48" s="1159"/>
      <c r="AA48" s="1159"/>
      <c r="AB48" s="1159"/>
      <c r="AC48" s="1159"/>
    </row>
    <row r="49" spans="1:29" ht="15.75" thickBot="1">
      <c r="A49" s="62" t="s">
        <v>2885</v>
      </c>
      <c r="B49" s="63"/>
      <c r="C49" s="2617" t="e">
        <f>R49</f>
        <v>#DIV/0!</v>
      </c>
      <c r="D49" s="2618"/>
      <c r="E49" s="2618"/>
      <c r="F49" s="2618"/>
      <c r="G49" s="2618"/>
      <c r="H49" s="2618"/>
      <c r="I49" s="2618"/>
      <c r="J49" s="2618"/>
      <c r="K49" s="1162"/>
      <c r="L49" s="2170"/>
      <c r="M49" s="2171"/>
      <c r="N49" s="2171"/>
      <c r="O49" s="2171"/>
      <c r="P49" s="3443" t="str">
        <f>A49</f>
        <v>估价对象XX用房的比较价值（楼面单价，元/平方米）</v>
      </c>
      <c r="Q49" s="3354"/>
      <c r="R49" s="3358" t="e">
        <f>IF(E1="售价",ROUND(AVERAGE(R48:V48),0),ROUND(AVERAGE(R48:V48),1))</f>
        <v>#DIV/0!</v>
      </c>
      <c r="S49" s="3358"/>
      <c r="T49" s="3358"/>
      <c r="U49" s="3358"/>
      <c r="V49" s="3358"/>
      <c r="W49" s="3358"/>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row>
    <row r="53" spans="1:29" ht="13.5" customHeight="1">
      <c r="A53" s="2171"/>
      <c r="B53" s="2171"/>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row>
    <row r="54" spans="1:29" s="66" customFormat="1" ht="13.5" customHeight="1">
      <c r="A54" s="2173"/>
      <c r="B54" s="2173"/>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934</v>
      </c>
      <c r="D78" s="780" t="s">
        <v>935</v>
      </c>
      <c r="E78" s="780" t="s">
        <v>936</v>
      </c>
      <c r="F78" s="780" t="s">
        <v>937</v>
      </c>
      <c r="G78" s="780" t="s">
        <v>938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934</v>
      </c>
      <c r="D80" s="780" t="s">
        <v>935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2539</v>
      </c>
      <c r="C82" s="129" t="s">
        <v>2542</v>
      </c>
      <c r="D82" s="129" t="s">
        <v>2543</v>
      </c>
      <c r="E82" s="129" t="s">
        <v>2544</v>
      </c>
      <c r="F82" s="129" t="s">
        <v>2545</v>
      </c>
      <c r="G82" s="129" t="s">
        <v>2546</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2193</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2541</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2195</v>
      </c>
    </row>
    <row r="137" spans="1:17" ht="14.25">
      <c r="B137" s="2180" t="s">
        <v>2176</v>
      </c>
      <c r="C137" s="2181"/>
      <c r="D137" s="2181"/>
      <c r="E137" s="2181"/>
      <c r="F137" s="2181"/>
      <c r="G137" s="2182"/>
      <c r="H137" s="2183"/>
      <c r="I137" s="2184" t="s">
        <v>2177</v>
      </c>
      <c r="J137" s="2181"/>
      <c r="K137" s="2185"/>
    </row>
    <row r="138" spans="1:17" ht="14.25">
      <c r="B138" s="1935"/>
      <c r="C138" s="1611" t="s">
        <v>2178</v>
      </c>
      <c r="D138" s="1611" t="s">
        <v>2179</v>
      </c>
      <c r="E138" s="1939" t="s">
        <v>2180</v>
      </c>
      <c r="F138" s="1940" t="s">
        <v>2181</v>
      </c>
      <c r="G138" s="1611" t="s">
        <v>2179</v>
      </c>
      <c r="H138" s="1941" t="s">
        <v>2180</v>
      </c>
      <c r="I138" s="1942"/>
      <c r="J138" s="1611" t="s">
        <v>2182</v>
      </c>
      <c r="K138" s="1941" t="s">
        <v>2183</v>
      </c>
    </row>
    <row r="139" spans="1:17" ht="15">
      <c r="B139" s="1936">
        <v>6</v>
      </c>
      <c r="C139" s="1956">
        <v>96</v>
      </c>
      <c r="D139" s="1957" t="s">
        <v>2184</v>
      </c>
      <c r="E139" s="1958">
        <v>100</v>
      </c>
      <c r="F139" s="1959">
        <v>102.5</v>
      </c>
      <c r="G139" s="1957" t="s">
        <v>2184</v>
      </c>
      <c r="H139" s="1960">
        <v>105</v>
      </c>
      <c r="I139" s="1943" t="s">
        <v>2185</v>
      </c>
      <c r="J139" s="1956">
        <v>20</v>
      </c>
      <c r="K139" s="1946">
        <f>C145/(J139-2)</f>
        <v>4.0555555555555553E-3</v>
      </c>
    </row>
    <row r="140" spans="1:17" ht="15">
      <c r="B140" s="1937">
        <v>5</v>
      </c>
      <c r="C140" s="1961">
        <v>100</v>
      </c>
      <c r="D140" s="1962"/>
      <c r="E140" s="1963"/>
      <c r="F140" s="1964">
        <v>102</v>
      </c>
      <c r="G140" s="1962"/>
      <c r="H140" s="1965"/>
      <c r="I140" s="1944" t="s">
        <v>2186</v>
      </c>
      <c r="J140" s="434">
        <f>ROUNDUP((J139-1)/2,0)</f>
        <v>10</v>
      </c>
      <c r="K140" s="1947">
        <v>100</v>
      </c>
    </row>
    <row r="141" spans="1:17" ht="15">
      <c r="B141" s="1937">
        <v>4</v>
      </c>
      <c r="C141" s="1961">
        <v>102</v>
      </c>
      <c r="D141" s="1962"/>
      <c r="E141" s="1963"/>
      <c r="F141" s="1964">
        <v>101.5</v>
      </c>
      <c r="G141" s="1962"/>
      <c r="H141" s="1965"/>
      <c r="I141" s="1944" t="s">
        <v>2187</v>
      </c>
      <c r="J141" s="434">
        <v>1</v>
      </c>
      <c r="K141" s="1948">
        <f>ROUND(100+(J141-J140)*K139*100,1)</f>
        <v>96.4</v>
      </c>
    </row>
    <row r="142" spans="1:17" ht="15">
      <c r="B142" s="1937">
        <v>3</v>
      </c>
      <c r="C142" s="1961">
        <v>103</v>
      </c>
      <c r="D142" s="1962"/>
      <c r="E142" s="1963"/>
      <c r="F142" s="1964">
        <v>101</v>
      </c>
      <c r="G142" s="1962"/>
      <c r="H142" s="1965"/>
      <c r="I142" s="1944" t="s">
        <v>2188</v>
      </c>
      <c r="J142" s="434">
        <f>J139</f>
        <v>20</v>
      </c>
      <c r="K142" s="1967">
        <v>95</v>
      </c>
    </row>
    <row r="143" spans="1:17" ht="15">
      <c r="B143" s="1937">
        <v>2</v>
      </c>
      <c r="C143" s="1961">
        <v>100</v>
      </c>
      <c r="D143" s="1962"/>
      <c r="E143" s="1963"/>
      <c r="F143" s="1964">
        <v>100.5</v>
      </c>
      <c r="G143" s="1962"/>
      <c r="H143" s="1965"/>
      <c r="I143" s="1944" t="s">
        <v>2189</v>
      </c>
      <c r="J143" s="1961">
        <v>15</v>
      </c>
      <c r="K143" s="1948">
        <f>ROUND(100+(J143-J140)*K139*100,1)</f>
        <v>102</v>
      </c>
    </row>
    <row r="144" spans="1:17" ht="15">
      <c r="B144" s="1937">
        <v>1</v>
      </c>
      <c r="C144" s="1961">
        <v>98</v>
      </c>
      <c r="D144" s="1022" t="s">
        <v>2190</v>
      </c>
      <c r="E144" s="1963">
        <v>102</v>
      </c>
      <c r="F144" s="1966">
        <v>100</v>
      </c>
      <c r="G144" s="1022" t="s">
        <v>2190</v>
      </c>
      <c r="H144" s="1965">
        <v>105</v>
      </c>
      <c r="I144" s="1944" t="s">
        <v>2189</v>
      </c>
      <c r="J144" s="1961">
        <v>18</v>
      </c>
      <c r="K144" s="1948">
        <f>ROUND(100+(J144-J140)*K139*100,1)</f>
        <v>103.2</v>
      </c>
    </row>
    <row r="145" spans="2:11" ht="15.75" thickBot="1">
      <c r="B145" s="1938" t="s">
        <v>2191</v>
      </c>
      <c r="C145" s="1950">
        <f>ROUND(MAX(C139:C144)/MIN(C139:C144)-1,3)</f>
        <v>7.2999999999999995E-2</v>
      </c>
      <c r="D145" s="1951"/>
      <c r="E145" s="1952"/>
      <c r="F145" s="1953" t="s">
        <v>2194</v>
      </c>
      <c r="G145" s="1954"/>
      <c r="H145" s="1955"/>
      <c r="I145" s="1945" t="s">
        <v>2189</v>
      </c>
      <c r="J145" s="1968">
        <v>8</v>
      </c>
      <c r="K145" s="1949">
        <f>ROUND(100+(J145-J140)*K139*100,1)</f>
        <v>99.2</v>
      </c>
    </row>
    <row r="147" spans="2:11">
      <c r="B147" s="1934" t="s">
        <v>2214</v>
      </c>
    </row>
    <row r="148" spans="2:11">
      <c r="B148" s="1934" t="s">
        <v>2215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万元</v>
      </c>
      <c r="D2" s="2886"/>
      <c r="E2" s="3033" t="e">
        <f ca="1">SUMIF(INDIRECT("'"&amp;G2&amp;"'"&amp;"!A:A"),"承租人权益价值",INDIRECT("'"&amp;G2&amp;"'"&amp;"!c:c"))</f>
        <v>#REF!</v>
      </c>
      <c r="F2" s="2887" t="str">
        <f>C2</f>
        <v>万元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123.8</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380" t="s">
        <v>50</v>
      </c>
      <c r="D4" s="3381"/>
      <c r="E4" s="3382" t="s">
        <v>51</v>
      </c>
      <c r="F4" s="3383"/>
      <c r="G4" s="3380" t="s">
        <v>52</v>
      </c>
      <c r="H4" s="3381"/>
      <c r="I4" s="3380" t="s">
        <v>53</v>
      </c>
      <c r="J4" s="3381"/>
      <c r="K4" s="139" t="s">
        <v>54</v>
      </c>
      <c r="L4" s="2162"/>
      <c r="M4" s="2163"/>
      <c r="N4" s="2163"/>
      <c r="O4" s="2163"/>
      <c r="P4" s="3450" t="s">
        <v>49</v>
      </c>
      <c r="Q4" s="3373"/>
      <c r="R4" s="3366" t="s">
        <v>51</v>
      </c>
      <c r="S4" s="3367"/>
      <c r="T4" s="3366" t="s">
        <v>52</v>
      </c>
      <c r="U4" s="3367"/>
      <c r="V4" s="3388" t="s">
        <v>53</v>
      </c>
      <c r="W4" s="3388"/>
      <c r="X4" s="1133"/>
      <c r="Y4" s="3366" t="s">
        <v>49</v>
      </c>
      <c r="Z4" s="3367"/>
      <c r="AA4" s="3377" t="s">
        <v>51</v>
      </c>
      <c r="AB4" s="3388" t="s">
        <v>52</v>
      </c>
      <c r="AC4" s="3377" t="s">
        <v>53</v>
      </c>
    </row>
    <row r="5" spans="1:29">
      <c r="A5" s="93"/>
      <c r="B5" s="94"/>
      <c r="C5" s="3391" t="s">
        <v>55</v>
      </c>
      <c r="D5" s="3392"/>
      <c r="E5" s="3389" t="s">
        <v>56</v>
      </c>
      <c r="F5" s="3390"/>
      <c r="G5" s="3391" t="s">
        <v>57</v>
      </c>
      <c r="H5" s="3392"/>
      <c r="I5" s="3391" t="s">
        <v>58</v>
      </c>
      <c r="J5" s="3392"/>
      <c r="K5" s="139"/>
      <c r="L5" s="2162"/>
      <c r="M5" s="2163"/>
      <c r="N5" s="2163"/>
      <c r="O5" s="2163"/>
      <c r="P5" s="3451"/>
      <c r="Q5" s="3374"/>
      <c r="R5" s="3368"/>
      <c r="S5" s="3369"/>
      <c r="T5" s="3368"/>
      <c r="U5" s="3369"/>
      <c r="V5" s="3388"/>
      <c r="W5" s="3388"/>
      <c r="X5" s="1133"/>
      <c r="Y5" s="3368"/>
      <c r="Z5" s="3369"/>
      <c r="AA5" s="3378"/>
      <c r="AB5" s="3388"/>
      <c r="AC5" s="3378"/>
    </row>
    <row r="6" spans="1:29" ht="14.25" thickBot="1">
      <c r="A6" s="95"/>
      <c r="B6" s="96"/>
      <c r="C6" s="3393" t="s">
        <v>59</v>
      </c>
      <c r="D6" s="3394"/>
      <c r="E6" s="3395" t="s">
        <v>59</v>
      </c>
      <c r="F6" s="3396"/>
      <c r="G6" s="3393" t="s">
        <v>59</v>
      </c>
      <c r="H6" s="3394"/>
      <c r="I6" s="3393" t="s">
        <v>59</v>
      </c>
      <c r="J6" s="3394"/>
      <c r="K6" s="139" t="s">
        <v>119</v>
      </c>
      <c r="L6" s="2162"/>
      <c r="M6" s="2163"/>
      <c r="N6" s="2163"/>
      <c r="O6" s="2163"/>
      <c r="P6" s="3452"/>
      <c r="Q6" s="3387"/>
      <c r="R6" s="3368"/>
      <c r="S6" s="3369"/>
      <c r="T6" s="3370"/>
      <c r="U6" s="3371"/>
      <c r="V6" s="3388"/>
      <c r="W6" s="3388"/>
      <c r="X6" s="1133"/>
      <c r="Y6" s="3370"/>
      <c r="Z6" s="3371"/>
      <c r="AA6" s="3379"/>
      <c r="AB6" s="3388"/>
      <c r="AC6" s="3379"/>
    </row>
    <row r="7" spans="1:29" s="11" customFormat="1" ht="15" thickBot="1">
      <c r="A7" s="872" t="s">
        <v>60</v>
      </c>
      <c r="B7" s="873"/>
      <c r="C7" s="874">
        <f>'数据-取费表'!B2</f>
        <v>42992</v>
      </c>
      <c r="D7" s="608">
        <v>100</v>
      </c>
      <c r="E7" s="875"/>
      <c r="F7" s="610">
        <f>SUMIF(58:58,YEAR(E7)&amp;"-"&amp;MONTH(E7),59:59)</f>
        <v>0</v>
      </c>
      <c r="G7" s="875"/>
      <c r="H7" s="608">
        <f>SUMIF(58:58,YEAR(G7)&amp;"-"&amp;MONTH(G7),59:59)</f>
        <v>0</v>
      </c>
      <c r="I7" s="875"/>
      <c r="J7" s="608">
        <f>SUMIF(58:58,YEAR(I7)&amp;"-"&amp;MONTH(I7),59:59)</f>
        <v>0</v>
      </c>
      <c r="K7" s="877"/>
      <c r="L7" s="2164"/>
      <c r="M7" s="2106"/>
      <c r="N7" s="2106"/>
      <c r="O7" s="2106"/>
      <c r="P7" s="3364" t="s">
        <v>60</v>
      </c>
      <c r="Q7" s="3372"/>
      <c r="R7" s="1135" t="s">
        <v>61</v>
      </c>
      <c r="S7" s="1136">
        <f t="shared" ref="S7:S15" si="0">F7</f>
        <v>0</v>
      </c>
      <c r="T7" s="1135" t="s">
        <v>61</v>
      </c>
      <c r="U7" s="1136">
        <f t="shared" ref="U7:U15" si="1">H7</f>
        <v>0</v>
      </c>
      <c r="V7" s="1135" t="s">
        <v>61</v>
      </c>
      <c r="W7" s="1136">
        <f t="shared" ref="W7:W15" si="2">J7</f>
        <v>0</v>
      </c>
      <c r="X7" s="184"/>
      <c r="Y7" s="3364" t="s">
        <v>60</v>
      </c>
      <c r="Z7" s="336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364" t="s">
        <v>939</v>
      </c>
      <c r="Q8" s="3365"/>
      <c r="R8" s="1135" t="s">
        <v>61</v>
      </c>
      <c r="S8" s="1136">
        <f t="shared" si="0"/>
        <v>0</v>
      </c>
      <c r="T8" s="1135" t="s">
        <v>61</v>
      </c>
      <c r="U8" s="1136">
        <f t="shared" si="1"/>
        <v>0</v>
      </c>
      <c r="V8" s="1135" t="s">
        <v>61</v>
      </c>
      <c r="W8" s="1136">
        <f t="shared" si="2"/>
        <v>0</v>
      </c>
      <c r="X8" s="184"/>
      <c r="Y8" s="3364" t="s">
        <v>939</v>
      </c>
      <c r="Z8" s="3365"/>
      <c r="AA8" s="1137" t="e">
        <f t="shared" ref="AA8:AA46" si="3">D8/F8</f>
        <v>#DIV/0!</v>
      </c>
      <c r="AB8" s="1137" t="e">
        <f t="shared" ref="AB8:AB46" si="4">D8/H8</f>
        <v>#DIV/0!</v>
      </c>
      <c r="AC8" s="1137" t="e">
        <f t="shared" ref="AC8:AC46" si="5">D8/J8</f>
        <v>#DIV/0!</v>
      </c>
    </row>
    <row r="9" spans="1:29" s="11" customFormat="1" ht="14.25">
      <c r="A9" s="879" t="s">
        <v>940</v>
      </c>
      <c r="B9" s="20" t="s">
        <v>941</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49" t="s">
        <v>63</v>
      </c>
      <c r="Q9" s="2" t="str">
        <f t="shared" ref="Q9:Q15" si="6">B9</f>
        <v>用途</v>
      </c>
      <c r="R9" s="1135" t="s">
        <v>61</v>
      </c>
      <c r="S9" s="1136">
        <f t="shared" si="0"/>
        <v>100</v>
      </c>
      <c r="T9" s="1135" t="s">
        <v>61</v>
      </c>
      <c r="U9" s="1136">
        <f t="shared" si="1"/>
        <v>100</v>
      </c>
      <c r="V9" s="1135" t="s">
        <v>61</v>
      </c>
      <c r="W9" s="1136">
        <f t="shared" si="2"/>
        <v>100</v>
      </c>
      <c r="X9" s="184"/>
      <c r="Y9" s="321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49"/>
      <c r="Q10" s="2" t="str">
        <f t="shared" si="6"/>
        <v>土地使用年限（年）</v>
      </c>
      <c r="R10" s="1135" t="s">
        <v>61</v>
      </c>
      <c r="S10" s="1136">
        <f t="shared" si="0"/>
        <v>100</v>
      </c>
      <c r="T10" s="1135" t="s">
        <v>61</v>
      </c>
      <c r="U10" s="1136">
        <f t="shared" si="1"/>
        <v>100</v>
      </c>
      <c r="V10" s="1135" t="s">
        <v>61</v>
      </c>
      <c r="W10" s="1136">
        <f t="shared" si="2"/>
        <v>100</v>
      </c>
      <c r="X10" s="184"/>
      <c r="Y10" s="3216"/>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49"/>
      <c r="Q11" s="2" t="str">
        <f t="shared" si="6"/>
        <v>容积率</v>
      </c>
      <c r="R11" s="1135" t="s">
        <v>61</v>
      </c>
      <c r="S11" s="1136" t="e">
        <f t="shared" si="0"/>
        <v>#N/A</v>
      </c>
      <c r="T11" s="1135" t="s">
        <v>61</v>
      </c>
      <c r="U11" s="1136" t="e">
        <f t="shared" si="1"/>
        <v>#N/A</v>
      </c>
      <c r="V11" s="1135" t="s">
        <v>61</v>
      </c>
      <c r="W11" s="1136" t="e">
        <f t="shared" si="2"/>
        <v>#N/A</v>
      </c>
      <c r="X11" s="184"/>
      <c r="Y11" s="3216"/>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49"/>
      <c r="Q12" s="2">
        <f t="shared" si="6"/>
        <v>111</v>
      </c>
      <c r="R12" s="1135" t="s">
        <v>61</v>
      </c>
      <c r="S12" s="1136">
        <f t="shared" si="0"/>
        <v>100</v>
      </c>
      <c r="T12" s="1135" t="s">
        <v>61</v>
      </c>
      <c r="U12" s="1136">
        <f t="shared" si="1"/>
        <v>100</v>
      </c>
      <c r="V12" s="1135" t="s">
        <v>61</v>
      </c>
      <c r="W12" s="1136">
        <f t="shared" si="2"/>
        <v>100</v>
      </c>
      <c r="X12" s="184"/>
      <c r="Y12" s="3216"/>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49"/>
      <c r="Q13" s="2">
        <f t="shared" si="6"/>
        <v>111</v>
      </c>
      <c r="R13" s="1135" t="s">
        <v>61</v>
      </c>
      <c r="S13" s="1136">
        <f t="shared" si="0"/>
        <v>100</v>
      </c>
      <c r="T13" s="1135" t="s">
        <v>61</v>
      </c>
      <c r="U13" s="1136">
        <f t="shared" si="1"/>
        <v>100</v>
      </c>
      <c r="V13" s="1135" t="s">
        <v>61</v>
      </c>
      <c r="W13" s="1136">
        <f t="shared" si="2"/>
        <v>100</v>
      </c>
      <c r="X13" s="184"/>
      <c r="Y13" s="3216"/>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49"/>
      <c r="Q14" s="2">
        <f t="shared" si="6"/>
        <v>111</v>
      </c>
      <c r="R14" s="1135" t="s">
        <v>61</v>
      </c>
      <c r="S14" s="1136">
        <f t="shared" si="0"/>
        <v>100</v>
      </c>
      <c r="T14" s="1135" t="s">
        <v>61</v>
      </c>
      <c r="U14" s="1136">
        <f t="shared" si="1"/>
        <v>100</v>
      </c>
      <c r="V14" s="1135" t="s">
        <v>61</v>
      </c>
      <c r="W14" s="1136">
        <f t="shared" si="2"/>
        <v>100</v>
      </c>
      <c r="X14" s="184"/>
      <c r="Y14" s="3216"/>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44" t="s">
        <v>65</v>
      </c>
      <c r="Q15" s="1145" t="str">
        <f t="shared" si="6"/>
        <v>商业繁华度</v>
      </c>
      <c r="R15" s="1146" t="s">
        <v>61</v>
      </c>
      <c r="S15" s="1147">
        <f t="shared" si="0"/>
        <v>100</v>
      </c>
      <c r="T15" s="1146" t="s">
        <v>61</v>
      </c>
      <c r="U15" s="1147">
        <f t="shared" si="1"/>
        <v>100</v>
      </c>
      <c r="V15" s="1146" t="s">
        <v>61</v>
      </c>
      <c r="W15" s="1147">
        <f t="shared" si="2"/>
        <v>100</v>
      </c>
      <c r="X15" s="1133"/>
      <c r="Y15" s="3375"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45"/>
      <c r="Q16" s="1145"/>
      <c r="R16" s="1146"/>
      <c r="S16" s="1147"/>
      <c r="T16" s="1146"/>
      <c r="U16" s="1147"/>
      <c r="V16" s="1146"/>
      <c r="W16" s="1147"/>
      <c r="X16" s="1133"/>
      <c r="Y16" s="3376"/>
      <c r="Z16" s="1148"/>
      <c r="AA16" s="1149">
        <v>1</v>
      </c>
      <c r="AB16" s="1149">
        <v>1</v>
      </c>
      <c r="AC16" s="1149">
        <v>1</v>
      </c>
    </row>
    <row r="17" spans="1:29" ht="94.5">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45"/>
      <c r="Q17" s="1145" t="str">
        <f>B17</f>
        <v>交通便捷度</v>
      </c>
      <c r="R17" s="1146" t="s">
        <v>61</v>
      </c>
      <c r="S17" s="1147">
        <f>F17</f>
        <v>100</v>
      </c>
      <c r="T17" s="1146" t="s">
        <v>61</v>
      </c>
      <c r="U17" s="1147">
        <f>H17</f>
        <v>100</v>
      </c>
      <c r="V17" s="1146" t="s">
        <v>61</v>
      </c>
      <c r="W17" s="1147">
        <f>J17</f>
        <v>100</v>
      </c>
      <c r="X17" s="1133"/>
      <c r="Y17" s="337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45"/>
      <c r="Q18" s="1145"/>
      <c r="R18" s="1146"/>
      <c r="S18" s="1147"/>
      <c r="T18" s="1146"/>
      <c r="U18" s="1147"/>
      <c r="V18" s="1146"/>
      <c r="W18" s="1147"/>
      <c r="X18" s="1133"/>
      <c r="Y18" s="3376"/>
      <c r="Z18" s="1148"/>
      <c r="AA18" s="1149">
        <v>1</v>
      </c>
      <c r="AB18" s="1149">
        <v>1</v>
      </c>
      <c r="AC18" s="1149">
        <v>1</v>
      </c>
    </row>
    <row r="19" spans="1:29" ht="40.5">
      <c r="A19" s="98"/>
      <c r="B19" s="1150" t="s">
        <v>2547</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45"/>
      <c r="Q19" s="1145" t="str">
        <f>B19</f>
        <v>公共配套设施</v>
      </c>
      <c r="R19" s="1146" t="s">
        <v>61</v>
      </c>
      <c r="S19" s="1147">
        <f>F19</f>
        <v>100</v>
      </c>
      <c r="T19" s="1146" t="s">
        <v>61</v>
      </c>
      <c r="U19" s="1147">
        <f>H19</f>
        <v>100</v>
      </c>
      <c r="V19" s="1146" t="s">
        <v>61</v>
      </c>
      <c r="W19" s="1147">
        <f>J19</f>
        <v>100</v>
      </c>
      <c r="X19" s="1133"/>
      <c r="Y19" s="337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45"/>
      <c r="Q20" s="1145"/>
      <c r="R20" s="1146"/>
      <c r="S20" s="1147"/>
      <c r="T20" s="1146"/>
      <c r="U20" s="1147"/>
      <c r="V20" s="1146"/>
      <c r="W20" s="1147"/>
      <c r="X20" s="1133"/>
      <c r="Y20" s="3376"/>
      <c r="Z20" s="1148"/>
      <c r="AA20" s="1149">
        <v>1</v>
      </c>
      <c r="AB20" s="1149">
        <v>1</v>
      </c>
      <c r="AC20" s="1149">
        <v>1</v>
      </c>
    </row>
    <row r="21" spans="1:29" ht="40.5">
      <c r="A21" s="98"/>
      <c r="B21" s="1205" t="s">
        <v>2548</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45"/>
      <c r="Q21" s="2548" t="str">
        <f>B21</f>
        <v>基础设施水平</v>
      </c>
      <c r="R21" s="1146" t="s">
        <v>61</v>
      </c>
      <c r="S21" s="1147">
        <f>F21</f>
        <v>100</v>
      </c>
      <c r="T21" s="1146" t="s">
        <v>61</v>
      </c>
      <c r="U21" s="1147">
        <f>H21</f>
        <v>100</v>
      </c>
      <c r="V21" s="1146" t="s">
        <v>61</v>
      </c>
      <c r="W21" s="1147">
        <f>J21</f>
        <v>100</v>
      </c>
      <c r="X21" s="2546"/>
      <c r="Y21" s="337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45"/>
      <c r="Q22" s="2548"/>
      <c r="R22" s="1146"/>
      <c r="S22" s="1147"/>
      <c r="T22" s="1146"/>
      <c r="U22" s="1147"/>
      <c r="V22" s="1146"/>
      <c r="W22" s="1147"/>
      <c r="X22" s="2546"/>
      <c r="Y22" s="3376"/>
      <c r="Z22" s="2547"/>
      <c r="AA22" s="1149">
        <v>1</v>
      </c>
      <c r="AB22" s="1149">
        <v>1</v>
      </c>
      <c r="AC22" s="1149">
        <v>1</v>
      </c>
    </row>
    <row r="23" spans="1:29" ht="54">
      <c r="A23" s="98"/>
      <c r="B23" s="1150" t="s">
        <v>68</v>
      </c>
      <c r="C23" s="142"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45"/>
      <c r="Q23" s="1145" t="str">
        <f>B23</f>
        <v>自然及人文环境</v>
      </c>
      <c r="R23" s="1146" t="s">
        <v>61</v>
      </c>
      <c r="S23" s="1147">
        <f>F23</f>
        <v>100</v>
      </c>
      <c r="T23" s="1146" t="s">
        <v>61</v>
      </c>
      <c r="U23" s="1147">
        <f>H23</f>
        <v>100</v>
      </c>
      <c r="V23" s="1146" t="s">
        <v>61</v>
      </c>
      <c r="W23" s="1147">
        <f>J23</f>
        <v>100</v>
      </c>
      <c r="X23" s="1133"/>
      <c r="Y23" s="337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45"/>
      <c r="Q24" s="1145"/>
      <c r="R24" s="1146"/>
      <c r="S24" s="1147"/>
      <c r="T24" s="1146"/>
      <c r="U24" s="1147"/>
      <c r="V24" s="1146"/>
      <c r="W24" s="1147"/>
      <c r="X24" s="1133"/>
      <c r="Y24" s="3376"/>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45"/>
      <c r="Q25" s="1145" t="str">
        <f t="shared" ref="Q25:Q46" si="11">B25</f>
        <v>临街状况</v>
      </c>
      <c r="R25" s="1146" t="s">
        <v>61</v>
      </c>
      <c r="S25" s="1147">
        <f>F25</f>
        <v>100</v>
      </c>
      <c r="T25" s="1146" t="s">
        <v>61</v>
      </c>
      <c r="U25" s="1147">
        <f>H25</f>
        <v>100</v>
      </c>
      <c r="V25" s="1146" t="s">
        <v>61</v>
      </c>
      <c r="W25" s="1147">
        <f>J25</f>
        <v>100</v>
      </c>
      <c r="X25" s="1133"/>
      <c r="Y25" s="3376"/>
      <c r="Z25" s="1148" t="str">
        <f>Q25</f>
        <v>临街状况</v>
      </c>
      <c r="AA25" s="1149">
        <f t="shared" si="3"/>
        <v>1</v>
      </c>
      <c r="AB25" s="1149">
        <f t="shared" si="4"/>
        <v>1</v>
      </c>
      <c r="AC25" s="1149">
        <f t="shared" si="5"/>
        <v>1</v>
      </c>
    </row>
    <row r="26" spans="1:29" ht="14.25">
      <c r="A26" s="98"/>
      <c r="B26" s="1151" t="s">
        <v>942</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45"/>
      <c r="Q26" s="1145" t="str">
        <f t="shared" si="11"/>
        <v>平面位置/可视性</v>
      </c>
      <c r="R26" s="1146" t="s">
        <v>61</v>
      </c>
      <c r="S26" s="1147">
        <f>F26</f>
        <v>100</v>
      </c>
      <c r="T26" s="1146" t="s">
        <v>61</v>
      </c>
      <c r="U26" s="1147">
        <f>H26</f>
        <v>100</v>
      </c>
      <c r="V26" s="1146" t="s">
        <v>61</v>
      </c>
      <c r="W26" s="1147">
        <f>J26</f>
        <v>100</v>
      </c>
      <c r="X26" s="1133"/>
      <c r="Y26" s="3376"/>
      <c r="Z26" s="1148" t="str">
        <f>Q26</f>
        <v>平面位置/可视性</v>
      </c>
      <c r="AA26" s="1149">
        <f t="shared" si="3"/>
        <v>1</v>
      </c>
      <c r="AB26" s="1149">
        <f t="shared" si="4"/>
        <v>1</v>
      </c>
      <c r="AC26" s="1149">
        <f t="shared" si="5"/>
        <v>1</v>
      </c>
    </row>
    <row r="27" spans="1:29" s="11" customFormat="1" ht="15">
      <c r="A27" s="888"/>
      <c r="B27" s="1150" t="s">
        <v>943</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45"/>
      <c r="Q27" s="2" t="str">
        <f t="shared" si="11"/>
        <v>人流量</v>
      </c>
      <c r="R27" s="1135" t="s">
        <v>61</v>
      </c>
      <c r="S27" s="1136">
        <f>F27</f>
        <v>100</v>
      </c>
      <c r="T27" s="1135" t="s">
        <v>61</v>
      </c>
      <c r="U27" s="1136">
        <f>H27</f>
        <v>100</v>
      </c>
      <c r="V27" s="1135" t="s">
        <v>61</v>
      </c>
      <c r="W27" s="1136">
        <f>J27</f>
        <v>100</v>
      </c>
      <c r="X27" s="184"/>
      <c r="Y27" s="3376"/>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45"/>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76"/>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45"/>
      <c r="Q29" s="1145">
        <f t="shared" si="11"/>
        <v>111</v>
      </c>
      <c r="R29" s="1146" t="s">
        <v>61</v>
      </c>
      <c r="S29" s="1147">
        <f t="shared" si="12"/>
        <v>100</v>
      </c>
      <c r="T29" s="1146" t="s">
        <v>61</v>
      </c>
      <c r="U29" s="1147">
        <f t="shared" si="13"/>
        <v>100</v>
      </c>
      <c r="V29" s="1146" t="s">
        <v>61</v>
      </c>
      <c r="W29" s="1147">
        <f t="shared" si="14"/>
        <v>100</v>
      </c>
      <c r="X29" s="1133"/>
      <c r="Y29" s="337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45"/>
      <c r="Q30" s="1145">
        <f t="shared" si="11"/>
        <v>111</v>
      </c>
      <c r="R30" s="1146" t="s">
        <v>61</v>
      </c>
      <c r="S30" s="1147">
        <f t="shared" si="12"/>
        <v>100</v>
      </c>
      <c r="T30" s="1146" t="s">
        <v>61</v>
      </c>
      <c r="U30" s="1147">
        <f t="shared" si="13"/>
        <v>100</v>
      </c>
      <c r="V30" s="1146" t="s">
        <v>61</v>
      </c>
      <c r="W30" s="1147">
        <f t="shared" si="14"/>
        <v>100</v>
      </c>
      <c r="X30" s="1133"/>
      <c r="Y30" s="3376"/>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45"/>
      <c r="Q31" s="1145">
        <f t="shared" si="11"/>
        <v>111</v>
      </c>
      <c r="R31" s="1146" t="s">
        <v>61</v>
      </c>
      <c r="S31" s="1147">
        <f t="shared" si="12"/>
        <v>100</v>
      </c>
      <c r="T31" s="1146" t="s">
        <v>61</v>
      </c>
      <c r="U31" s="1147">
        <f t="shared" si="13"/>
        <v>100</v>
      </c>
      <c r="V31" s="1146" t="s">
        <v>61</v>
      </c>
      <c r="W31" s="1147">
        <f t="shared" si="14"/>
        <v>100</v>
      </c>
      <c r="X31" s="1133"/>
      <c r="Y31" s="3376"/>
      <c r="Z31" s="1148">
        <f t="shared" si="15"/>
        <v>111</v>
      </c>
      <c r="AA31" s="1149">
        <f t="shared" si="3"/>
        <v>1</v>
      </c>
      <c r="AB31" s="1149">
        <f t="shared" si="4"/>
        <v>1</v>
      </c>
      <c r="AC31" s="1149">
        <f t="shared" si="5"/>
        <v>1</v>
      </c>
    </row>
    <row r="32" spans="1:29" ht="15">
      <c r="A32" s="105" t="s">
        <v>944</v>
      </c>
      <c r="B32" s="20" t="s">
        <v>945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46" t="s">
        <v>946</v>
      </c>
      <c r="Q32" s="1145" t="str">
        <f t="shared" si="11"/>
        <v>商业类型</v>
      </c>
      <c r="R32" s="1146" t="s">
        <v>61</v>
      </c>
      <c r="S32" s="1147">
        <f t="shared" si="12"/>
        <v>100</v>
      </c>
      <c r="T32" s="1146" t="s">
        <v>61</v>
      </c>
      <c r="U32" s="1147">
        <f t="shared" si="13"/>
        <v>100</v>
      </c>
      <c r="V32" s="1146" t="s">
        <v>61</v>
      </c>
      <c r="W32" s="1147">
        <f t="shared" si="14"/>
        <v>100</v>
      </c>
      <c r="X32" s="1133"/>
      <c r="Y32" s="3362" t="s">
        <v>946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47"/>
      <c r="Q33" s="1153" t="str">
        <f t="shared" si="11"/>
        <v>项目建筑规模</v>
      </c>
      <c r="R33" s="1154" t="s">
        <v>61</v>
      </c>
      <c r="S33" s="1155" t="e">
        <f t="shared" si="12"/>
        <v>#N/A</v>
      </c>
      <c r="T33" s="1154" t="s">
        <v>61</v>
      </c>
      <c r="U33" s="1155" t="e">
        <f t="shared" si="13"/>
        <v>#N/A</v>
      </c>
      <c r="V33" s="1154" t="s">
        <v>61</v>
      </c>
      <c r="W33" s="1155" t="e">
        <f t="shared" si="14"/>
        <v>#N/A</v>
      </c>
      <c r="X33" s="1156"/>
      <c r="Y33" s="336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47"/>
      <c r="Q34" s="1145" t="str">
        <f t="shared" si="11"/>
        <v>建筑结构</v>
      </c>
      <c r="R34" s="1146" t="s">
        <v>61</v>
      </c>
      <c r="S34" s="1147">
        <f t="shared" si="12"/>
        <v>100</v>
      </c>
      <c r="T34" s="1146" t="s">
        <v>61</v>
      </c>
      <c r="U34" s="1147">
        <f t="shared" si="13"/>
        <v>100</v>
      </c>
      <c r="V34" s="1146" t="s">
        <v>61</v>
      </c>
      <c r="W34" s="1147">
        <f t="shared" si="14"/>
        <v>100</v>
      </c>
      <c r="X34" s="1133"/>
      <c r="Y34" s="3362"/>
      <c r="Z34" s="1148" t="str">
        <f t="shared" si="15"/>
        <v>建筑结构</v>
      </c>
      <c r="AA34" s="1149">
        <f t="shared" si="3"/>
        <v>1</v>
      </c>
      <c r="AB34" s="1149">
        <f t="shared" si="4"/>
        <v>1</v>
      </c>
      <c r="AC34" s="1149">
        <f t="shared" si="5"/>
        <v>1</v>
      </c>
    </row>
    <row r="35" spans="1:29" ht="15">
      <c r="A35" s="111"/>
      <c r="B35" s="4" t="s">
        <v>947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47"/>
      <c r="Q35" s="1145" t="str">
        <f t="shared" si="11"/>
        <v>公共部分装修</v>
      </c>
      <c r="R35" s="1146" t="s">
        <v>61</v>
      </c>
      <c r="S35" s="1147">
        <f t="shared" si="12"/>
        <v>100</v>
      </c>
      <c r="T35" s="1146" t="s">
        <v>61</v>
      </c>
      <c r="U35" s="1147">
        <f t="shared" si="13"/>
        <v>100</v>
      </c>
      <c r="V35" s="1146" t="s">
        <v>61</v>
      </c>
      <c r="W35" s="1147">
        <f t="shared" si="14"/>
        <v>100</v>
      </c>
      <c r="X35" s="1133"/>
      <c r="Y35" s="3362"/>
      <c r="Z35" s="1148" t="str">
        <f t="shared" si="15"/>
        <v>公共部分装修</v>
      </c>
      <c r="AA35" s="1149">
        <f t="shared" si="3"/>
        <v>1</v>
      </c>
      <c r="AB35" s="1149">
        <f t="shared" si="4"/>
        <v>1</v>
      </c>
      <c r="AC35" s="1149">
        <f t="shared" si="5"/>
        <v>1</v>
      </c>
    </row>
    <row r="36" spans="1:29" ht="15">
      <c r="A36" s="111"/>
      <c r="B36" s="4" t="s">
        <v>948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47"/>
      <c r="Q36" s="1145" t="str">
        <f t="shared" si="11"/>
        <v>成新度</v>
      </c>
      <c r="R36" s="1146" t="s">
        <v>61</v>
      </c>
      <c r="S36" s="1147" t="e">
        <f t="shared" si="12"/>
        <v>#N/A</v>
      </c>
      <c r="T36" s="1146" t="s">
        <v>61</v>
      </c>
      <c r="U36" s="1147" t="e">
        <f t="shared" si="13"/>
        <v>#N/A</v>
      </c>
      <c r="V36" s="1146" t="s">
        <v>61</v>
      </c>
      <c r="W36" s="1147" t="e">
        <f t="shared" si="14"/>
        <v>#N/A</v>
      </c>
      <c r="X36" s="1133"/>
      <c r="Y36" s="3362"/>
      <c r="Z36" s="1148" t="str">
        <f t="shared" si="15"/>
        <v>成新度</v>
      </c>
      <c r="AA36" s="1149" t="e">
        <f t="shared" si="3"/>
        <v>#N/A</v>
      </c>
      <c r="AB36" s="1149" t="e">
        <f t="shared" si="4"/>
        <v>#N/A</v>
      </c>
      <c r="AC36" s="1149" t="e">
        <f t="shared" si="5"/>
        <v>#N/A</v>
      </c>
    </row>
    <row r="37" spans="1:29" s="11" customFormat="1" ht="15">
      <c r="A37" s="900"/>
      <c r="B37" s="4" t="s">
        <v>2549</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47"/>
      <c r="Q37" s="2" t="str">
        <f t="shared" si="11"/>
        <v>市政基础设施</v>
      </c>
      <c r="R37" s="1135" t="s">
        <v>61</v>
      </c>
      <c r="S37" s="1136">
        <f t="shared" si="12"/>
        <v>100</v>
      </c>
      <c r="T37" s="1135" t="s">
        <v>61</v>
      </c>
      <c r="U37" s="1136">
        <f t="shared" si="13"/>
        <v>100</v>
      </c>
      <c r="V37" s="1135" t="s">
        <v>61</v>
      </c>
      <c r="W37" s="1136">
        <f t="shared" si="14"/>
        <v>100</v>
      </c>
      <c r="X37" s="184"/>
      <c r="Y37" s="336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47" t="s">
        <v>949</v>
      </c>
      <c r="Q38" s="1145" t="str">
        <f t="shared" si="11"/>
        <v>业态</v>
      </c>
      <c r="R38" s="1146" t="s">
        <v>61</v>
      </c>
      <c r="S38" s="1147">
        <f t="shared" si="12"/>
        <v>100</v>
      </c>
      <c r="T38" s="1146" t="s">
        <v>61</v>
      </c>
      <c r="U38" s="1147">
        <f t="shared" si="13"/>
        <v>100</v>
      </c>
      <c r="V38" s="1146" t="s">
        <v>61</v>
      </c>
      <c r="W38" s="1147">
        <f t="shared" si="14"/>
        <v>100</v>
      </c>
      <c r="X38" s="1133"/>
      <c r="Y38" s="3362" t="s">
        <v>949</v>
      </c>
      <c r="Z38" s="1148" t="str">
        <f t="shared" si="15"/>
        <v>业态</v>
      </c>
      <c r="AA38" s="1149">
        <f t="shared" si="3"/>
        <v>1</v>
      </c>
      <c r="AB38" s="1149">
        <f t="shared" si="4"/>
        <v>1</v>
      </c>
      <c r="AC38" s="1149">
        <f t="shared" si="5"/>
        <v>1</v>
      </c>
    </row>
    <row r="39" spans="1:29" ht="15">
      <c r="A39" s="111"/>
      <c r="B39" s="4" t="s">
        <v>950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47"/>
      <c r="Q39" s="1145" t="str">
        <f t="shared" si="11"/>
        <v>层高</v>
      </c>
      <c r="R39" s="1146" t="s">
        <v>61</v>
      </c>
      <c r="S39" s="1147">
        <f t="shared" si="12"/>
        <v>100</v>
      </c>
      <c r="T39" s="1146" t="s">
        <v>61</v>
      </c>
      <c r="U39" s="1147">
        <f t="shared" si="13"/>
        <v>100</v>
      </c>
      <c r="V39" s="1146" t="s">
        <v>61</v>
      </c>
      <c r="W39" s="1147">
        <f t="shared" si="14"/>
        <v>100</v>
      </c>
      <c r="X39" s="1133"/>
      <c r="Y39" s="3362"/>
      <c r="Z39" s="1148" t="str">
        <f t="shared" si="15"/>
        <v>层高</v>
      </c>
      <c r="AA39" s="1149">
        <f t="shared" si="3"/>
        <v>1</v>
      </c>
      <c r="AB39" s="1149">
        <f t="shared" si="4"/>
        <v>1</v>
      </c>
      <c r="AC39" s="1149">
        <f t="shared" si="5"/>
        <v>1</v>
      </c>
    </row>
    <row r="40" spans="1:29" ht="14.25">
      <c r="A40" s="111"/>
      <c r="B40" s="4" t="s">
        <v>951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47"/>
      <c r="Q40" s="1145" t="str">
        <f t="shared" si="11"/>
        <v>单套建筑面积</v>
      </c>
      <c r="R40" s="1146" t="s">
        <v>61</v>
      </c>
      <c r="S40" s="1147">
        <f t="shared" si="12"/>
        <v>100</v>
      </c>
      <c r="T40" s="1146" t="s">
        <v>61</v>
      </c>
      <c r="U40" s="1147">
        <f t="shared" si="13"/>
        <v>100</v>
      </c>
      <c r="V40" s="1146" t="s">
        <v>61</v>
      </c>
      <c r="W40" s="1147">
        <f t="shared" si="14"/>
        <v>100</v>
      </c>
      <c r="X40" s="1133"/>
      <c r="Y40" s="3362"/>
      <c r="Z40" s="1148" t="str">
        <f t="shared" si="15"/>
        <v>单套建筑面积</v>
      </c>
      <c r="AA40" s="1149">
        <f t="shared" si="3"/>
        <v>1</v>
      </c>
      <c r="AB40" s="1149">
        <f t="shared" si="4"/>
        <v>1</v>
      </c>
      <c r="AC40" s="1149">
        <f t="shared" si="5"/>
        <v>1</v>
      </c>
    </row>
    <row r="41" spans="1:29" s="898" customFormat="1" ht="15">
      <c r="A41" s="902"/>
      <c r="B41" s="143" t="s">
        <v>952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47"/>
      <c r="Q41" s="1153" t="str">
        <f t="shared" si="11"/>
        <v>进深比</v>
      </c>
      <c r="R41" s="1154" t="s">
        <v>61</v>
      </c>
      <c r="S41" s="1155">
        <f t="shared" si="12"/>
        <v>100</v>
      </c>
      <c r="T41" s="1154" t="s">
        <v>61</v>
      </c>
      <c r="U41" s="1155">
        <f t="shared" si="13"/>
        <v>100</v>
      </c>
      <c r="V41" s="1154" t="s">
        <v>61</v>
      </c>
      <c r="W41" s="1155">
        <f t="shared" si="14"/>
        <v>100</v>
      </c>
      <c r="X41" s="1156"/>
      <c r="Y41" s="3362"/>
      <c r="Z41" s="1157" t="str">
        <f t="shared" si="15"/>
        <v>进深比</v>
      </c>
      <c r="AA41" s="1149">
        <f t="shared" si="3"/>
        <v>1</v>
      </c>
      <c r="AB41" s="1149">
        <f t="shared" si="4"/>
        <v>1</v>
      </c>
      <c r="AC41" s="1149">
        <f t="shared" si="5"/>
        <v>1</v>
      </c>
    </row>
    <row r="42" spans="1:29" ht="15">
      <c r="A42" s="111"/>
      <c r="B42" s="4" t="s">
        <v>953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47"/>
      <c r="Q42" s="1145" t="str">
        <f t="shared" si="11"/>
        <v>内部装修</v>
      </c>
      <c r="R42" s="1146" t="s">
        <v>61</v>
      </c>
      <c r="S42" s="1147">
        <f t="shared" si="12"/>
        <v>100</v>
      </c>
      <c r="T42" s="1146" t="s">
        <v>61</v>
      </c>
      <c r="U42" s="1147">
        <f t="shared" si="13"/>
        <v>100</v>
      </c>
      <c r="V42" s="1146" t="s">
        <v>61</v>
      </c>
      <c r="W42" s="1147">
        <f t="shared" si="14"/>
        <v>100</v>
      </c>
      <c r="X42" s="1133"/>
      <c r="Y42" s="336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47"/>
      <c r="Q43" s="1145" t="str">
        <f t="shared" si="11"/>
        <v>内部装修维护情况</v>
      </c>
      <c r="R43" s="1146" t="s">
        <v>61</v>
      </c>
      <c r="S43" s="1147">
        <f t="shared" si="12"/>
        <v>100</v>
      </c>
      <c r="T43" s="1146" t="s">
        <v>61</v>
      </c>
      <c r="U43" s="1147">
        <f t="shared" si="13"/>
        <v>100</v>
      </c>
      <c r="V43" s="1146" t="s">
        <v>61</v>
      </c>
      <c r="W43" s="1147">
        <f t="shared" si="14"/>
        <v>100</v>
      </c>
      <c r="X43" s="1133"/>
      <c r="Y43" s="336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47"/>
      <c r="Q44" s="2">
        <f t="shared" si="11"/>
        <v>111</v>
      </c>
      <c r="R44" s="1135" t="s">
        <v>61</v>
      </c>
      <c r="S44" s="1136">
        <f t="shared" si="12"/>
        <v>100</v>
      </c>
      <c r="T44" s="1135" t="s">
        <v>61</v>
      </c>
      <c r="U44" s="1136">
        <f t="shared" si="13"/>
        <v>100</v>
      </c>
      <c r="V44" s="1135" t="s">
        <v>61</v>
      </c>
      <c r="W44" s="1136">
        <f t="shared" si="14"/>
        <v>100</v>
      </c>
      <c r="X44" s="184"/>
      <c r="Y44" s="336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47"/>
      <c r="Q45" s="1145">
        <f t="shared" si="11"/>
        <v>111</v>
      </c>
      <c r="R45" s="1146" t="s">
        <v>61</v>
      </c>
      <c r="S45" s="1147">
        <f t="shared" si="12"/>
        <v>100</v>
      </c>
      <c r="T45" s="1146" t="s">
        <v>61</v>
      </c>
      <c r="U45" s="1147">
        <f t="shared" si="13"/>
        <v>100</v>
      </c>
      <c r="V45" s="1146" t="s">
        <v>61</v>
      </c>
      <c r="W45" s="1147">
        <f t="shared" si="14"/>
        <v>100</v>
      </c>
      <c r="X45" s="1133"/>
      <c r="Y45" s="336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48"/>
      <c r="Q46" s="1145">
        <f t="shared" si="11"/>
        <v>111</v>
      </c>
      <c r="R46" s="1146" t="s">
        <v>61</v>
      </c>
      <c r="S46" s="1147">
        <f t="shared" si="12"/>
        <v>100</v>
      </c>
      <c r="T46" s="1146" t="s">
        <v>61</v>
      </c>
      <c r="U46" s="1147">
        <f t="shared" si="13"/>
        <v>100</v>
      </c>
      <c r="V46" s="1146" t="s">
        <v>61</v>
      </c>
      <c r="W46" s="1147">
        <f t="shared" si="14"/>
        <v>100</v>
      </c>
      <c r="X46" s="1133"/>
      <c r="Y46" s="3363"/>
      <c r="Z46" s="1148">
        <f t="shared" si="15"/>
        <v>111</v>
      </c>
      <c r="AA46" s="1149">
        <f t="shared" si="3"/>
        <v>1</v>
      </c>
      <c r="AB46" s="1149">
        <f t="shared" si="4"/>
        <v>1</v>
      </c>
      <c r="AC46" s="1149">
        <f t="shared" si="5"/>
        <v>1</v>
      </c>
    </row>
    <row r="47" spans="1:29" ht="15">
      <c r="A47" s="113" t="s">
        <v>954</v>
      </c>
      <c r="B47" s="114"/>
      <c r="C47" s="2608" t="s">
        <v>20</v>
      </c>
      <c r="D47" s="2609"/>
      <c r="E47" s="2610"/>
      <c r="F47" s="2611"/>
      <c r="G47" s="2612"/>
      <c r="H47" s="2613"/>
      <c r="I47" s="2610"/>
      <c r="J47" s="2613"/>
      <c r="K47" s="1188"/>
      <c r="L47" s="2170"/>
      <c r="M47" s="2171"/>
      <c r="N47" s="2163"/>
      <c r="O47" s="2171"/>
      <c r="P47" s="3355" t="str">
        <f>A47</f>
        <v>成交单价（元/平方米）</v>
      </c>
      <c r="Q47" s="3355"/>
      <c r="R47" s="3356">
        <f>E47</f>
        <v>0</v>
      </c>
      <c r="S47" s="3356"/>
      <c r="T47" s="3356">
        <f>G47</f>
        <v>0</v>
      </c>
      <c r="U47" s="3356"/>
      <c r="V47" s="3356">
        <f>I47</f>
        <v>0</v>
      </c>
      <c r="W47" s="3356"/>
      <c r="X47" s="1159"/>
      <c r="Y47" s="1160"/>
      <c r="Z47" s="1159"/>
      <c r="AA47" s="1159"/>
      <c r="AB47" s="1159"/>
      <c r="AC47" s="1159"/>
    </row>
    <row r="48" spans="1:29" ht="15.75" thickBot="1">
      <c r="A48" s="115" t="s">
        <v>955</v>
      </c>
      <c r="B48" s="116"/>
      <c r="C48" s="2614" t="e">
        <f>R49</f>
        <v>#DIV/0!</v>
      </c>
      <c r="D48" s="2615"/>
      <c r="E48" s="2616" t="e">
        <f>R48</f>
        <v>#DIV/0!</v>
      </c>
      <c r="F48" s="2616"/>
      <c r="G48" s="2614" t="e">
        <f>T48</f>
        <v>#DIV/0!</v>
      </c>
      <c r="H48" s="2615"/>
      <c r="I48" s="2616" t="e">
        <f>V48</f>
        <v>#DIV/0!</v>
      </c>
      <c r="J48" s="2615"/>
      <c r="K48" s="1189"/>
      <c r="L48" s="2170"/>
      <c r="M48" s="2171"/>
      <c r="N48" s="2163"/>
      <c r="O48" s="2171"/>
      <c r="P48" s="3355" t="str">
        <f>A48</f>
        <v>比较价值（元/平方米）</v>
      </c>
      <c r="Q48" s="3355"/>
      <c r="R48" s="3356" t="e">
        <f>IF(E1="售价",ROUND(PRODUCT(R47,AA7:AA46),0),ROUND(PRODUCT(R47,AA7:AA46),1))</f>
        <v>#DIV/0!</v>
      </c>
      <c r="S48" s="3356"/>
      <c r="T48" s="3356" t="e">
        <f>IF(E1="售价",ROUND(PRODUCT(T47,AB7:AB46),0),ROUND(PRODUCT(T47,AB7:AB46),1))</f>
        <v>#DIV/0!</v>
      </c>
      <c r="U48" s="3356"/>
      <c r="V48" s="3356" t="e">
        <f>IF(E1="售价",ROUND(PRODUCT(V47,AC7:AC46),0),ROUND(PRODUCT(V47,AC7:AC46),1))</f>
        <v>#DIV/0!</v>
      </c>
      <c r="W48" s="3356"/>
      <c r="X48" s="1159"/>
      <c r="Y48" s="1159"/>
      <c r="Z48" s="1159"/>
      <c r="AA48" s="1159"/>
      <c r="AB48" s="1159"/>
      <c r="AC48" s="1159"/>
    </row>
    <row r="49" spans="1:29" ht="15.75" thickBot="1">
      <c r="A49" s="62" t="s">
        <v>956</v>
      </c>
      <c r="B49" s="63"/>
      <c r="C49" s="2618" t="e">
        <f>R49</f>
        <v>#DIV/0!</v>
      </c>
      <c r="D49" s="2618"/>
      <c r="E49" s="2618"/>
      <c r="F49" s="2618"/>
      <c r="G49" s="2618"/>
      <c r="H49" s="2618"/>
      <c r="I49" s="2618"/>
      <c r="J49" s="2618"/>
      <c r="K49" s="1190"/>
      <c r="L49" s="2170"/>
      <c r="M49" s="2171"/>
      <c r="N49" s="2163"/>
      <c r="O49" s="2171"/>
      <c r="P49" s="3443" t="str">
        <f>A49</f>
        <v>估价对象XX用房的比较价值（楼面单价，元/平方米）</v>
      </c>
      <c r="Q49" s="3354"/>
      <c r="R49" s="3358" t="e">
        <f>IF(E1="售价",ROUND(AVERAGE(R48:V48),0),ROUND(AVERAGE(R48:V48),1))</f>
        <v>#DIV/0!</v>
      </c>
      <c r="S49" s="3358"/>
      <c r="T49" s="3358"/>
      <c r="U49" s="3358"/>
      <c r="V49" s="3358"/>
      <c r="W49" s="3358"/>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957</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958</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959</v>
      </c>
      <c r="B60" s="911"/>
      <c r="C60" s="716"/>
      <c r="D60" s="717"/>
      <c r="E60" s="717"/>
      <c r="F60" s="717"/>
      <c r="G60" s="717"/>
      <c r="H60" s="717"/>
      <c r="I60" s="717"/>
      <c r="J60" s="717"/>
      <c r="K60" s="717"/>
      <c r="L60" s="717"/>
      <c r="M60" s="718"/>
      <c r="N60" s="717"/>
      <c r="O60" s="718"/>
      <c r="P60" s="1172"/>
      <c r="Q60" s="68"/>
    </row>
    <row r="61" spans="1:29" s="11" customFormat="1">
      <c r="A61" s="912" t="s">
        <v>960</v>
      </c>
      <c r="B61" s="909"/>
      <c r="C61" s="913" t="s">
        <v>961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962</v>
      </c>
      <c r="B63" s="183" t="s">
        <v>963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966</v>
      </c>
      <c r="B76" s="183" t="s">
        <v>967</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2550</v>
      </c>
      <c r="C82" s="129" t="s">
        <v>2542</v>
      </c>
      <c r="D82" s="129" t="s">
        <v>2543</v>
      </c>
      <c r="E82" s="129" t="s">
        <v>2544</v>
      </c>
      <c r="F82" s="129" t="s">
        <v>2545</v>
      </c>
      <c r="G82" s="129" t="s">
        <v>2546</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976</v>
      </c>
      <c r="B100" s="183" t="s">
        <v>977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980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981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2541</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982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987</v>
      </c>
      <c r="C124" s="133" t="s">
        <v>968</v>
      </c>
      <c r="D124" s="133" t="s">
        <v>969</v>
      </c>
      <c r="E124" s="133" t="s">
        <v>970</v>
      </c>
      <c r="F124" s="133" t="s">
        <v>971</v>
      </c>
      <c r="G124" s="133" t="s">
        <v>972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1018</v>
      </c>
      <c r="B1" s="2890" t="s">
        <v>1019</v>
      </c>
      <c r="C1" s="2891"/>
      <c r="D1" s="2895"/>
      <c r="E1" s="2893"/>
      <c r="F1" s="2894" t="s">
        <v>1020</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1021</v>
      </c>
      <c r="B2" s="2885" t="e">
        <f ca="1">IF(D2="——",IF(C2="元",ROUND(C43*D3,0),ROUND(C43*D3/10000,0)),IF(C2="元",ROUND(C43*D3,0),ROUND(C43*D3/10000,0))-E2)</f>
        <v>#DIV/0!</v>
      </c>
      <c r="C2" s="32" t="str">
        <f>'数据-取费表'!B3</f>
        <v>万元</v>
      </c>
      <c r="D2" s="2886"/>
      <c r="E2" s="2905" t="e">
        <f ca="1">SUMIF(INDIRECT("'"&amp;G2&amp;"'"&amp;"!A:A"),"承租人权益价值",INDIRECT("'"&amp;G2&amp;"'"&amp;"!c:c"))</f>
        <v>#REF!</v>
      </c>
      <c r="F2" s="2887" t="str">
        <f>C2</f>
        <v>万元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1022</v>
      </c>
      <c r="B3" s="811" t="e">
        <f ca="1">ROUND(IF(D2="——",C43,IF(C2="万元",B2*10000/D3,B2/D3)),0)</f>
        <v>#DIV/0!</v>
      </c>
      <c r="C3" s="89" t="s">
        <v>1023</v>
      </c>
      <c r="D3" s="596">
        <f>IF(C1="仅计算典型户型",'数据-取费表'!E5,'数据-取费表'!B5)</f>
        <v>123.8</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1024</v>
      </c>
      <c r="B4" s="91"/>
      <c r="C4" s="3380" t="s">
        <v>1025</v>
      </c>
      <c r="D4" s="3381"/>
      <c r="E4" s="3382" t="s">
        <v>1026</v>
      </c>
      <c r="F4" s="3383"/>
      <c r="G4" s="3380" t="s">
        <v>1027</v>
      </c>
      <c r="H4" s="3381"/>
      <c r="I4" s="3380" t="s">
        <v>1028</v>
      </c>
      <c r="J4" s="3381"/>
      <c r="K4" s="139" t="s">
        <v>1029</v>
      </c>
      <c r="L4" s="2162"/>
      <c r="M4" s="2163"/>
      <c r="N4" s="2163"/>
      <c r="O4" s="2163"/>
      <c r="P4" s="3450" t="s">
        <v>1024</v>
      </c>
      <c r="Q4" s="3373"/>
      <c r="R4" s="3366" t="s">
        <v>1026</v>
      </c>
      <c r="S4" s="3367"/>
      <c r="T4" s="3366" t="s">
        <v>1027</v>
      </c>
      <c r="U4" s="3367"/>
      <c r="V4" s="3388" t="s">
        <v>1028</v>
      </c>
      <c r="W4" s="3388"/>
      <c r="X4" s="1133"/>
      <c r="Y4" s="3366" t="s">
        <v>1024</v>
      </c>
      <c r="Z4" s="3367"/>
      <c r="AA4" s="3377" t="s">
        <v>1026</v>
      </c>
      <c r="AB4" s="3378" t="s">
        <v>1027</v>
      </c>
      <c r="AC4" s="3377" t="s">
        <v>1028</v>
      </c>
    </row>
    <row r="5" spans="1:29">
      <c r="A5" s="93"/>
      <c r="B5" s="94"/>
      <c r="C5" s="3391" t="s">
        <v>1030</v>
      </c>
      <c r="D5" s="3392"/>
      <c r="E5" s="3389" t="s">
        <v>1031</v>
      </c>
      <c r="F5" s="3390"/>
      <c r="G5" s="3391" t="s">
        <v>1032</v>
      </c>
      <c r="H5" s="3392"/>
      <c r="I5" s="3391" t="s">
        <v>1033</v>
      </c>
      <c r="J5" s="3392"/>
      <c r="K5" s="139"/>
      <c r="L5" s="2162"/>
      <c r="M5" s="2163"/>
      <c r="N5" s="2163"/>
      <c r="O5" s="2163"/>
      <c r="P5" s="3451"/>
      <c r="Q5" s="3374"/>
      <c r="R5" s="3368"/>
      <c r="S5" s="3369"/>
      <c r="T5" s="3368"/>
      <c r="U5" s="3369"/>
      <c r="V5" s="3388"/>
      <c r="W5" s="3388"/>
      <c r="X5" s="1133"/>
      <c r="Y5" s="3368"/>
      <c r="Z5" s="3369"/>
      <c r="AA5" s="3378"/>
      <c r="AB5" s="3378"/>
      <c r="AC5" s="3378"/>
    </row>
    <row r="6" spans="1:29" ht="14.25" thickBot="1">
      <c r="A6" s="95"/>
      <c r="B6" s="96"/>
      <c r="C6" s="3393" t="s">
        <v>1034</v>
      </c>
      <c r="D6" s="3394"/>
      <c r="E6" s="3395" t="s">
        <v>1034</v>
      </c>
      <c r="F6" s="3396"/>
      <c r="G6" s="3393" t="s">
        <v>1034</v>
      </c>
      <c r="H6" s="3394"/>
      <c r="I6" s="3393" t="s">
        <v>1034</v>
      </c>
      <c r="J6" s="3394"/>
      <c r="K6" s="139" t="s">
        <v>1035</v>
      </c>
      <c r="L6" s="2162"/>
      <c r="M6" s="2163"/>
      <c r="N6" s="2163"/>
      <c r="O6" s="2163"/>
      <c r="P6" s="3452"/>
      <c r="Q6" s="3387"/>
      <c r="R6" s="3368"/>
      <c r="S6" s="3369"/>
      <c r="T6" s="3370"/>
      <c r="U6" s="3371"/>
      <c r="V6" s="3388"/>
      <c r="W6" s="3388"/>
      <c r="X6" s="1133"/>
      <c r="Y6" s="3370"/>
      <c r="Z6" s="3371"/>
      <c r="AA6" s="3379"/>
      <c r="AB6" s="3379"/>
      <c r="AC6" s="3379"/>
    </row>
    <row r="7" spans="1:29" s="11" customFormat="1" ht="15" thickBot="1">
      <c r="A7" s="872" t="s">
        <v>1036</v>
      </c>
      <c r="B7" s="873"/>
      <c r="C7" s="607">
        <f>'数据-取费表'!B2</f>
        <v>42992</v>
      </c>
      <c r="D7" s="608">
        <v>100</v>
      </c>
      <c r="E7" s="875"/>
      <c r="F7" s="610">
        <f>SUMIF(52:52,YEAR(E7)&amp;"-"&amp;MONTH(E7),53:53)</f>
        <v>0</v>
      </c>
      <c r="G7" s="875"/>
      <c r="H7" s="608">
        <f>SUMIF(52:52,YEAR(G7)&amp;"-"&amp;MONTH(G7),53:53)</f>
        <v>0</v>
      </c>
      <c r="I7" s="875"/>
      <c r="J7" s="608">
        <f>SUMIF(52:52,YEAR(I7)&amp;"-"&amp;MONTH(I7),53:53)</f>
        <v>0</v>
      </c>
      <c r="K7" s="877"/>
      <c r="L7" s="2164"/>
      <c r="M7" s="2106"/>
      <c r="N7" s="2106"/>
      <c r="O7" s="2106"/>
      <c r="P7" s="3364" t="s">
        <v>1036</v>
      </c>
      <c r="Q7" s="3372"/>
      <c r="R7" s="1135" t="s">
        <v>61</v>
      </c>
      <c r="S7" s="1136">
        <f t="shared" ref="S7:S15" si="0">F7</f>
        <v>0</v>
      </c>
      <c r="T7" s="1135" t="s">
        <v>61</v>
      </c>
      <c r="U7" s="1136">
        <f t="shared" ref="U7:U15" si="1">H7</f>
        <v>0</v>
      </c>
      <c r="V7" s="1135" t="s">
        <v>61</v>
      </c>
      <c r="W7" s="1136">
        <f t="shared" ref="W7:W15" si="2">J7</f>
        <v>0</v>
      </c>
      <c r="X7" s="184"/>
      <c r="Y7" s="3364" t="s">
        <v>1036</v>
      </c>
      <c r="Z7" s="3365"/>
      <c r="AA7" s="1137" t="e">
        <f>D7/F7</f>
        <v>#DIV/0!</v>
      </c>
      <c r="AB7" s="1137" t="e">
        <f>D7/H7</f>
        <v>#DIV/0!</v>
      </c>
      <c r="AC7" s="1137" t="e">
        <f>D7/J7</f>
        <v>#DIV/0!</v>
      </c>
    </row>
    <row r="8" spans="1:29" s="11" customFormat="1" ht="15" thickBot="1">
      <c r="A8" s="872" t="s">
        <v>1037</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364" t="s">
        <v>939</v>
      </c>
      <c r="Q8" s="3365"/>
      <c r="R8" s="1135" t="s">
        <v>61</v>
      </c>
      <c r="S8" s="1136">
        <f t="shared" si="0"/>
        <v>100</v>
      </c>
      <c r="T8" s="1135" t="s">
        <v>61</v>
      </c>
      <c r="U8" s="1136">
        <f t="shared" si="1"/>
        <v>100</v>
      </c>
      <c r="V8" s="1135" t="s">
        <v>61</v>
      </c>
      <c r="W8" s="1136">
        <f t="shared" si="2"/>
        <v>100</v>
      </c>
      <c r="X8" s="184"/>
      <c r="Y8" s="3364" t="s">
        <v>939</v>
      </c>
      <c r="Z8" s="3365"/>
      <c r="AA8" s="1137">
        <f t="shared" ref="AA8:AA40" si="3">D8/F8</f>
        <v>1</v>
      </c>
      <c r="AB8" s="1137">
        <f t="shared" ref="AB8:AB40" si="4">D8/H8</f>
        <v>1</v>
      </c>
      <c r="AC8" s="1137">
        <f t="shared" ref="AC8:AC40" si="5">D8/J8</f>
        <v>1</v>
      </c>
    </row>
    <row r="9" spans="1:29" s="11" customFormat="1" ht="14.25">
      <c r="A9" s="879" t="s">
        <v>940</v>
      </c>
      <c r="B9" s="20" t="s">
        <v>941</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355" t="s">
        <v>63</v>
      </c>
      <c r="Q9" s="2" t="str">
        <f t="shared" ref="Q9:Q15" si="6">B9</f>
        <v>用途</v>
      </c>
      <c r="R9" s="1135" t="s">
        <v>61</v>
      </c>
      <c r="S9" s="1136">
        <f t="shared" si="0"/>
        <v>100</v>
      </c>
      <c r="T9" s="1135" t="s">
        <v>61</v>
      </c>
      <c r="U9" s="1136">
        <f t="shared" si="1"/>
        <v>100</v>
      </c>
      <c r="V9" s="1135" t="s">
        <v>61</v>
      </c>
      <c r="W9" s="1136">
        <f t="shared" si="2"/>
        <v>100</v>
      </c>
      <c r="X9" s="184"/>
      <c r="Y9" s="321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355"/>
      <c r="Q10" s="2" t="str">
        <f t="shared" si="6"/>
        <v>土地使用年限（年）</v>
      </c>
      <c r="R10" s="1135" t="s">
        <v>61</v>
      </c>
      <c r="S10" s="1136">
        <f t="shared" si="0"/>
        <v>100</v>
      </c>
      <c r="T10" s="1135" t="s">
        <v>61</v>
      </c>
      <c r="U10" s="1136">
        <f t="shared" si="1"/>
        <v>100</v>
      </c>
      <c r="V10" s="1135" t="s">
        <v>61</v>
      </c>
      <c r="W10" s="1136">
        <f t="shared" si="2"/>
        <v>100</v>
      </c>
      <c r="X10" s="184"/>
      <c r="Y10" s="3216"/>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355"/>
      <c r="Q11" s="2" t="str">
        <f t="shared" si="6"/>
        <v>容积率</v>
      </c>
      <c r="R11" s="1135" t="s">
        <v>61</v>
      </c>
      <c r="S11" s="1136" t="e">
        <f t="shared" si="0"/>
        <v>#N/A</v>
      </c>
      <c r="T11" s="1135" t="s">
        <v>61</v>
      </c>
      <c r="U11" s="1136" t="e">
        <f t="shared" si="1"/>
        <v>#N/A</v>
      </c>
      <c r="V11" s="1135" t="s">
        <v>61</v>
      </c>
      <c r="W11" s="1136" t="e">
        <f t="shared" si="2"/>
        <v>#N/A</v>
      </c>
      <c r="X11" s="184"/>
      <c r="Y11" s="3216"/>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355"/>
      <c r="Q12" s="2">
        <f t="shared" si="6"/>
        <v>111</v>
      </c>
      <c r="R12" s="1135" t="s">
        <v>61</v>
      </c>
      <c r="S12" s="1136">
        <f t="shared" si="0"/>
        <v>100</v>
      </c>
      <c r="T12" s="1135" t="s">
        <v>61</v>
      </c>
      <c r="U12" s="1136">
        <f t="shared" si="1"/>
        <v>100</v>
      </c>
      <c r="V12" s="1135" t="s">
        <v>61</v>
      </c>
      <c r="W12" s="1136">
        <f t="shared" si="2"/>
        <v>100</v>
      </c>
      <c r="X12" s="184"/>
      <c r="Y12" s="3216"/>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355"/>
      <c r="Q13" s="2">
        <f t="shared" si="6"/>
        <v>111</v>
      </c>
      <c r="R13" s="1135" t="s">
        <v>61</v>
      </c>
      <c r="S13" s="1136">
        <f t="shared" si="0"/>
        <v>100</v>
      </c>
      <c r="T13" s="1135" t="s">
        <v>61</v>
      </c>
      <c r="U13" s="1136">
        <f t="shared" si="1"/>
        <v>100</v>
      </c>
      <c r="V13" s="1135" t="s">
        <v>61</v>
      </c>
      <c r="W13" s="1136">
        <f t="shared" si="2"/>
        <v>100</v>
      </c>
      <c r="X13" s="184"/>
      <c r="Y13" s="3216"/>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355"/>
      <c r="Q14" s="2">
        <f t="shared" si="6"/>
        <v>111</v>
      </c>
      <c r="R14" s="1135" t="s">
        <v>61</v>
      </c>
      <c r="S14" s="1136">
        <f t="shared" si="0"/>
        <v>100</v>
      </c>
      <c r="T14" s="1135" t="s">
        <v>61</v>
      </c>
      <c r="U14" s="1136">
        <f t="shared" si="1"/>
        <v>100</v>
      </c>
      <c r="V14" s="1135" t="s">
        <v>61</v>
      </c>
      <c r="W14" s="1136">
        <f t="shared" si="2"/>
        <v>100</v>
      </c>
      <c r="X14" s="184"/>
      <c r="Y14" s="3216"/>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375" t="s">
        <v>65</v>
      </c>
      <c r="Q15" s="1145" t="str">
        <f t="shared" si="6"/>
        <v>产业集聚程度</v>
      </c>
      <c r="R15" s="1146" t="s">
        <v>61</v>
      </c>
      <c r="S15" s="1147">
        <f t="shared" si="0"/>
        <v>100</v>
      </c>
      <c r="T15" s="1146" t="s">
        <v>61</v>
      </c>
      <c r="U15" s="1147">
        <f t="shared" si="1"/>
        <v>100</v>
      </c>
      <c r="V15" s="1146" t="s">
        <v>61</v>
      </c>
      <c r="W15" s="1147">
        <f t="shared" si="2"/>
        <v>100</v>
      </c>
      <c r="X15" s="1133"/>
      <c r="Y15" s="3375"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376"/>
      <c r="Q16" s="1145"/>
      <c r="R16" s="1146"/>
      <c r="S16" s="1147"/>
      <c r="T16" s="1146"/>
      <c r="U16" s="1147"/>
      <c r="V16" s="1146"/>
      <c r="W16" s="1147"/>
      <c r="X16" s="1133"/>
      <c r="Y16" s="3376"/>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376"/>
      <c r="Q17" s="1145" t="str">
        <f>B17</f>
        <v>交通便捷度</v>
      </c>
      <c r="R17" s="1146" t="s">
        <v>61</v>
      </c>
      <c r="S17" s="1147">
        <f>F17</f>
        <v>100</v>
      </c>
      <c r="T17" s="1146" t="s">
        <v>61</v>
      </c>
      <c r="U17" s="1147">
        <f>H17</f>
        <v>100</v>
      </c>
      <c r="V17" s="1146" t="s">
        <v>61</v>
      </c>
      <c r="W17" s="1147">
        <f>J17</f>
        <v>100</v>
      </c>
      <c r="X17" s="1133"/>
      <c r="Y17" s="337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376"/>
      <c r="Q18" s="1145"/>
      <c r="R18" s="1146"/>
      <c r="S18" s="1147"/>
      <c r="T18" s="1146"/>
      <c r="U18" s="1147"/>
      <c r="V18" s="1146"/>
      <c r="W18" s="1147"/>
      <c r="X18" s="1133"/>
      <c r="Y18" s="3376"/>
      <c r="Z18" s="1148"/>
      <c r="AA18" s="1149">
        <v>1</v>
      </c>
      <c r="AB18" s="1149">
        <v>1</v>
      </c>
      <c r="AC18" s="1149">
        <v>1</v>
      </c>
    </row>
    <row r="19" spans="1:29" ht="40.5">
      <c r="A19" s="98"/>
      <c r="B19" s="892" t="s">
        <v>2551</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376"/>
      <c r="Q19" s="1145" t="str">
        <f>B19</f>
        <v>公共配套设施</v>
      </c>
      <c r="R19" s="1146" t="s">
        <v>61</v>
      </c>
      <c r="S19" s="1147">
        <f>F19</f>
        <v>100</v>
      </c>
      <c r="T19" s="1146" t="s">
        <v>61</v>
      </c>
      <c r="U19" s="1147">
        <f>H19</f>
        <v>100</v>
      </c>
      <c r="V19" s="1146" t="s">
        <v>61</v>
      </c>
      <c r="W19" s="1147">
        <f>J19</f>
        <v>100</v>
      </c>
      <c r="X19" s="1133"/>
      <c r="Y19" s="3376"/>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376"/>
      <c r="Q20" s="1145"/>
      <c r="R20" s="1146"/>
      <c r="S20" s="1147"/>
      <c r="T20" s="1146"/>
      <c r="U20" s="1147"/>
      <c r="V20" s="1146"/>
      <c r="W20" s="1147"/>
      <c r="X20" s="1133"/>
      <c r="Y20" s="3376"/>
      <c r="Z20" s="1148"/>
      <c r="AA20" s="1149">
        <v>1</v>
      </c>
      <c r="AB20" s="1149">
        <v>1</v>
      </c>
      <c r="AC20" s="1149">
        <v>1</v>
      </c>
    </row>
    <row r="21" spans="1:29" ht="40.5">
      <c r="A21" s="98"/>
      <c r="B21" s="894" t="s">
        <v>2552</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376"/>
      <c r="Q21" s="2548" t="str">
        <f>B21</f>
        <v>基础设施水平</v>
      </c>
      <c r="R21" s="1146" t="s">
        <v>61</v>
      </c>
      <c r="S21" s="1147">
        <f>F21</f>
        <v>100</v>
      </c>
      <c r="T21" s="1146" t="s">
        <v>61</v>
      </c>
      <c r="U21" s="1147">
        <f>H21</f>
        <v>100</v>
      </c>
      <c r="V21" s="1146" t="s">
        <v>61</v>
      </c>
      <c r="W21" s="1147">
        <f>J21</f>
        <v>100</v>
      </c>
      <c r="X21" s="2546"/>
      <c r="Y21" s="337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376"/>
      <c r="Q22" s="2548"/>
      <c r="R22" s="1146"/>
      <c r="S22" s="1147"/>
      <c r="T22" s="1146"/>
      <c r="U22" s="1147"/>
      <c r="V22" s="1146"/>
      <c r="W22" s="1147"/>
      <c r="X22" s="2546"/>
      <c r="Y22" s="3376"/>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376"/>
      <c r="Q23" s="1145" t="str">
        <f>B23</f>
        <v>环境质量</v>
      </c>
      <c r="R23" s="1146" t="s">
        <v>61</v>
      </c>
      <c r="S23" s="1147">
        <f>F23</f>
        <v>100</v>
      </c>
      <c r="T23" s="1146" t="s">
        <v>61</v>
      </c>
      <c r="U23" s="1147">
        <f>H23</f>
        <v>100</v>
      </c>
      <c r="V23" s="1146" t="s">
        <v>61</v>
      </c>
      <c r="W23" s="1147">
        <f>J23</f>
        <v>100</v>
      </c>
      <c r="X23" s="1133"/>
      <c r="Y23" s="3376"/>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376"/>
      <c r="Q24" s="1145"/>
      <c r="R24" s="1146"/>
      <c r="S24" s="1147"/>
      <c r="T24" s="1146"/>
      <c r="U24" s="1147"/>
      <c r="V24" s="1146"/>
      <c r="W24" s="1147"/>
      <c r="X24" s="1133"/>
      <c r="Y24" s="3376"/>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376"/>
      <c r="Q25" s="1145">
        <f>B25</f>
        <v>111</v>
      </c>
      <c r="R25" s="1146" t="s">
        <v>61</v>
      </c>
      <c r="S25" s="1147">
        <f>F25</f>
        <v>100</v>
      </c>
      <c r="T25" s="1146" t="s">
        <v>61</v>
      </c>
      <c r="U25" s="1147">
        <f>H25</f>
        <v>100</v>
      </c>
      <c r="V25" s="1146" t="s">
        <v>61</v>
      </c>
      <c r="W25" s="1147">
        <f>J25</f>
        <v>100</v>
      </c>
      <c r="X25" s="1133"/>
      <c r="Y25" s="3376"/>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376"/>
      <c r="Q26" s="1145">
        <f t="shared" ref="Q26:Q40" si="11">B26</f>
        <v>111</v>
      </c>
      <c r="R26" s="1146" t="s">
        <v>61</v>
      </c>
      <c r="S26" s="1147">
        <f>F26</f>
        <v>100</v>
      </c>
      <c r="T26" s="1146" t="s">
        <v>61</v>
      </c>
      <c r="U26" s="1147">
        <f>H26</f>
        <v>100</v>
      </c>
      <c r="V26" s="1146" t="s">
        <v>61</v>
      </c>
      <c r="W26" s="1147">
        <f>J26</f>
        <v>100</v>
      </c>
      <c r="X26" s="1133"/>
      <c r="Y26" s="3376"/>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376"/>
      <c r="Q27" s="2">
        <f t="shared" si="11"/>
        <v>111</v>
      </c>
      <c r="R27" s="1135" t="s">
        <v>61</v>
      </c>
      <c r="S27" s="1136">
        <f>F27</f>
        <v>100</v>
      </c>
      <c r="T27" s="1135" t="s">
        <v>61</v>
      </c>
      <c r="U27" s="1136">
        <f>H27</f>
        <v>100</v>
      </c>
      <c r="V27" s="1135" t="s">
        <v>61</v>
      </c>
      <c r="W27" s="1136">
        <f>J27</f>
        <v>100</v>
      </c>
      <c r="X27" s="184"/>
      <c r="Y27" s="3376"/>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376"/>
      <c r="Q28" s="1145">
        <f t="shared" si="11"/>
        <v>111</v>
      </c>
      <c r="R28" s="1146" t="s">
        <v>61</v>
      </c>
      <c r="S28" s="1147">
        <f t="shared" ref="S28:S40" si="12">F28</f>
        <v>100</v>
      </c>
      <c r="T28" s="1146" t="s">
        <v>61</v>
      </c>
      <c r="U28" s="1147">
        <f t="shared" ref="U28:U40" si="13">H28</f>
        <v>100</v>
      </c>
      <c r="V28" s="1146" t="s">
        <v>61</v>
      </c>
      <c r="W28" s="1147">
        <f t="shared" ref="W28:W40" si="14">J28</f>
        <v>100</v>
      </c>
      <c r="X28" s="1133"/>
      <c r="Y28" s="3376"/>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53" t="s">
        <v>1038</v>
      </c>
      <c r="Q29" s="1145" t="str">
        <f t="shared" si="11"/>
        <v>建筑类型</v>
      </c>
      <c r="R29" s="1146" t="s">
        <v>61</v>
      </c>
      <c r="S29" s="1147">
        <f t="shared" si="12"/>
        <v>100</v>
      </c>
      <c r="T29" s="1146" t="s">
        <v>61</v>
      </c>
      <c r="U29" s="1147">
        <f t="shared" si="13"/>
        <v>100</v>
      </c>
      <c r="V29" s="1146" t="s">
        <v>61</v>
      </c>
      <c r="W29" s="1147">
        <f t="shared" si="14"/>
        <v>100</v>
      </c>
      <c r="X29" s="1133"/>
      <c r="Y29" s="3362" t="s">
        <v>1038</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362"/>
      <c r="Q30" s="1153" t="str">
        <f t="shared" si="11"/>
        <v>项目建筑规模</v>
      </c>
      <c r="R30" s="1154" t="s">
        <v>61</v>
      </c>
      <c r="S30" s="1155" t="e">
        <f t="shared" si="12"/>
        <v>#N/A</v>
      </c>
      <c r="T30" s="1154" t="s">
        <v>61</v>
      </c>
      <c r="U30" s="1155" t="e">
        <f t="shared" si="13"/>
        <v>#N/A</v>
      </c>
      <c r="V30" s="1154" t="s">
        <v>61</v>
      </c>
      <c r="W30" s="1155" t="e">
        <f t="shared" si="14"/>
        <v>#N/A</v>
      </c>
      <c r="X30" s="1156"/>
      <c r="Y30" s="336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362"/>
      <c r="Q31" s="1145" t="str">
        <f t="shared" si="11"/>
        <v>建筑结构</v>
      </c>
      <c r="R31" s="1146" t="s">
        <v>61</v>
      </c>
      <c r="S31" s="1147">
        <f t="shared" si="12"/>
        <v>100</v>
      </c>
      <c r="T31" s="1146" t="s">
        <v>61</v>
      </c>
      <c r="U31" s="1147">
        <f t="shared" si="13"/>
        <v>100</v>
      </c>
      <c r="V31" s="1146" t="s">
        <v>61</v>
      </c>
      <c r="W31" s="1147">
        <f t="shared" si="14"/>
        <v>100</v>
      </c>
      <c r="X31" s="1133"/>
      <c r="Y31" s="3362"/>
      <c r="Z31" s="1148" t="str">
        <f t="shared" si="15"/>
        <v>建筑结构</v>
      </c>
      <c r="AA31" s="1149">
        <f t="shared" si="3"/>
        <v>1</v>
      </c>
      <c r="AB31" s="1149">
        <f t="shared" si="4"/>
        <v>1</v>
      </c>
      <c r="AC31" s="1149">
        <f t="shared" si="5"/>
        <v>1</v>
      </c>
    </row>
    <row r="32" spans="1:29" ht="15">
      <c r="A32" s="111"/>
      <c r="B32" s="4" t="s">
        <v>947</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362"/>
      <c r="Q32" s="1145" t="str">
        <f t="shared" si="11"/>
        <v>公共部分装修</v>
      </c>
      <c r="R32" s="1146" t="s">
        <v>61</v>
      </c>
      <c r="S32" s="1147">
        <f t="shared" si="12"/>
        <v>100</v>
      </c>
      <c r="T32" s="1146" t="s">
        <v>61</v>
      </c>
      <c r="U32" s="1147">
        <f t="shared" si="13"/>
        <v>100</v>
      </c>
      <c r="V32" s="1146" t="s">
        <v>61</v>
      </c>
      <c r="W32" s="1147">
        <f t="shared" si="14"/>
        <v>100</v>
      </c>
      <c r="X32" s="1133"/>
      <c r="Y32" s="3362"/>
      <c r="Z32" s="1148" t="str">
        <f t="shared" si="15"/>
        <v>公共部分装修</v>
      </c>
      <c r="AA32" s="1149">
        <f t="shared" si="3"/>
        <v>1</v>
      </c>
      <c r="AB32" s="1149">
        <f t="shared" si="4"/>
        <v>1</v>
      </c>
      <c r="AC32" s="1149">
        <f t="shared" si="5"/>
        <v>1</v>
      </c>
    </row>
    <row r="33" spans="1:29" ht="15">
      <c r="A33" s="111"/>
      <c r="B33" s="4" t="s">
        <v>948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362"/>
      <c r="Q33" s="1145" t="str">
        <f t="shared" si="11"/>
        <v>成新度</v>
      </c>
      <c r="R33" s="1146" t="s">
        <v>61</v>
      </c>
      <c r="S33" s="1147" t="e">
        <f t="shared" si="12"/>
        <v>#N/A</v>
      </c>
      <c r="T33" s="1146" t="s">
        <v>61</v>
      </c>
      <c r="U33" s="1147" t="e">
        <f t="shared" si="13"/>
        <v>#N/A</v>
      </c>
      <c r="V33" s="1146" t="s">
        <v>61</v>
      </c>
      <c r="W33" s="1147" t="e">
        <f t="shared" si="14"/>
        <v>#N/A</v>
      </c>
      <c r="X33" s="1133"/>
      <c r="Y33" s="3362"/>
      <c r="Z33" s="1148" t="str">
        <f t="shared" si="15"/>
        <v>成新度</v>
      </c>
      <c r="AA33" s="1149" t="e">
        <f t="shared" si="3"/>
        <v>#N/A</v>
      </c>
      <c r="AB33" s="1149" t="e">
        <f t="shared" si="4"/>
        <v>#N/A</v>
      </c>
      <c r="AC33" s="1149" t="e">
        <f t="shared" si="5"/>
        <v>#N/A</v>
      </c>
    </row>
    <row r="34" spans="1:29" s="11" customFormat="1" ht="15">
      <c r="A34" s="900"/>
      <c r="B34" s="4" t="s">
        <v>1039</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362"/>
      <c r="Q34" s="2" t="str">
        <f t="shared" si="11"/>
        <v>物业管理</v>
      </c>
      <c r="R34" s="1135" t="s">
        <v>61</v>
      </c>
      <c r="S34" s="1136">
        <f t="shared" si="12"/>
        <v>100</v>
      </c>
      <c r="T34" s="1135" t="s">
        <v>61</v>
      </c>
      <c r="U34" s="1136">
        <f t="shared" si="13"/>
        <v>100</v>
      </c>
      <c r="V34" s="1135" t="s">
        <v>61</v>
      </c>
      <c r="W34" s="1136">
        <f t="shared" si="14"/>
        <v>100</v>
      </c>
      <c r="X34" s="184"/>
      <c r="Y34" s="3362"/>
      <c r="Z34" s="185" t="str">
        <f t="shared" si="15"/>
        <v>物业管理</v>
      </c>
      <c r="AA34" s="1137">
        <f t="shared" si="3"/>
        <v>1</v>
      </c>
      <c r="AB34" s="1137">
        <f t="shared" si="4"/>
        <v>1</v>
      </c>
      <c r="AC34" s="1137">
        <f t="shared" si="5"/>
        <v>1</v>
      </c>
    </row>
    <row r="35" spans="1:29" ht="15">
      <c r="A35" s="111"/>
      <c r="B35" s="4" t="s">
        <v>2549</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362" t="s">
        <v>66</v>
      </c>
      <c r="Q35" s="1145" t="str">
        <f t="shared" si="11"/>
        <v>市政基础设施</v>
      </c>
      <c r="R35" s="1146" t="s">
        <v>61</v>
      </c>
      <c r="S35" s="1147">
        <f t="shared" si="12"/>
        <v>100</v>
      </c>
      <c r="T35" s="1146" t="s">
        <v>61</v>
      </c>
      <c r="U35" s="1147">
        <f t="shared" si="13"/>
        <v>100</v>
      </c>
      <c r="V35" s="1146" t="s">
        <v>61</v>
      </c>
      <c r="W35" s="1147">
        <f t="shared" si="14"/>
        <v>100</v>
      </c>
      <c r="X35" s="1133"/>
      <c r="Y35" s="336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362"/>
      <c r="Q36" s="1145" t="str">
        <f t="shared" si="11"/>
        <v>内部装修</v>
      </c>
      <c r="R36" s="1146" t="s">
        <v>61</v>
      </c>
      <c r="S36" s="1147">
        <f t="shared" si="12"/>
        <v>100</v>
      </c>
      <c r="T36" s="1146" t="s">
        <v>61</v>
      </c>
      <c r="U36" s="1147">
        <f t="shared" si="13"/>
        <v>100</v>
      </c>
      <c r="V36" s="1146" t="s">
        <v>61</v>
      </c>
      <c r="W36" s="1147">
        <f t="shared" si="14"/>
        <v>100</v>
      </c>
      <c r="X36" s="1133"/>
      <c r="Y36" s="3362"/>
      <c r="Z36" s="1148" t="str">
        <f t="shared" si="15"/>
        <v>内部装修</v>
      </c>
      <c r="AA36" s="1149">
        <f t="shared" si="3"/>
        <v>1</v>
      </c>
      <c r="AB36" s="1149">
        <f t="shared" si="4"/>
        <v>1</v>
      </c>
      <c r="AC36" s="1149">
        <f t="shared" si="5"/>
        <v>1</v>
      </c>
    </row>
    <row r="37" spans="1:29" ht="15">
      <c r="A37" s="111"/>
      <c r="B37" s="4" t="s">
        <v>1040</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362"/>
      <c r="Q37" s="1145" t="str">
        <f t="shared" si="11"/>
        <v>内部装修状况</v>
      </c>
      <c r="R37" s="1146" t="s">
        <v>61</v>
      </c>
      <c r="S37" s="1147">
        <f t="shared" si="12"/>
        <v>0</v>
      </c>
      <c r="T37" s="1146" t="s">
        <v>61</v>
      </c>
      <c r="U37" s="1147">
        <f t="shared" si="13"/>
        <v>0</v>
      </c>
      <c r="V37" s="1146" t="s">
        <v>61</v>
      </c>
      <c r="W37" s="1147">
        <f t="shared" si="14"/>
        <v>0</v>
      </c>
      <c r="X37" s="1133"/>
      <c r="Y37" s="336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362"/>
      <c r="Q38" s="1153">
        <f t="shared" si="11"/>
        <v>111</v>
      </c>
      <c r="R38" s="1154" t="s">
        <v>61</v>
      </c>
      <c r="S38" s="1155">
        <f t="shared" si="12"/>
        <v>100</v>
      </c>
      <c r="T38" s="1154" t="s">
        <v>61</v>
      </c>
      <c r="U38" s="1155">
        <f t="shared" si="13"/>
        <v>100</v>
      </c>
      <c r="V38" s="1154" t="s">
        <v>61</v>
      </c>
      <c r="W38" s="1155">
        <f t="shared" si="14"/>
        <v>100</v>
      </c>
      <c r="X38" s="1156"/>
      <c r="Y38" s="336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362"/>
      <c r="Q39" s="1145">
        <f t="shared" si="11"/>
        <v>111</v>
      </c>
      <c r="R39" s="1146" t="s">
        <v>61</v>
      </c>
      <c r="S39" s="1147">
        <f t="shared" si="12"/>
        <v>100</v>
      </c>
      <c r="T39" s="1146" t="s">
        <v>61</v>
      </c>
      <c r="U39" s="1147">
        <f t="shared" si="13"/>
        <v>100</v>
      </c>
      <c r="V39" s="1146" t="s">
        <v>61</v>
      </c>
      <c r="W39" s="1147">
        <f t="shared" si="14"/>
        <v>100</v>
      </c>
      <c r="X39" s="1133"/>
      <c r="Y39" s="336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363"/>
      <c r="Q40" s="1145">
        <f t="shared" si="11"/>
        <v>111</v>
      </c>
      <c r="R40" s="1146" t="s">
        <v>61</v>
      </c>
      <c r="S40" s="1147">
        <f t="shared" si="12"/>
        <v>100</v>
      </c>
      <c r="T40" s="1146" t="s">
        <v>61</v>
      </c>
      <c r="U40" s="1147">
        <f t="shared" si="13"/>
        <v>100</v>
      </c>
      <c r="V40" s="1146" t="s">
        <v>61</v>
      </c>
      <c r="W40" s="1147">
        <f t="shared" si="14"/>
        <v>100</v>
      </c>
      <c r="X40" s="1133"/>
      <c r="Y40" s="3363"/>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355" t="str">
        <f>A41</f>
        <v>成交单价（元/平方米）</v>
      </c>
      <c r="Q41" s="3355"/>
      <c r="R41" s="3356">
        <f>E41</f>
        <v>0</v>
      </c>
      <c r="S41" s="3356"/>
      <c r="T41" s="3356">
        <f>G41</f>
        <v>0</v>
      </c>
      <c r="U41" s="3356"/>
      <c r="V41" s="3356">
        <f>I41</f>
        <v>0</v>
      </c>
      <c r="W41" s="3356"/>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355" t="str">
        <f>A42</f>
        <v>比较价值（元/平方米）</v>
      </c>
      <c r="Q42" s="3355"/>
      <c r="R42" s="3356" t="e">
        <f>IF(E1="售价",ROUND(PRODUCT(R41,AA7:AA40),0),ROUND(PRODUCT(R41,AA7:AA40),1))</f>
        <v>#DIV/0!</v>
      </c>
      <c r="S42" s="3356"/>
      <c r="T42" s="3356" t="e">
        <f>IF(E1="售价",ROUND(PRODUCT(T41,AB7:AB40),0),ROUND(PRODUCT(T41,AB7:AB40),1))</f>
        <v>#DIV/0!</v>
      </c>
      <c r="U42" s="3356"/>
      <c r="V42" s="3356" t="e">
        <f>IF(E1="售价",ROUND(PRODUCT(V41,AC7:AC40),0),ROUND(PRODUCT(V41,AC7:AC40),1))</f>
        <v>#DIV/0!</v>
      </c>
      <c r="W42" s="3356"/>
      <c r="X42" s="1159"/>
      <c r="Y42" s="1159"/>
      <c r="Z42" s="1159"/>
      <c r="AA42" s="1159"/>
      <c r="AB42" s="1159"/>
      <c r="AC42" s="1159"/>
    </row>
    <row r="43" spans="1:29" ht="15.75" thickBot="1">
      <c r="A43" s="62" t="s">
        <v>2885</v>
      </c>
      <c r="B43" s="63"/>
      <c r="C43" s="2618" t="e">
        <f>R43</f>
        <v>#DIV/0!</v>
      </c>
      <c r="D43" s="2618"/>
      <c r="E43" s="2618"/>
      <c r="F43" s="2618"/>
      <c r="G43" s="2618"/>
      <c r="H43" s="2618"/>
      <c r="I43" s="2618"/>
      <c r="J43" s="2618"/>
      <c r="K43" s="1190"/>
      <c r="L43" s="2170"/>
      <c r="M43" s="2171"/>
      <c r="N43" s="2171"/>
      <c r="O43" s="2171"/>
      <c r="P43" s="3443" t="str">
        <f>A43</f>
        <v>估价对象XX用房的比较价值（楼面单价，元/平方米）</v>
      </c>
      <c r="Q43" s="3354"/>
      <c r="R43" s="3358" t="e">
        <f>IF(E1="售价",ROUND(AVERAGE(R42:V42),0),ROUND(AVERAGE(R42:V42),1))</f>
        <v>#DIV/0!</v>
      </c>
      <c r="S43" s="3358"/>
      <c r="T43" s="3358"/>
      <c r="U43" s="3358"/>
      <c r="V43" s="3358"/>
      <c r="W43" s="3358"/>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921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922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923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2661</v>
      </c>
      <c r="B52" s="705"/>
      <c r="C52" s="2803" t="str">
        <f>YEAR(C7)&amp;"-"&amp;MONTH(C7)</f>
        <v>2017-9</v>
      </c>
      <c r="D52" s="2804">
        <f>EDATE(C52,-1)</f>
        <v>42948</v>
      </c>
      <c r="E52" s="2805">
        <f t="shared" ref="E52:O52" si="16">EDATE(D52,-1)</f>
        <v>42917</v>
      </c>
      <c r="F52" s="2805">
        <f t="shared" si="16"/>
        <v>42887</v>
      </c>
      <c r="G52" s="2805">
        <f t="shared" si="16"/>
        <v>42856</v>
      </c>
      <c r="H52" s="2805">
        <f t="shared" si="16"/>
        <v>42826</v>
      </c>
      <c r="I52" s="2805">
        <f t="shared" si="16"/>
        <v>42795</v>
      </c>
      <c r="J52" s="2805">
        <f t="shared" si="16"/>
        <v>42767</v>
      </c>
      <c r="K52" s="2805">
        <f t="shared" si="16"/>
        <v>42736</v>
      </c>
      <c r="L52" s="2805">
        <f t="shared" si="16"/>
        <v>42705</v>
      </c>
      <c r="M52" s="2805">
        <f t="shared" si="16"/>
        <v>42675</v>
      </c>
      <c r="N52" s="2805">
        <f t="shared" si="16"/>
        <v>42644</v>
      </c>
      <c r="O52" s="2805">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927</v>
      </c>
      <c r="D59" s="740" t="s">
        <v>928</v>
      </c>
      <c r="E59" s="740" t="s">
        <v>929</v>
      </c>
      <c r="F59" s="740" t="s">
        <v>930</v>
      </c>
      <c r="G59" s="740" t="s">
        <v>931</v>
      </c>
      <c r="H59" s="740" t="s">
        <v>932</v>
      </c>
      <c r="I59" s="740" t="s">
        <v>933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934</v>
      </c>
      <c r="D70" s="775" t="s">
        <v>935</v>
      </c>
      <c r="E70" s="775" t="s">
        <v>936</v>
      </c>
      <c r="F70" s="775" t="s">
        <v>937</v>
      </c>
      <c r="G70" s="775" t="s">
        <v>938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934</v>
      </c>
      <c r="D72" s="780" t="s">
        <v>935</v>
      </c>
      <c r="E72" s="780" t="s">
        <v>936</v>
      </c>
      <c r="F72" s="780" t="s">
        <v>937</v>
      </c>
      <c r="G72" s="780" t="s">
        <v>938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2538</v>
      </c>
      <c r="C74" s="780" t="s">
        <v>934</v>
      </c>
      <c r="D74" s="780" t="s">
        <v>935</v>
      </c>
      <c r="E74" s="780" t="s">
        <v>936</v>
      </c>
      <c r="F74" s="780" t="s">
        <v>937</v>
      </c>
      <c r="G74" s="780" t="s">
        <v>938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2553</v>
      </c>
      <c r="C76" s="129" t="s">
        <v>2542</v>
      </c>
      <c r="D76" s="129" t="s">
        <v>2543</v>
      </c>
      <c r="E76" s="129" t="s">
        <v>2544</v>
      </c>
      <c r="F76" s="129" t="s">
        <v>2545</v>
      </c>
      <c r="G76" s="129" t="s">
        <v>2546</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934</v>
      </c>
      <c r="D78" s="780" t="s">
        <v>935</v>
      </c>
      <c r="E78" s="780" t="s">
        <v>936</v>
      </c>
      <c r="F78" s="780" t="s">
        <v>937</v>
      </c>
      <c r="G78" s="780" t="s">
        <v>938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2541</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934</v>
      </c>
      <c r="D106" s="780" t="s">
        <v>935</v>
      </c>
      <c r="E106" s="780" t="s">
        <v>936</v>
      </c>
      <c r="F106" s="780" t="s">
        <v>937</v>
      </c>
      <c r="G106" s="780" t="s">
        <v>938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万元</v>
      </c>
      <c r="D2" s="2886"/>
      <c r="E2" s="2130" t="e">
        <f ca="1">SUMIF(INDIRECT("'"&amp;G2&amp;"'"&amp;"!A:A"),"承租人权益价值",INDIRECT("'"&amp;G2&amp;"'"&amp;"!c:c"))</f>
        <v>#REF!</v>
      </c>
      <c r="F2" s="2887" t="str">
        <f>C2</f>
        <v>万元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123.8</v>
      </c>
      <c r="E3" s="1900" t="s">
        <v>2012</v>
      </c>
      <c r="F3" s="597">
        <f>'数据-取费表'!B41</f>
        <v>0</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475" t="s">
        <v>462</v>
      </c>
      <c r="D4" s="3476"/>
      <c r="E4" s="3477" t="s">
        <v>463</v>
      </c>
      <c r="F4" s="3478"/>
      <c r="G4" s="3475" t="s">
        <v>464</v>
      </c>
      <c r="H4" s="3476"/>
      <c r="I4" s="3475" t="s">
        <v>465</v>
      </c>
      <c r="J4" s="3476"/>
      <c r="K4" s="812" t="s">
        <v>466</v>
      </c>
      <c r="L4" s="2620"/>
      <c r="M4" s="643"/>
      <c r="N4" s="643"/>
      <c r="O4" s="643"/>
      <c r="P4" s="3479" t="s">
        <v>467</v>
      </c>
      <c r="Q4" s="3480"/>
      <c r="R4" s="3463" t="s">
        <v>463</v>
      </c>
      <c r="S4" s="3464"/>
      <c r="T4" s="3463" t="s">
        <v>464</v>
      </c>
      <c r="U4" s="3464"/>
      <c r="V4" s="3485" t="s">
        <v>465</v>
      </c>
      <c r="W4" s="3485"/>
      <c r="X4" s="2599"/>
      <c r="Y4" s="3463" t="s">
        <v>467</v>
      </c>
      <c r="Z4" s="3464"/>
      <c r="AA4" s="3472" t="s">
        <v>463</v>
      </c>
      <c r="AB4" s="3473" t="s">
        <v>464</v>
      </c>
      <c r="AC4" s="3472" t="s">
        <v>465</v>
      </c>
    </row>
    <row r="5" spans="1:29" ht="15">
      <c r="A5" s="601"/>
      <c r="B5" s="602"/>
      <c r="C5" s="3488" t="s">
        <v>2886</v>
      </c>
      <c r="D5" s="3489"/>
      <c r="E5" s="3486" t="s">
        <v>2887</v>
      </c>
      <c r="F5" s="3487"/>
      <c r="G5" s="3488" t="s">
        <v>2888</v>
      </c>
      <c r="H5" s="3489"/>
      <c r="I5" s="3488" t="s">
        <v>2889</v>
      </c>
      <c r="J5" s="3489"/>
      <c r="K5" s="812"/>
      <c r="L5" s="2620"/>
      <c r="M5" s="643"/>
      <c r="N5" s="643"/>
      <c r="O5" s="643"/>
      <c r="P5" s="3481"/>
      <c r="Q5" s="3482"/>
      <c r="R5" s="3465"/>
      <c r="S5" s="3466"/>
      <c r="T5" s="3465"/>
      <c r="U5" s="3466"/>
      <c r="V5" s="3485"/>
      <c r="W5" s="3485"/>
      <c r="X5" s="2599"/>
      <c r="Y5" s="3465"/>
      <c r="Z5" s="3466"/>
      <c r="AA5" s="3473"/>
      <c r="AB5" s="3473"/>
      <c r="AC5" s="3473"/>
    </row>
    <row r="6" spans="1:29" ht="15.75" thickBot="1">
      <c r="A6" s="603"/>
      <c r="B6" s="604"/>
      <c r="C6" s="3490" t="s">
        <v>2890</v>
      </c>
      <c r="D6" s="3491"/>
      <c r="E6" s="3492" t="s">
        <v>2890</v>
      </c>
      <c r="F6" s="3493"/>
      <c r="G6" s="3490" t="s">
        <v>2890</v>
      </c>
      <c r="H6" s="3491"/>
      <c r="I6" s="3490" t="s">
        <v>2890</v>
      </c>
      <c r="J6" s="3491"/>
      <c r="K6" s="812" t="s">
        <v>411</v>
      </c>
      <c r="L6" s="2620"/>
      <c r="M6" s="643"/>
      <c r="N6" s="643"/>
      <c r="O6" s="643"/>
      <c r="P6" s="3483"/>
      <c r="Q6" s="3484"/>
      <c r="R6" s="3465"/>
      <c r="S6" s="3466"/>
      <c r="T6" s="3467"/>
      <c r="U6" s="3468"/>
      <c r="V6" s="3485"/>
      <c r="W6" s="3485"/>
      <c r="X6" s="2599"/>
      <c r="Y6" s="3467"/>
      <c r="Z6" s="3468"/>
      <c r="AA6" s="3474"/>
      <c r="AB6" s="3474"/>
      <c r="AC6" s="3474"/>
    </row>
    <row r="7" spans="1:29" s="218" customFormat="1" ht="15.75" thickBot="1">
      <c r="A7" s="605" t="s">
        <v>412</v>
      </c>
      <c r="B7" s="606"/>
      <c r="C7" s="607">
        <f>'数据-取费表'!B2</f>
        <v>42992</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61" t="s">
        <v>413</v>
      </c>
      <c r="Q7" s="3469"/>
      <c r="R7" s="1110" t="s">
        <v>61</v>
      </c>
      <c r="S7" s="1111">
        <f t="shared" ref="S7:S14" si="0">F7</f>
        <v>0</v>
      </c>
      <c r="T7" s="1110" t="s">
        <v>61</v>
      </c>
      <c r="U7" s="1111">
        <f t="shared" ref="U7:U14" si="1">H7</f>
        <v>0</v>
      </c>
      <c r="V7" s="1110" t="s">
        <v>61</v>
      </c>
      <c r="W7" s="1111">
        <f t="shared" ref="W7:W14" si="2">J7</f>
        <v>0</v>
      </c>
      <c r="X7" s="1112"/>
      <c r="Y7" s="3461" t="s">
        <v>413</v>
      </c>
      <c r="Z7" s="3462"/>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61" t="s">
        <v>448</v>
      </c>
      <c r="Q8" s="3462"/>
      <c r="R8" s="1110" t="s">
        <v>61</v>
      </c>
      <c r="S8" s="1111">
        <f t="shared" si="0"/>
        <v>0</v>
      </c>
      <c r="T8" s="1110" t="s">
        <v>61</v>
      </c>
      <c r="U8" s="1111">
        <f t="shared" si="1"/>
        <v>0</v>
      </c>
      <c r="V8" s="1110" t="s">
        <v>61</v>
      </c>
      <c r="W8" s="1111">
        <f t="shared" si="2"/>
        <v>0</v>
      </c>
      <c r="X8" s="1112"/>
      <c r="Y8" s="3461" t="s">
        <v>448</v>
      </c>
      <c r="Z8" s="3462"/>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54" t="s">
        <v>416</v>
      </c>
      <c r="Q9" s="2597" t="str">
        <f t="shared" ref="Q9:Q14" si="6">B9</f>
        <v>用途</v>
      </c>
      <c r="R9" s="1110" t="s">
        <v>61</v>
      </c>
      <c r="S9" s="1111">
        <f t="shared" si="0"/>
        <v>100</v>
      </c>
      <c r="T9" s="1110" t="s">
        <v>61</v>
      </c>
      <c r="U9" s="1111">
        <f t="shared" si="1"/>
        <v>100</v>
      </c>
      <c r="V9" s="1110" t="s">
        <v>61</v>
      </c>
      <c r="W9" s="1111">
        <f t="shared" si="2"/>
        <v>100</v>
      </c>
      <c r="X9" s="1112"/>
      <c r="Y9" s="3271"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54"/>
      <c r="Q10" s="2597" t="str">
        <f t="shared" si="6"/>
        <v>土地使用年限（年）</v>
      </c>
      <c r="R10" s="1110" t="s">
        <v>61</v>
      </c>
      <c r="S10" s="1111">
        <f t="shared" si="0"/>
        <v>100</v>
      </c>
      <c r="T10" s="1110" t="s">
        <v>61</v>
      </c>
      <c r="U10" s="1111">
        <f t="shared" si="1"/>
        <v>100</v>
      </c>
      <c r="V10" s="1110" t="s">
        <v>61</v>
      </c>
      <c r="W10" s="1111">
        <f t="shared" si="2"/>
        <v>100</v>
      </c>
      <c r="X10" s="1112"/>
      <c r="Y10" s="3271"/>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54"/>
      <c r="Q11" s="2597">
        <f t="shared" si="6"/>
        <v>111</v>
      </c>
      <c r="R11" s="1110" t="s">
        <v>61</v>
      </c>
      <c r="S11" s="1111">
        <f t="shared" si="0"/>
        <v>100</v>
      </c>
      <c r="T11" s="1110" t="s">
        <v>61</v>
      </c>
      <c r="U11" s="1111">
        <f t="shared" si="1"/>
        <v>100</v>
      </c>
      <c r="V11" s="1110" t="s">
        <v>61</v>
      </c>
      <c r="W11" s="1111">
        <f t="shared" si="2"/>
        <v>100</v>
      </c>
      <c r="X11" s="1112"/>
      <c r="Y11" s="3271"/>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54"/>
      <c r="Q12" s="2597">
        <f t="shared" si="6"/>
        <v>111</v>
      </c>
      <c r="R12" s="1110" t="s">
        <v>61</v>
      </c>
      <c r="S12" s="1111">
        <f t="shared" si="0"/>
        <v>100</v>
      </c>
      <c r="T12" s="1110" t="s">
        <v>61</v>
      </c>
      <c r="U12" s="1111">
        <f t="shared" si="1"/>
        <v>100</v>
      </c>
      <c r="V12" s="1110" t="s">
        <v>61</v>
      </c>
      <c r="W12" s="1111">
        <f t="shared" si="2"/>
        <v>100</v>
      </c>
      <c r="X12" s="1112"/>
      <c r="Y12" s="3271"/>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54"/>
      <c r="Q13" s="2597">
        <f t="shared" si="6"/>
        <v>111</v>
      </c>
      <c r="R13" s="1110" t="s">
        <v>61</v>
      </c>
      <c r="S13" s="1111">
        <f t="shared" si="0"/>
        <v>100</v>
      </c>
      <c r="T13" s="1110" t="s">
        <v>61</v>
      </c>
      <c r="U13" s="1111">
        <f t="shared" si="1"/>
        <v>100</v>
      </c>
      <c r="V13" s="1110" t="s">
        <v>61</v>
      </c>
      <c r="W13" s="1111">
        <f t="shared" si="2"/>
        <v>100</v>
      </c>
      <c r="X13" s="1112"/>
      <c r="Y13" s="3271"/>
      <c r="Z13" s="206">
        <f t="shared" si="7"/>
        <v>111</v>
      </c>
      <c r="AA13" s="1113">
        <f t="shared" si="3"/>
        <v>1</v>
      </c>
      <c r="AB13" s="1113">
        <f t="shared" si="4"/>
        <v>1</v>
      </c>
      <c r="AC13" s="1113">
        <f t="shared" si="5"/>
        <v>1</v>
      </c>
    </row>
    <row r="14" spans="1:29" ht="85.5">
      <c r="A14" s="598" t="s">
        <v>420</v>
      </c>
      <c r="B14" s="831" t="s">
        <v>468</v>
      </c>
      <c r="C14" s="2572" t="str">
        <f>IF(B1="工业",估价对象房地状况!G4,估价对象房地状况!C6)</f>
        <v>估价对象周边道路状况、公共交通通达情况、停车便捷程度，综合评价交通便捷度较好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470" t="s">
        <v>421</v>
      </c>
      <c r="Q14" s="2598" t="str">
        <f t="shared" si="6"/>
        <v>交通便捷度</v>
      </c>
      <c r="R14" s="1115" t="s">
        <v>61</v>
      </c>
      <c r="S14" s="1116">
        <f t="shared" si="0"/>
        <v>100</v>
      </c>
      <c r="T14" s="1115" t="s">
        <v>61</v>
      </c>
      <c r="U14" s="1116">
        <f t="shared" si="1"/>
        <v>100</v>
      </c>
      <c r="V14" s="1115" t="s">
        <v>61</v>
      </c>
      <c r="W14" s="1116">
        <f t="shared" si="2"/>
        <v>100</v>
      </c>
      <c r="X14" s="2599"/>
      <c r="Y14" s="3470"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471"/>
      <c r="Q15" s="2598"/>
      <c r="R15" s="1115"/>
      <c r="S15" s="1116"/>
      <c r="T15" s="1115"/>
      <c r="U15" s="1116"/>
      <c r="V15" s="1115"/>
      <c r="W15" s="1116"/>
      <c r="X15" s="2599"/>
      <c r="Y15" s="3471"/>
      <c r="Z15" s="2601"/>
      <c r="AA15" s="1118">
        <v>1</v>
      </c>
      <c r="AB15" s="1118">
        <v>1</v>
      </c>
      <c r="AC15" s="1118">
        <v>1</v>
      </c>
    </row>
    <row r="16" spans="1:29" ht="42.75">
      <c r="A16" s="601"/>
      <c r="B16" s="892" t="s">
        <v>2551</v>
      </c>
      <c r="C16" s="2574" t="str">
        <f>IF(B1="工业",估价对象房地状况!G5,估价对象房地状况!C7)</f>
        <v>估价对象所在区域公共配套设施齐备情况</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471"/>
      <c r="Q16" s="2598" t="str">
        <f>B16</f>
        <v>公共配套设施</v>
      </c>
      <c r="R16" s="1115" t="s">
        <v>61</v>
      </c>
      <c r="S16" s="1116">
        <f>F16</f>
        <v>100</v>
      </c>
      <c r="T16" s="1115" t="s">
        <v>61</v>
      </c>
      <c r="U16" s="1116">
        <f>H16</f>
        <v>100</v>
      </c>
      <c r="V16" s="1115" t="s">
        <v>61</v>
      </c>
      <c r="W16" s="1116">
        <f>J16</f>
        <v>100</v>
      </c>
      <c r="X16" s="2599"/>
      <c r="Y16" s="3471"/>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471"/>
      <c r="Q17" s="2598"/>
      <c r="R17" s="1115"/>
      <c r="S17" s="1116"/>
      <c r="T17" s="1115"/>
      <c r="U17" s="1116"/>
      <c r="V17" s="1115"/>
      <c r="W17" s="1116"/>
      <c r="X17" s="2599"/>
      <c r="Y17" s="3471"/>
      <c r="Z17" s="2601"/>
      <c r="AA17" s="1118">
        <v>1</v>
      </c>
      <c r="AB17" s="1118">
        <v>1</v>
      </c>
      <c r="AC17" s="1118">
        <v>1</v>
      </c>
    </row>
    <row r="18" spans="1:29" ht="28.5">
      <c r="A18" s="601"/>
      <c r="B18" s="894" t="s">
        <v>2552</v>
      </c>
      <c r="C18" s="2574" t="str">
        <f>IF(B1="工业",估价对象房地状况!G6,估价对象房地状况!C8)</f>
        <v>估价对象所在区域基础设施水平</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471"/>
      <c r="Q18" s="2598" t="str">
        <f>B18</f>
        <v>基础设施水平</v>
      </c>
      <c r="R18" s="1115" t="s">
        <v>61</v>
      </c>
      <c r="S18" s="1116">
        <f>F18</f>
        <v>100</v>
      </c>
      <c r="T18" s="1115" t="s">
        <v>61</v>
      </c>
      <c r="U18" s="1116">
        <f>H18</f>
        <v>100</v>
      </c>
      <c r="V18" s="1115" t="s">
        <v>61</v>
      </c>
      <c r="W18" s="1116">
        <f>J18</f>
        <v>100</v>
      </c>
      <c r="X18" s="2599"/>
      <c r="Y18" s="3471"/>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471"/>
      <c r="Q19" s="2598"/>
      <c r="R19" s="1115"/>
      <c r="S19" s="1116"/>
      <c r="T19" s="1115"/>
      <c r="U19" s="1116"/>
      <c r="V19" s="1115"/>
      <c r="W19" s="1116"/>
      <c r="X19" s="2599"/>
      <c r="Y19" s="3471"/>
      <c r="Z19" s="2601"/>
      <c r="AA19" s="1118">
        <v>1</v>
      </c>
      <c r="AB19" s="1118">
        <v>1</v>
      </c>
      <c r="AC19" s="1118">
        <v>1</v>
      </c>
    </row>
    <row r="20" spans="1:29" ht="57">
      <c r="A20" s="601"/>
      <c r="B20" s="833" t="s">
        <v>469</v>
      </c>
      <c r="C20" s="2574" t="str">
        <f>IF(B1="工业",估价对象房地状况!G7,估价对象房地状况!C9)</f>
        <v>区域自然环境：；人文环境；综合评价环境状况一般</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471"/>
      <c r="Q20" s="2598" t="str">
        <f>B20</f>
        <v>自然及人文环境</v>
      </c>
      <c r="R20" s="1115" t="s">
        <v>61</v>
      </c>
      <c r="S20" s="1116">
        <f>F20</f>
        <v>100</v>
      </c>
      <c r="T20" s="1115" t="s">
        <v>61</v>
      </c>
      <c r="U20" s="1116">
        <f>H20</f>
        <v>100</v>
      </c>
      <c r="V20" s="1115" t="s">
        <v>61</v>
      </c>
      <c r="W20" s="1116">
        <f>J20</f>
        <v>100</v>
      </c>
      <c r="X20" s="2599"/>
      <c r="Y20" s="3471"/>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471"/>
      <c r="Q21" s="2598"/>
      <c r="R21" s="1115"/>
      <c r="S21" s="1116"/>
      <c r="T21" s="1115"/>
      <c r="U21" s="1116"/>
      <c r="V21" s="1115"/>
      <c r="W21" s="1116"/>
      <c r="X21" s="2599"/>
      <c r="Y21" s="3471"/>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471"/>
      <c r="Q22" s="2598" t="str">
        <f>B22</f>
        <v>楼层</v>
      </c>
      <c r="R22" s="1115" t="s">
        <v>61</v>
      </c>
      <c r="S22" s="1116">
        <f>F22</f>
        <v>100</v>
      </c>
      <c r="T22" s="1115" t="s">
        <v>61</v>
      </c>
      <c r="U22" s="1116">
        <f>H22</f>
        <v>100</v>
      </c>
      <c r="V22" s="1115" t="s">
        <v>61</v>
      </c>
      <c r="W22" s="1116">
        <f>J22</f>
        <v>100</v>
      </c>
      <c r="X22" s="2599"/>
      <c r="Y22" s="3471"/>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471"/>
      <c r="Q23" s="2598">
        <f>B23</f>
        <v>111</v>
      </c>
      <c r="R23" s="1115" t="s">
        <v>61</v>
      </c>
      <c r="S23" s="1116">
        <f>F23</f>
        <v>100</v>
      </c>
      <c r="T23" s="1115" t="s">
        <v>61</v>
      </c>
      <c r="U23" s="1116">
        <f>H23</f>
        <v>100</v>
      </c>
      <c r="V23" s="1115" t="s">
        <v>61</v>
      </c>
      <c r="W23" s="1116">
        <f>J23</f>
        <v>100</v>
      </c>
      <c r="X23" s="2599"/>
      <c r="Y23" s="3471"/>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471"/>
      <c r="Q24" s="2598">
        <f t="shared" ref="Q24:Q36" si="11">B24</f>
        <v>111</v>
      </c>
      <c r="R24" s="1115" t="s">
        <v>61</v>
      </c>
      <c r="S24" s="1116">
        <f>F24</f>
        <v>100</v>
      </c>
      <c r="T24" s="1115" t="s">
        <v>61</v>
      </c>
      <c r="U24" s="1116">
        <f>H24</f>
        <v>100</v>
      </c>
      <c r="V24" s="1115" t="s">
        <v>61</v>
      </c>
      <c r="W24" s="1116">
        <f>J24</f>
        <v>100</v>
      </c>
      <c r="X24" s="2599"/>
      <c r="Y24" s="3471"/>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471"/>
      <c r="Q25" s="2597">
        <f t="shared" si="11"/>
        <v>111</v>
      </c>
      <c r="R25" s="1110" t="s">
        <v>61</v>
      </c>
      <c r="S25" s="1111">
        <f>F25</f>
        <v>100</v>
      </c>
      <c r="T25" s="1110" t="s">
        <v>61</v>
      </c>
      <c r="U25" s="1111">
        <f>H25</f>
        <v>100</v>
      </c>
      <c r="V25" s="1110" t="s">
        <v>61</v>
      </c>
      <c r="W25" s="1111">
        <f>J25</f>
        <v>100</v>
      </c>
      <c r="X25" s="1112"/>
      <c r="Y25" s="3471"/>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459"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460"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460"/>
      <c r="Q27" s="1119" t="str">
        <f t="shared" si="11"/>
        <v>项目停车位配比</v>
      </c>
      <c r="R27" s="1120" t="s">
        <v>61</v>
      </c>
      <c r="S27" s="1121">
        <f t="shared" si="12"/>
        <v>100</v>
      </c>
      <c r="T27" s="1120" t="s">
        <v>61</v>
      </c>
      <c r="U27" s="1121">
        <f t="shared" si="13"/>
        <v>100</v>
      </c>
      <c r="V27" s="1120" t="s">
        <v>61</v>
      </c>
      <c r="W27" s="1121">
        <f t="shared" si="14"/>
        <v>100</v>
      </c>
      <c r="X27" s="1122"/>
      <c r="Y27" s="3460"/>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460"/>
      <c r="Q28" s="2598" t="str">
        <f t="shared" si="11"/>
        <v>公共部分装修</v>
      </c>
      <c r="R28" s="1115" t="s">
        <v>61</v>
      </c>
      <c r="S28" s="1116">
        <f t="shared" si="12"/>
        <v>100</v>
      </c>
      <c r="T28" s="1115" t="s">
        <v>61</v>
      </c>
      <c r="U28" s="1116">
        <f t="shared" si="13"/>
        <v>100</v>
      </c>
      <c r="V28" s="1115" t="s">
        <v>61</v>
      </c>
      <c r="W28" s="1116">
        <f t="shared" si="14"/>
        <v>100</v>
      </c>
      <c r="X28" s="2599"/>
      <c r="Y28" s="3460"/>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460"/>
      <c r="Q29" s="2598" t="str">
        <f t="shared" si="11"/>
        <v>成新率</v>
      </c>
      <c r="R29" s="1115" t="s">
        <v>61</v>
      </c>
      <c r="S29" s="1116" t="e">
        <f t="shared" si="12"/>
        <v>#N/A</v>
      </c>
      <c r="T29" s="1115" t="s">
        <v>61</v>
      </c>
      <c r="U29" s="1116" t="e">
        <f t="shared" si="13"/>
        <v>#N/A</v>
      </c>
      <c r="V29" s="1115" t="s">
        <v>61</v>
      </c>
      <c r="W29" s="1116" t="e">
        <f t="shared" si="14"/>
        <v>#N/A</v>
      </c>
      <c r="X29" s="2599"/>
      <c r="Y29" s="3460"/>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460"/>
      <c r="Q30" s="2598" t="str">
        <f t="shared" si="11"/>
        <v>物业等级</v>
      </c>
      <c r="R30" s="1115" t="s">
        <v>61</v>
      </c>
      <c r="S30" s="1116">
        <f t="shared" si="12"/>
        <v>100</v>
      </c>
      <c r="T30" s="1115" t="s">
        <v>61</v>
      </c>
      <c r="U30" s="1116">
        <f t="shared" si="13"/>
        <v>100</v>
      </c>
      <c r="V30" s="1115" t="s">
        <v>61</v>
      </c>
      <c r="W30" s="1116">
        <f t="shared" si="14"/>
        <v>100</v>
      </c>
      <c r="X30" s="2599"/>
      <c r="Y30" s="3460"/>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460"/>
      <c r="Q31" s="2597" t="str">
        <f t="shared" si="11"/>
        <v>停车位面积</v>
      </c>
      <c r="R31" s="1110" t="s">
        <v>61</v>
      </c>
      <c r="S31" s="1111" t="e">
        <f t="shared" si="12"/>
        <v>#N/A</v>
      </c>
      <c r="T31" s="1110" t="s">
        <v>61</v>
      </c>
      <c r="U31" s="1111" t="e">
        <f t="shared" si="13"/>
        <v>#N/A</v>
      </c>
      <c r="V31" s="1110" t="s">
        <v>61</v>
      </c>
      <c r="W31" s="1111" t="e">
        <f t="shared" si="14"/>
        <v>#N/A</v>
      </c>
      <c r="X31" s="1112"/>
      <c r="Y31" s="3460"/>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460" t="s">
        <v>423</v>
      </c>
      <c r="Q32" s="2598" t="str">
        <f t="shared" si="11"/>
        <v>车位类型</v>
      </c>
      <c r="R32" s="1115" t="s">
        <v>61</v>
      </c>
      <c r="S32" s="1116">
        <f t="shared" si="12"/>
        <v>100</v>
      </c>
      <c r="T32" s="1115" t="s">
        <v>61</v>
      </c>
      <c r="U32" s="1116">
        <f t="shared" si="13"/>
        <v>100</v>
      </c>
      <c r="V32" s="1115" t="s">
        <v>61</v>
      </c>
      <c r="W32" s="1116">
        <f t="shared" si="14"/>
        <v>100</v>
      </c>
      <c r="X32" s="2599"/>
      <c r="Y32" s="3460"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460"/>
      <c r="Q33" s="2598" t="str">
        <f t="shared" si="11"/>
        <v>是否直接入户</v>
      </c>
      <c r="R33" s="1115" t="s">
        <v>61</v>
      </c>
      <c r="S33" s="1116">
        <f t="shared" si="12"/>
        <v>100</v>
      </c>
      <c r="T33" s="1115" t="s">
        <v>61</v>
      </c>
      <c r="U33" s="1116">
        <f t="shared" si="13"/>
        <v>100</v>
      </c>
      <c r="V33" s="1115" t="s">
        <v>61</v>
      </c>
      <c r="W33" s="1116">
        <f t="shared" si="14"/>
        <v>100</v>
      </c>
      <c r="X33" s="2599"/>
      <c r="Y33" s="3460"/>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460"/>
      <c r="Q34" s="2598">
        <f t="shared" si="11"/>
        <v>111</v>
      </c>
      <c r="R34" s="1115" t="s">
        <v>61</v>
      </c>
      <c r="S34" s="1116">
        <f t="shared" si="12"/>
        <v>100</v>
      </c>
      <c r="T34" s="1115" t="s">
        <v>61</v>
      </c>
      <c r="U34" s="1116">
        <f t="shared" si="13"/>
        <v>100</v>
      </c>
      <c r="V34" s="1115" t="s">
        <v>61</v>
      </c>
      <c r="W34" s="1116">
        <f t="shared" si="14"/>
        <v>100</v>
      </c>
      <c r="X34" s="2599"/>
      <c r="Y34" s="3460"/>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460"/>
      <c r="Q35" s="1119">
        <f t="shared" si="11"/>
        <v>111</v>
      </c>
      <c r="R35" s="1120" t="s">
        <v>61</v>
      </c>
      <c r="S35" s="1121">
        <f t="shared" si="12"/>
        <v>100</v>
      </c>
      <c r="T35" s="1120" t="s">
        <v>61</v>
      </c>
      <c r="U35" s="1121">
        <f t="shared" si="13"/>
        <v>100</v>
      </c>
      <c r="V35" s="1120" t="s">
        <v>61</v>
      </c>
      <c r="W35" s="1121">
        <f t="shared" si="14"/>
        <v>100</v>
      </c>
      <c r="X35" s="1122"/>
      <c r="Y35" s="3460"/>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460"/>
      <c r="Q36" s="2598">
        <f t="shared" si="11"/>
        <v>111</v>
      </c>
      <c r="R36" s="1115" t="s">
        <v>61</v>
      </c>
      <c r="S36" s="1116">
        <f t="shared" si="12"/>
        <v>100</v>
      </c>
      <c r="T36" s="1115" t="s">
        <v>61</v>
      </c>
      <c r="U36" s="1116">
        <f t="shared" si="13"/>
        <v>100</v>
      </c>
      <c r="V36" s="1115" t="s">
        <v>61</v>
      </c>
      <c r="W36" s="1116">
        <f t="shared" si="14"/>
        <v>100</v>
      </c>
      <c r="X36" s="2599"/>
      <c r="Y36" s="3460"/>
      <c r="Z36" s="2601">
        <f t="shared" si="15"/>
        <v>111</v>
      </c>
      <c r="AA36" s="1118">
        <f t="shared" si="3"/>
        <v>1</v>
      </c>
      <c r="AB36" s="1118">
        <f t="shared" si="4"/>
        <v>1</v>
      </c>
      <c r="AC36" s="1118">
        <f t="shared" si="5"/>
        <v>1</v>
      </c>
    </row>
    <row r="37" spans="1:29" ht="15">
      <c r="A37" s="113" t="s">
        <v>2013</v>
      </c>
      <c r="B37" s="1902" t="s">
        <v>2861</v>
      </c>
      <c r="C37" s="2608" t="s">
        <v>20</v>
      </c>
      <c r="D37" s="2609"/>
      <c r="E37" s="2610"/>
      <c r="F37" s="2611"/>
      <c r="G37" s="2612"/>
      <c r="H37" s="2613"/>
      <c r="I37" s="2610"/>
      <c r="J37" s="2613"/>
      <c r="K37" s="821"/>
      <c r="L37" s="2631"/>
      <c r="M37" s="1098"/>
      <c r="N37" s="643"/>
      <c r="O37" s="1098"/>
      <c r="P37" s="3454" t="str">
        <f>A37</f>
        <v>成交单价</v>
      </c>
      <c r="Q37" s="3454"/>
      <c r="R37" s="3455">
        <f>E37</f>
        <v>0</v>
      </c>
      <c r="S37" s="3455"/>
      <c r="T37" s="3455">
        <f>G37</f>
        <v>0</v>
      </c>
      <c r="U37" s="3455"/>
      <c r="V37" s="3455">
        <f>I37</f>
        <v>0</v>
      </c>
      <c r="W37" s="3455"/>
      <c r="X37" s="1098"/>
      <c r="Y37" s="1124"/>
      <c r="Z37" s="1098"/>
      <c r="AA37" s="1098"/>
      <c r="AB37" s="1098"/>
      <c r="AC37" s="1098"/>
    </row>
    <row r="38" spans="1:29" ht="15.75" thickBot="1">
      <c r="A38" s="115" t="s">
        <v>2014</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54" t="str">
        <f>A38</f>
        <v>比较价值</v>
      </c>
      <c r="Q38" s="3454"/>
      <c r="R38" s="3455" t="e">
        <f>IF(E1="售价",ROUND(PRODUCT(R37,AA7:AA36),0),ROUND(PRODUCT(R37,AA7:AA36),1))</f>
        <v>#DIV/0!</v>
      </c>
      <c r="S38" s="3455"/>
      <c r="T38" s="3455" t="e">
        <f>IF(E1="售价",ROUND(PRODUCT(T37,AB7:AB36),0),ROUND(PRODUCT(T37,AB7:AB36),1))</f>
        <v>#DIV/0!</v>
      </c>
      <c r="U38" s="3455"/>
      <c r="V38" s="3455" t="e">
        <f>IF(E1="售价",ROUND(PRODUCT(V37,AC7:AC36),0),ROUND(PRODUCT(V37,AC7:AC36),1))</f>
        <v>#DIV/0!</v>
      </c>
      <c r="W38" s="3455"/>
      <c r="X38" s="1098"/>
      <c r="Y38" s="1098"/>
      <c r="Z38" s="1098"/>
      <c r="AA38" s="1098"/>
      <c r="AB38" s="1098"/>
      <c r="AC38" s="1098"/>
    </row>
    <row r="39" spans="1:29" ht="15.75" thickBot="1">
      <c r="A39" s="691" t="s">
        <v>2891</v>
      </c>
      <c r="B39" s="692"/>
      <c r="C39" s="2618" t="e">
        <f>R39</f>
        <v>#DIV/0!</v>
      </c>
      <c r="D39" s="2618"/>
      <c r="E39" s="2618"/>
      <c r="F39" s="2618"/>
      <c r="G39" s="2618"/>
      <c r="H39" s="2618"/>
      <c r="I39" s="2618"/>
      <c r="J39" s="2618"/>
      <c r="K39" s="823"/>
      <c r="L39" s="2631"/>
      <c r="M39" s="1098"/>
      <c r="N39" s="1098"/>
      <c r="O39" s="1098"/>
      <c r="P39" s="3456" t="str">
        <f>A39</f>
        <v>估价对象XX用房的比较价值（楼面单价，元/平方米）</v>
      </c>
      <c r="Q39" s="3457"/>
      <c r="R39" s="3458" t="e">
        <f>IF(E1="售价",ROUND(AVERAGE(R38:V38),0),ROUND(AVERAGE(R38:V38),1))</f>
        <v>#DIV/0!</v>
      </c>
      <c r="S39" s="3458"/>
      <c r="T39" s="3458"/>
      <c r="U39" s="3458"/>
      <c r="V39" s="3458"/>
      <c r="W39" s="3458"/>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2017-9</v>
      </c>
      <c r="D48" s="2804">
        <f>EDATE(C48,-1)</f>
        <v>42948</v>
      </c>
      <c r="E48" s="2804">
        <f t="shared" ref="E48:O48" si="16">EDATE(D48,-1)</f>
        <v>42917</v>
      </c>
      <c r="F48" s="2804">
        <f t="shared" si="16"/>
        <v>42887</v>
      </c>
      <c r="G48" s="2804">
        <f t="shared" si="16"/>
        <v>42856</v>
      </c>
      <c r="H48" s="2804">
        <f t="shared" si="16"/>
        <v>42826</v>
      </c>
      <c r="I48" s="2804">
        <f t="shared" si="16"/>
        <v>42795</v>
      </c>
      <c r="J48" s="2804">
        <f t="shared" si="16"/>
        <v>42767</v>
      </c>
      <c r="K48" s="2804">
        <f t="shared" si="16"/>
        <v>42736</v>
      </c>
      <c r="L48" s="2804">
        <f t="shared" si="16"/>
        <v>42705</v>
      </c>
      <c r="M48" s="2804">
        <f t="shared" si="16"/>
        <v>42675</v>
      </c>
      <c r="N48" s="2804">
        <f t="shared" si="16"/>
        <v>42644</v>
      </c>
      <c r="O48" s="2804">
        <f t="shared" si="16"/>
        <v>42614</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2538</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2553</v>
      </c>
      <c r="C67" s="129" t="s">
        <v>2542</v>
      </c>
      <c r="D67" s="129" t="s">
        <v>2543</v>
      </c>
      <c r="E67" s="129" t="s">
        <v>2544</v>
      </c>
      <c r="F67" s="129" t="s">
        <v>2545</v>
      </c>
      <c r="G67" s="129" t="s">
        <v>2546</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万元</v>
      </c>
      <c r="D2" s="2886"/>
      <c r="E2" s="2918" t="e">
        <f ca="1">SUMIF(INDIRECT("'"&amp;G2&amp;"'"&amp;"!A:A"),"承租人权益价值",INDIRECT("'"&amp;G2&amp;"'"&amp;"!c:c"))</f>
        <v>#REF!</v>
      </c>
      <c r="F2" s="2887" t="str">
        <f>C2</f>
        <v>万元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123.8</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475" t="s">
        <v>462</v>
      </c>
      <c r="D4" s="3476"/>
      <c r="E4" s="3477" t="s">
        <v>463</v>
      </c>
      <c r="F4" s="3478"/>
      <c r="G4" s="3475" t="s">
        <v>464</v>
      </c>
      <c r="H4" s="3476"/>
      <c r="I4" s="3475" t="s">
        <v>465</v>
      </c>
      <c r="J4" s="3476"/>
      <c r="K4" s="812" t="s">
        <v>466</v>
      </c>
      <c r="L4" s="2204"/>
      <c r="M4" s="2205"/>
      <c r="N4" s="2205"/>
      <c r="O4" s="2205"/>
      <c r="P4" s="3479" t="s">
        <v>467</v>
      </c>
      <c r="Q4" s="3480"/>
      <c r="R4" s="3463" t="s">
        <v>463</v>
      </c>
      <c r="S4" s="3464"/>
      <c r="T4" s="3463" t="s">
        <v>464</v>
      </c>
      <c r="U4" s="3464"/>
      <c r="V4" s="3485" t="s">
        <v>465</v>
      </c>
      <c r="W4" s="3485"/>
      <c r="X4" s="1109"/>
      <c r="Y4" s="3463" t="s">
        <v>467</v>
      </c>
      <c r="Z4" s="3464"/>
      <c r="AA4" s="3472" t="s">
        <v>463</v>
      </c>
      <c r="AB4" s="3473" t="s">
        <v>464</v>
      </c>
      <c r="AC4" s="3472" t="s">
        <v>465</v>
      </c>
    </row>
    <row r="5" spans="1:29" ht="15">
      <c r="A5" s="601"/>
      <c r="B5" s="602"/>
      <c r="C5" s="3391" t="s">
        <v>1041</v>
      </c>
      <c r="D5" s="3392"/>
      <c r="E5" s="3389" t="s">
        <v>1042</v>
      </c>
      <c r="F5" s="3390"/>
      <c r="G5" s="3391" t="s">
        <v>57</v>
      </c>
      <c r="H5" s="3392"/>
      <c r="I5" s="3391" t="s">
        <v>1043</v>
      </c>
      <c r="J5" s="3392"/>
      <c r="K5" s="812"/>
      <c r="L5" s="2204"/>
      <c r="M5" s="2205"/>
      <c r="N5" s="2205"/>
      <c r="O5" s="2205"/>
      <c r="P5" s="3481"/>
      <c r="Q5" s="3482"/>
      <c r="R5" s="3465"/>
      <c r="S5" s="3466"/>
      <c r="T5" s="3465"/>
      <c r="U5" s="3466"/>
      <c r="V5" s="3485"/>
      <c r="W5" s="3485"/>
      <c r="X5" s="1109"/>
      <c r="Y5" s="3465"/>
      <c r="Z5" s="3466"/>
      <c r="AA5" s="3473"/>
      <c r="AB5" s="3473"/>
      <c r="AC5" s="3473"/>
    </row>
    <row r="6" spans="1:29" ht="15.75" thickBot="1">
      <c r="A6" s="603"/>
      <c r="B6" s="604"/>
      <c r="C6" s="3393" t="s">
        <v>1044</v>
      </c>
      <c r="D6" s="3394"/>
      <c r="E6" s="3395" t="s">
        <v>1044</v>
      </c>
      <c r="F6" s="3396"/>
      <c r="G6" s="3393" t="s">
        <v>1044</v>
      </c>
      <c r="H6" s="3394"/>
      <c r="I6" s="3393" t="s">
        <v>1044</v>
      </c>
      <c r="J6" s="3394"/>
      <c r="K6" s="812" t="s">
        <v>411</v>
      </c>
      <c r="L6" s="2204"/>
      <c r="M6" s="2205"/>
      <c r="N6" s="2205"/>
      <c r="O6" s="2205"/>
      <c r="P6" s="3483"/>
      <c r="Q6" s="3484"/>
      <c r="R6" s="3465"/>
      <c r="S6" s="3466"/>
      <c r="T6" s="3467"/>
      <c r="U6" s="3468"/>
      <c r="V6" s="3485"/>
      <c r="W6" s="3485"/>
      <c r="X6" s="1109"/>
      <c r="Y6" s="3467"/>
      <c r="Z6" s="3468"/>
      <c r="AA6" s="3474"/>
      <c r="AB6" s="3474"/>
      <c r="AC6" s="3474"/>
    </row>
    <row r="7" spans="1:29" s="218" customFormat="1" ht="15.75" thickBot="1">
      <c r="A7" s="605" t="s">
        <v>412</v>
      </c>
      <c r="B7" s="606"/>
      <c r="C7" s="607">
        <f>'数据-取费表'!B2</f>
        <v>42992</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61" t="s">
        <v>413</v>
      </c>
      <c r="Q7" s="3469"/>
      <c r="R7" s="1110" t="s">
        <v>61</v>
      </c>
      <c r="S7" s="1111">
        <f t="shared" ref="S7:S14" si="0">F7</f>
        <v>0</v>
      </c>
      <c r="T7" s="1110" t="s">
        <v>61</v>
      </c>
      <c r="U7" s="1111">
        <f t="shared" ref="U7:U14" si="1">H7</f>
        <v>0</v>
      </c>
      <c r="V7" s="1110" t="s">
        <v>61</v>
      </c>
      <c r="W7" s="1111">
        <f t="shared" ref="W7:W14" si="2">J7</f>
        <v>0</v>
      </c>
      <c r="X7" s="1112"/>
      <c r="Y7" s="3461" t="s">
        <v>413</v>
      </c>
      <c r="Z7" s="3462"/>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61" t="s">
        <v>448</v>
      </c>
      <c r="Q8" s="3462"/>
      <c r="R8" s="1110" t="s">
        <v>61</v>
      </c>
      <c r="S8" s="1111">
        <f t="shared" si="0"/>
        <v>0</v>
      </c>
      <c r="T8" s="1110" t="s">
        <v>61</v>
      </c>
      <c r="U8" s="1111">
        <f t="shared" si="1"/>
        <v>0</v>
      </c>
      <c r="V8" s="1110" t="s">
        <v>61</v>
      </c>
      <c r="W8" s="1111">
        <f t="shared" si="2"/>
        <v>0</v>
      </c>
      <c r="X8" s="1112"/>
      <c r="Y8" s="3461" t="s">
        <v>448</v>
      </c>
      <c r="Z8" s="3462"/>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54" t="s">
        <v>416</v>
      </c>
      <c r="Q9" s="192" t="str">
        <f t="shared" ref="Q9:Q14" si="6">B9</f>
        <v>用途</v>
      </c>
      <c r="R9" s="1110" t="s">
        <v>61</v>
      </c>
      <c r="S9" s="1111">
        <f t="shared" si="0"/>
        <v>100</v>
      </c>
      <c r="T9" s="1110" t="s">
        <v>61</v>
      </c>
      <c r="U9" s="1111">
        <f t="shared" si="1"/>
        <v>100</v>
      </c>
      <c r="V9" s="1110" t="s">
        <v>61</v>
      </c>
      <c r="W9" s="1111">
        <f t="shared" si="2"/>
        <v>100</v>
      </c>
      <c r="X9" s="1112"/>
      <c r="Y9" s="3271"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54"/>
      <c r="Q10" s="192" t="str">
        <f t="shared" si="6"/>
        <v>土地使用年限（年）</v>
      </c>
      <c r="R10" s="1110" t="s">
        <v>61</v>
      </c>
      <c r="S10" s="1111">
        <f t="shared" si="0"/>
        <v>100</v>
      </c>
      <c r="T10" s="1110" t="s">
        <v>61</v>
      </c>
      <c r="U10" s="1111">
        <f t="shared" si="1"/>
        <v>100</v>
      </c>
      <c r="V10" s="1110" t="s">
        <v>61</v>
      </c>
      <c r="W10" s="1111">
        <f t="shared" si="2"/>
        <v>100</v>
      </c>
      <c r="X10" s="1112"/>
      <c r="Y10" s="3271"/>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54"/>
      <c r="Q11" s="192">
        <f t="shared" si="6"/>
        <v>111</v>
      </c>
      <c r="R11" s="1110" t="s">
        <v>61</v>
      </c>
      <c r="S11" s="1111">
        <f t="shared" si="0"/>
        <v>100</v>
      </c>
      <c r="T11" s="1110" t="s">
        <v>61</v>
      </c>
      <c r="U11" s="1111">
        <f t="shared" si="1"/>
        <v>100</v>
      </c>
      <c r="V11" s="1110" t="s">
        <v>61</v>
      </c>
      <c r="W11" s="1111">
        <f t="shared" si="2"/>
        <v>100</v>
      </c>
      <c r="X11" s="1112"/>
      <c r="Y11" s="3271"/>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54"/>
      <c r="Q12" s="192">
        <f t="shared" si="6"/>
        <v>111</v>
      </c>
      <c r="R12" s="1110" t="s">
        <v>61</v>
      </c>
      <c r="S12" s="1111">
        <f t="shared" si="0"/>
        <v>100</v>
      </c>
      <c r="T12" s="1110" t="s">
        <v>61</v>
      </c>
      <c r="U12" s="1111">
        <f t="shared" si="1"/>
        <v>100</v>
      </c>
      <c r="V12" s="1110" t="s">
        <v>61</v>
      </c>
      <c r="W12" s="1111">
        <f t="shared" si="2"/>
        <v>100</v>
      </c>
      <c r="X12" s="1112"/>
      <c r="Y12" s="3271"/>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54"/>
      <c r="Q13" s="192">
        <f t="shared" si="6"/>
        <v>111</v>
      </c>
      <c r="R13" s="1110" t="s">
        <v>61</v>
      </c>
      <c r="S13" s="1111">
        <f t="shared" si="0"/>
        <v>100</v>
      </c>
      <c r="T13" s="1110" t="s">
        <v>61</v>
      </c>
      <c r="U13" s="1111">
        <f t="shared" si="1"/>
        <v>100</v>
      </c>
      <c r="V13" s="1110" t="s">
        <v>61</v>
      </c>
      <c r="W13" s="1111">
        <f t="shared" si="2"/>
        <v>100</v>
      </c>
      <c r="X13" s="1112"/>
      <c r="Y13" s="3271"/>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估价对象周边道路状况、公共交通通达情况、停车便捷程度，综合评价交通便捷度较好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470" t="s">
        <v>421</v>
      </c>
      <c r="Q14" s="1114" t="str">
        <f t="shared" si="6"/>
        <v>交通便捷度</v>
      </c>
      <c r="R14" s="1115" t="s">
        <v>61</v>
      </c>
      <c r="S14" s="1116">
        <f t="shared" si="0"/>
        <v>100</v>
      </c>
      <c r="T14" s="1115" t="s">
        <v>61</v>
      </c>
      <c r="U14" s="1116">
        <f t="shared" si="1"/>
        <v>100</v>
      </c>
      <c r="V14" s="1115" t="s">
        <v>61</v>
      </c>
      <c r="W14" s="1116">
        <f t="shared" si="2"/>
        <v>100</v>
      </c>
      <c r="X14" s="1109"/>
      <c r="Y14" s="3470"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471"/>
      <c r="Q15" s="1114"/>
      <c r="R15" s="1115"/>
      <c r="S15" s="1116"/>
      <c r="T15" s="1115"/>
      <c r="U15" s="1116"/>
      <c r="V15" s="1115"/>
      <c r="W15" s="1116"/>
      <c r="X15" s="1109"/>
      <c r="Y15" s="3471"/>
      <c r="Z15" s="1117"/>
      <c r="AA15" s="1118">
        <v>1</v>
      </c>
      <c r="AB15" s="1118">
        <v>1</v>
      </c>
      <c r="AC15" s="1118">
        <v>1</v>
      </c>
    </row>
    <row r="16" spans="1:29" ht="40.5">
      <c r="A16" s="626"/>
      <c r="B16" s="892" t="s">
        <v>2551</v>
      </c>
      <c r="C16" s="108" t="str">
        <f>IF(B1="工业",估价对象房地状况!G5,估价对象房地状况!C7)</f>
        <v>估价对象所在区域公共配套设施齐备情况</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471"/>
      <c r="Q16" s="1114" t="str">
        <f>B16</f>
        <v>公共配套设施</v>
      </c>
      <c r="R16" s="1115" t="s">
        <v>61</v>
      </c>
      <c r="S16" s="1116">
        <f>F16</f>
        <v>100</v>
      </c>
      <c r="T16" s="1115" t="s">
        <v>61</v>
      </c>
      <c r="U16" s="1116">
        <f>H16</f>
        <v>100</v>
      </c>
      <c r="V16" s="1115" t="s">
        <v>61</v>
      </c>
      <c r="W16" s="1116">
        <f>J16</f>
        <v>100</v>
      </c>
      <c r="X16" s="1109"/>
      <c r="Y16" s="3471"/>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471"/>
      <c r="Q17" s="1114"/>
      <c r="R17" s="1115"/>
      <c r="S17" s="1116"/>
      <c r="T17" s="1115"/>
      <c r="U17" s="1116"/>
      <c r="V17" s="1115"/>
      <c r="W17" s="1116"/>
      <c r="X17" s="1109"/>
      <c r="Y17" s="3471"/>
      <c r="Z17" s="1117"/>
      <c r="AA17" s="1118">
        <v>1</v>
      </c>
      <c r="AB17" s="1118">
        <v>1</v>
      </c>
      <c r="AC17" s="1118">
        <v>1</v>
      </c>
    </row>
    <row r="18" spans="1:29" ht="40.5">
      <c r="A18" s="626"/>
      <c r="B18" s="894" t="s">
        <v>2552</v>
      </c>
      <c r="C18" s="108" t="str">
        <f>IF(B1="工业",估价对象房地状况!G6,估价对象房地状况!C8)</f>
        <v>估价对象所在区域基础设施水平</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471"/>
      <c r="Q18" s="2549" t="str">
        <f>B18</f>
        <v>基础设施水平</v>
      </c>
      <c r="R18" s="1115" t="s">
        <v>61</v>
      </c>
      <c r="S18" s="1116">
        <f>F18</f>
        <v>100</v>
      </c>
      <c r="T18" s="1115" t="s">
        <v>61</v>
      </c>
      <c r="U18" s="1116">
        <f>H18</f>
        <v>100</v>
      </c>
      <c r="V18" s="1115" t="s">
        <v>61</v>
      </c>
      <c r="W18" s="1116">
        <f>J18</f>
        <v>100</v>
      </c>
      <c r="X18" s="2550"/>
      <c r="Y18" s="3471"/>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471"/>
      <c r="Q19" s="2549"/>
      <c r="R19" s="1115"/>
      <c r="S19" s="1116"/>
      <c r="T19" s="1115"/>
      <c r="U19" s="1116"/>
      <c r="V19" s="1115"/>
      <c r="W19" s="1116"/>
      <c r="X19" s="2550"/>
      <c r="Y19" s="3471"/>
      <c r="Z19" s="2551"/>
      <c r="AA19" s="1118">
        <v>1</v>
      </c>
      <c r="AB19" s="1118">
        <v>1</v>
      </c>
      <c r="AC19" s="1118">
        <v>1</v>
      </c>
    </row>
    <row r="20" spans="1:29" ht="54">
      <c r="A20" s="626"/>
      <c r="B20" s="649" t="s">
        <v>469</v>
      </c>
      <c r="C20" s="108" t="str">
        <f>IF(B1="工业",估价对象房地状况!G7,估价对象房地状况!C9)</f>
        <v>区域自然环境：；人文环境；综合评价环境状况一般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471"/>
      <c r="Q20" s="1114" t="str">
        <f>B20</f>
        <v>自然及人文环境</v>
      </c>
      <c r="R20" s="1115" t="s">
        <v>61</v>
      </c>
      <c r="S20" s="1116">
        <f>F20</f>
        <v>100</v>
      </c>
      <c r="T20" s="1115" t="s">
        <v>61</v>
      </c>
      <c r="U20" s="1116">
        <f>H20</f>
        <v>100</v>
      </c>
      <c r="V20" s="1115" t="s">
        <v>61</v>
      </c>
      <c r="W20" s="1116">
        <f>J20</f>
        <v>100</v>
      </c>
      <c r="X20" s="1109"/>
      <c r="Y20" s="3471"/>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471"/>
      <c r="Q21" s="1114"/>
      <c r="R21" s="1115"/>
      <c r="S21" s="1116"/>
      <c r="T21" s="1115"/>
      <c r="U21" s="1116"/>
      <c r="V21" s="1115"/>
      <c r="W21" s="1116"/>
      <c r="X21" s="1109"/>
      <c r="Y21" s="3471"/>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471"/>
      <c r="Q22" s="1114" t="str">
        <f>B22</f>
        <v>楼层</v>
      </c>
      <c r="R22" s="1115" t="s">
        <v>61</v>
      </c>
      <c r="S22" s="1116">
        <f>F22</f>
        <v>100</v>
      </c>
      <c r="T22" s="1115" t="s">
        <v>61</v>
      </c>
      <c r="U22" s="1116">
        <f>H22</f>
        <v>100</v>
      </c>
      <c r="V22" s="1115" t="s">
        <v>61</v>
      </c>
      <c r="W22" s="1116">
        <f>J22</f>
        <v>100</v>
      </c>
      <c r="X22" s="1109"/>
      <c r="Y22" s="3471"/>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471"/>
      <c r="Q23" s="1114">
        <f>B23</f>
        <v>111</v>
      </c>
      <c r="R23" s="1115" t="s">
        <v>61</v>
      </c>
      <c r="S23" s="1116">
        <f>F23</f>
        <v>100</v>
      </c>
      <c r="T23" s="1115" t="s">
        <v>61</v>
      </c>
      <c r="U23" s="1116">
        <f>H23</f>
        <v>100</v>
      </c>
      <c r="V23" s="1115" t="s">
        <v>61</v>
      </c>
      <c r="W23" s="1116">
        <f>J23</f>
        <v>100</v>
      </c>
      <c r="X23" s="1109"/>
      <c r="Y23" s="3471"/>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471"/>
      <c r="Q24" s="1114">
        <f t="shared" ref="Q24:Q34" si="11">B24</f>
        <v>111</v>
      </c>
      <c r="R24" s="1115" t="s">
        <v>61</v>
      </c>
      <c r="S24" s="1116">
        <f>F24</f>
        <v>100</v>
      </c>
      <c r="T24" s="1115" t="s">
        <v>61</v>
      </c>
      <c r="U24" s="1116">
        <f>H24</f>
        <v>100</v>
      </c>
      <c r="V24" s="1115" t="s">
        <v>61</v>
      </c>
      <c r="W24" s="1116">
        <f>J24</f>
        <v>100</v>
      </c>
      <c r="X24" s="1109"/>
      <c r="Y24" s="3471"/>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471"/>
      <c r="Q25" s="192">
        <f t="shared" si="11"/>
        <v>111</v>
      </c>
      <c r="R25" s="1110" t="s">
        <v>61</v>
      </c>
      <c r="S25" s="1111">
        <f>F25</f>
        <v>100</v>
      </c>
      <c r="T25" s="1110" t="s">
        <v>61</v>
      </c>
      <c r="U25" s="1111">
        <f>H25</f>
        <v>100</v>
      </c>
      <c r="V25" s="1110" t="s">
        <v>61</v>
      </c>
      <c r="W25" s="1111">
        <f>J25</f>
        <v>100</v>
      </c>
      <c r="X25" s="1112"/>
      <c r="Y25" s="3471"/>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459"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60"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460"/>
      <c r="Q27" s="1119" t="str">
        <f t="shared" si="11"/>
        <v>成新率</v>
      </c>
      <c r="R27" s="1120" t="s">
        <v>61</v>
      </c>
      <c r="S27" s="1121" t="e">
        <f t="shared" si="12"/>
        <v>#N/A</v>
      </c>
      <c r="T27" s="1120" t="s">
        <v>61</v>
      </c>
      <c r="U27" s="1121" t="e">
        <f t="shared" si="13"/>
        <v>#N/A</v>
      </c>
      <c r="V27" s="1120" t="s">
        <v>61</v>
      </c>
      <c r="W27" s="1121" t="e">
        <f t="shared" si="14"/>
        <v>#N/A</v>
      </c>
      <c r="X27" s="1122"/>
      <c r="Y27" s="3460"/>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460"/>
      <c r="Q28" s="1114" t="str">
        <f t="shared" si="11"/>
        <v>物业等级</v>
      </c>
      <c r="R28" s="1115" t="s">
        <v>61</v>
      </c>
      <c r="S28" s="1116">
        <f t="shared" si="12"/>
        <v>100</v>
      </c>
      <c r="T28" s="1115" t="s">
        <v>61</v>
      </c>
      <c r="U28" s="1116">
        <f t="shared" si="13"/>
        <v>100</v>
      </c>
      <c r="V28" s="1115" t="s">
        <v>61</v>
      </c>
      <c r="W28" s="1116">
        <f t="shared" si="14"/>
        <v>100</v>
      </c>
      <c r="X28" s="1109"/>
      <c r="Y28" s="3460"/>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460"/>
      <c r="Q29" s="1114" t="str">
        <f t="shared" si="11"/>
        <v>有无电梯</v>
      </c>
      <c r="R29" s="1115" t="s">
        <v>61</v>
      </c>
      <c r="S29" s="1116">
        <f t="shared" si="12"/>
        <v>100</v>
      </c>
      <c r="T29" s="1115" t="s">
        <v>61</v>
      </c>
      <c r="U29" s="1116">
        <f t="shared" si="13"/>
        <v>100</v>
      </c>
      <c r="V29" s="1115" t="s">
        <v>61</v>
      </c>
      <c r="W29" s="1116">
        <f t="shared" si="14"/>
        <v>100</v>
      </c>
      <c r="X29" s="1109"/>
      <c r="Y29" s="3460"/>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460"/>
      <c r="Q30" s="1114" t="str">
        <f t="shared" si="11"/>
        <v>建筑面积</v>
      </c>
      <c r="R30" s="1115" t="s">
        <v>61</v>
      </c>
      <c r="S30" s="1116" t="e">
        <f t="shared" si="12"/>
        <v>#N/A</v>
      </c>
      <c r="T30" s="1115" t="s">
        <v>61</v>
      </c>
      <c r="U30" s="1116" t="e">
        <f t="shared" si="13"/>
        <v>#N/A</v>
      </c>
      <c r="V30" s="1115" t="s">
        <v>61</v>
      </c>
      <c r="W30" s="1116" t="e">
        <f t="shared" si="14"/>
        <v>#N/A</v>
      </c>
      <c r="X30" s="1109"/>
      <c r="Y30" s="3460"/>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460"/>
      <c r="Q31" s="192" t="str">
        <f t="shared" si="11"/>
        <v>是否封闭</v>
      </c>
      <c r="R31" s="1110" t="s">
        <v>61</v>
      </c>
      <c r="S31" s="1111">
        <f t="shared" si="12"/>
        <v>100</v>
      </c>
      <c r="T31" s="1110" t="s">
        <v>61</v>
      </c>
      <c r="U31" s="1111">
        <f t="shared" si="13"/>
        <v>100</v>
      </c>
      <c r="V31" s="1110" t="s">
        <v>61</v>
      </c>
      <c r="W31" s="1111">
        <f t="shared" si="14"/>
        <v>100</v>
      </c>
      <c r="X31" s="1112"/>
      <c r="Y31" s="3460"/>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460" t="s">
        <v>423</v>
      </c>
      <c r="Q32" s="1114">
        <f t="shared" si="11"/>
        <v>111</v>
      </c>
      <c r="R32" s="1115" t="s">
        <v>61</v>
      </c>
      <c r="S32" s="1116">
        <f t="shared" si="12"/>
        <v>100</v>
      </c>
      <c r="T32" s="1115" t="s">
        <v>61</v>
      </c>
      <c r="U32" s="1116">
        <f t="shared" si="13"/>
        <v>100</v>
      </c>
      <c r="V32" s="1115" t="s">
        <v>61</v>
      </c>
      <c r="W32" s="1116">
        <f t="shared" si="14"/>
        <v>100</v>
      </c>
      <c r="X32" s="1109"/>
      <c r="Y32" s="3460"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460"/>
      <c r="Q33" s="1114">
        <f t="shared" si="11"/>
        <v>111</v>
      </c>
      <c r="R33" s="1115" t="s">
        <v>61</v>
      </c>
      <c r="S33" s="1116">
        <f t="shared" si="12"/>
        <v>100</v>
      </c>
      <c r="T33" s="1115" t="s">
        <v>61</v>
      </c>
      <c r="U33" s="1116">
        <f t="shared" si="13"/>
        <v>100</v>
      </c>
      <c r="V33" s="1115" t="s">
        <v>61</v>
      </c>
      <c r="W33" s="1116">
        <f t="shared" si="14"/>
        <v>100</v>
      </c>
      <c r="X33" s="1109"/>
      <c r="Y33" s="3460"/>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460"/>
      <c r="Q34" s="1114">
        <f t="shared" si="11"/>
        <v>111</v>
      </c>
      <c r="R34" s="1115" t="s">
        <v>61</v>
      </c>
      <c r="S34" s="1116">
        <f t="shared" si="12"/>
        <v>100</v>
      </c>
      <c r="T34" s="1115" t="s">
        <v>61</v>
      </c>
      <c r="U34" s="1116">
        <f t="shared" si="13"/>
        <v>100</v>
      </c>
      <c r="V34" s="1115" t="s">
        <v>61</v>
      </c>
      <c r="W34" s="1116">
        <f t="shared" si="14"/>
        <v>100</v>
      </c>
      <c r="X34" s="1109"/>
      <c r="Y34" s="3460"/>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454" t="str">
        <f>A35</f>
        <v>成交单价（元/平方米）</v>
      </c>
      <c r="Q35" s="3454"/>
      <c r="R35" s="3455">
        <f>E35</f>
        <v>0</v>
      </c>
      <c r="S35" s="3455"/>
      <c r="T35" s="3455">
        <f>G35</f>
        <v>0</v>
      </c>
      <c r="U35" s="3455"/>
      <c r="V35" s="3455">
        <f>I35</f>
        <v>0</v>
      </c>
      <c r="W35" s="3455"/>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454" t="str">
        <f>A36</f>
        <v>比较价值（元/平方米）</v>
      </c>
      <c r="Q36" s="3454"/>
      <c r="R36" s="3455" t="e">
        <f>IF(E1="售价",ROUND(PRODUCT(R35,AA7:AA34),0),ROUND(PRODUCT(R35,AA7:AA34),1))</f>
        <v>#DIV/0!</v>
      </c>
      <c r="S36" s="3455"/>
      <c r="T36" s="3455" t="e">
        <f>IF(E1="售价",ROUND(PRODUCT(T35,AB7:AB34),0),ROUND(PRODUCT(T35,AB7:AB34),1))</f>
        <v>#DIV/0!</v>
      </c>
      <c r="U36" s="3455"/>
      <c r="V36" s="3455" t="e">
        <f>IF(E1="售价",ROUND(PRODUCT(V35,AC7:AC34),0),ROUND(PRODUCT(V35,AC7:AC34),1))</f>
        <v>#DIV/0!</v>
      </c>
      <c r="W36" s="3455"/>
      <c r="X36" s="1098"/>
      <c r="Y36" s="1098"/>
      <c r="Z36" s="1098"/>
      <c r="AA36" s="1098"/>
      <c r="AB36" s="1098"/>
      <c r="AC36" s="1098"/>
    </row>
    <row r="37" spans="1:29" ht="15.75" thickBot="1">
      <c r="A37" s="62" t="s">
        <v>2885</v>
      </c>
      <c r="B37" s="692"/>
      <c r="C37" s="2618" t="e">
        <f>R37</f>
        <v>#DIV/0!</v>
      </c>
      <c r="D37" s="2618"/>
      <c r="E37" s="2618"/>
      <c r="F37" s="2618"/>
      <c r="G37" s="2618"/>
      <c r="H37" s="2618"/>
      <c r="I37" s="2618"/>
      <c r="J37" s="2618"/>
      <c r="K37" s="1194"/>
      <c r="L37" s="2217"/>
      <c r="M37" s="2218"/>
      <c r="N37" s="2218"/>
      <c r="O37" s="2218"/>
      <c r="P37" s="3456" t="str">
        <f>A37</f>
        <v>估价对象XX用房的比较价值（楼面单价，元/平方米）</v>
      </c>
      <c r="Q37" s="3457"/>
      <c r="R37" s="3458" t="e">
        <f>IF(E1="售价",ROUND(AVERAGE(R36:V36),0),ROUND(AVERAGE(R36:V36),1))</f>
        <v>#DIV/0!</v>
      </c>
      <c r="S37" s="3458"/>
      <c r="T37" s="3458"/>
      <c r="U37" s="3458"/>
      <c r="V37" s="3458"/>
      <c r="W37" s="3458"/>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2017-9</v>
      </c>
      <c r="D46" s="2804">
        <f>EDATE(C46,-1)</f>
        <v>42948</v>
      </c>
      <c r="E46" s="2804">
        <f t="shared" ref="E46:O46" si="16">EDATE(D46,-1)</f>
        <v>42917</v>
      </c>
      <c r="F46" s="2804">
        <f t="shared" si="16"/>
        <v>42887</v>
      </c>
      <c r="G46" s="2804">
        <f t="shared" si="16"/>
        <v>42856</v>
      </c>
      <c r="H46" s="2804">
        <f t="shared" si="16"/>
        <v>42826</v>
      </c>
      <c r="I46" s="2804">
        <f t="shared" si="16"/>
        <v>42795</v>
      </c>
      <c r="J46" s="2804">
        <f t="shared" si="16"/>
        <v>42767</v>
      </c>
      <c r="K46" s="2804">
        <f t="shared" si="16"/>
        <v>42736</v>
      </c>
      <c r="L46" s="2804">
        <f t="shared" si="16"/>
        <v>42705</v>
      </c>
      <c r="M46" s="2804">
        <f t="shared" si="16"/>
        <v>42675</v>
      </c>
      <c r="N46" s="2804">
        <f t="shared" si="16"/>
        <v>42644</v>
      </c>
      <c r="O46" s="2804">
        <f t="shared" si="16"/>
        <v>42614</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2538</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2553</v>
      </c>
      <c r="C65" s="129" t="s">
        <v>2542</v>
      </c>
      <c r="D65" s="129" t="s">
        <v>2543</v>
      </c>
      <c r="E65" s="129" t="s">
        <v>2544</v>
      </c>
      <c r="F65" s="129" t="s">
        <v>2545</v>
      </c>
      <c r="G65" s="129" t="s">
        <v>2546</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0" t="s">
        <v>2200</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2201</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404</v>
      </c>
      <c r="B4" s="599"/>
      <c r="C4" s="3475" t="s">
        <v>405</v>
      </c>
      <c r="D4" s="3476"/>
      <c r="E4" s="3477" t="s">
        <v>406</v>
      </c>
      <c r="F4" s="3478"/>
      <c r="G4" s="3475" t="s">
        <v>407</v>
      </c>
      <c r="H4" s="3476"/>
      <c r="I4" s="3475" t="s">
        <v>408</v>
      </c>
      <c r="J4" s="3476"/>
      <c r="K4" s="812" t="s">
        <v>409</v>
      </c>
      <c r="L4" s="2204"/>
      <c r="M4" s="2205"/>
      <c r="N4" s="2205"/>
      <c r="O4" s="2205"/>
      <c r="P4" s="3479" t="s">
        <v>410</v>
      </c>
      <c r="Q4" s="3480"/>
      <c r="R4" s="3463" t="s">
        <v>406</v>
      </c>
      <c r="S4" s="3464"/>
      <c r="T4" s="3463" t="s">
        <v>407</v>
      </c>
      <c r="U4" s="3464"/>
      <c r="V4" s="3485" t="s">
        <v>408</v>
      </c>
      <c r="W4" s="3485"/>
      <c r="X4" s="1109"/>
      <c r="Y4" s="3463" t="s">
        <v>410</v>
      </c>
      <c r="Z4" s="3464"/>
      <c r="AA4" s="3472" t="s">
        <v>406</v>
      </c>
      <c r="AB4" s="3473" t="s">
        <v>407</v>
      </c>
      <c r="AC4" s="3472" t="s">
        <v>408</v>
      </c>
    </row>
    <row r="5" spans="1:30" ht="15">
      <c r="A5" s="601"/>
      <c r="B5" s="602"/>
      <c r="C5" s="3391" t="s">
        <v>1041</v>
      </c>
      <c r="D5" s="3392"/>
      <c r="E5" s="3389" t="s">
        <v>1042</v>
      </c>
      <c r="F5" s="3390"/>
      <c r="G5" s="3391" t="s">
        <v>1045</v>
      </c>
      <c r="H5" s="3392"/>
      <c r="I5" s="3391" t="s">
        <v>1043</v>
      </c>
      <c r="J5" s="3392"/>
      <c r="K5" s="812"/>
      <c r="L5" s="2204"/>
      <c r="M5" s="2205"/>
      <c r="N5" s="2205"/>
      <c r="O5" s="2205"/>
      <c r="P5" s="3481"/>
      <c r="Q5" s="3482"/>
      <c r="R5" s="3465"/>
      <c r="S5" s="3466"/>
      <c r="T5" s="3465"/>
      <c r="U5" s="3466"/>
      <c r="V5" s="3485"/>
      <c r="W5" s="3485"/>
      <c r="X5" s="1109"/>
      <c r="Y5" s="3465"/>
      <c r="Z5" s="3466"/>
      <c r="AA5" s="3473"/>
      <c r="AB5" s="3473"/>
      <c r="AC5" s="3473"/>
    </row>
    <row r="6" spans="1:30" ht="15.75" thickBot="1">
      <c r="A6" s="603"/>
      <c r="B6" s="604"/>
      <c r="C6" s="3393" t="s">
        <v>1044</v>
      </c>
      <c r="D6" s="3394"/>
      <c r="E6" s="3395" t="s">
        <v>1044</v>
      </c>
      <c r="F6" s="3396"/>
      <c r="G6" s="3393" t="s">
        <v>1044</v>
      </c>
      <c r="H6" s="3394"/>
      <c r="I6" s="3393" t="s">
        <v>1044</v>
      </c>
      <c r="J6" s="3394"/>
      <c r="K6" s="812" t="s">
        <v>411</v>
      </c>
      <c r="L6" s="2204"/>
      <c r="M6" s="2205"/>
      <c r="N6" s="2205"/>
      <c r="O6" s="2205"/>
      <c r="P6" s="3483"/>
      <c r="Q6" s="3484"/>
      <c r="R6" s="3465"/>
      <c r="S6" s="3466"/>
      <c r="T6" s="3467"/>
      <c r="U6" s="3468"/>
      <c r="V6" s="3485"/>
      <c r="W6" s="3485"/>
      <c r="X6" s="1109"/>
      <c r="Y6" s="3467"/>
      <c r="Z6" s="3468"/>
      <c r="AA6" s="3474"/>
      <c r="AB6" s="3474"/>
      <c r="AC6" s="3474"/>
    </row>
    <row r="7" spans="1:30" s="218" customFormat="1" ht="15.75" thickBot="1">
      <c r="A7" s="605" t="s">
        <v>412</v>
      </c>
      <c r="B7" s="606"/>
      <c r="C7" s="607">
        <f>'数据-取费表'!B2</f>
        <v>42992</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61" t="s">
        <v>413</v>
      </c>
      <c r="Q7" s="3469"/>
      <c r="R7" s="1110" t="s">
        <v>61</v>
      </c>
      <c r="S7" s="1111">
        <f t="shared" ref="S7:S15" si="0">F7</f>
        <v>0</v>
      </c>
      <c r="T7" s="1110" t="s">
        <v>61</v>
      </c>
      <c r="U7" s="1111">
        <f t="shared" ref="U7:U15" si="1">H7</f>
        <v>0</v>
      </c>
      <c r="V7" s="1110" t="s">
        <v>61</v>
      </c>
      <c r="W7" s="1111">
        <f t="shared" ref="W7:W15" si="2">J7</f>
        <v>0</v>
      </c>
      <c r="X7" s="1112"/>
      <c r="Y7" s="3461" t="s">
        <v>413</v>
      </c>
      <c r="Z7" s="3462"/>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61" t="s">
        <v>448</v>
      </c>
      <c r="Q8" s="3462"/>
      <c r="R8" s="1110" t="s">
        <v>61</v>
      </c>
      <c r="S8" s="1111">
        <f t="shared" si="0"/>
        <v>0</v>
      </c>
      <c r="T8" s="1110" t="s">
        <v>61</v>
      </c>
      <c r="U8" s="1111">
        <f t="shared" si="1"/>
        <v>0</v>
      </c>
      <c r="V8" s="1110" t="s">
        <v>61</v>
      </c>
      <c r="W8" s="1111">
        <f t="shared" si="2"/>
        <v>0</v>
      </c>
      <c r="X8" s="1112"/>
      <c r="Y8" s="3461" t="s">
        <v>448</v>
      </c>
      <c r="Z8" s="3462"/>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54" t="s">
        <v>416</v>
      </c>
      <c r="Q9" s="192" t="str">
        <f t="shared" ref="Q9:Q15" si="6">B9</f>
        <v>用途</v>
      </c>
      <c r="R9" s="1110" t="s">
        <v>61</v>
      </c>
      <c r="S9" s="1111">
        <f t="shared" si="0"/>
        <v>100</v>
      </c>
      <c r="T9" s="1110" t="s">
        <v>61</v>
      </c>
      <c r="U9" s="1111">
        <f t="shared" si="1"/>
        <v>100</v>
      </c>
      <c r="V9" s="1110" t="s">
        <v>61</v>
      </c>
      <c r="W9" s="1111">
        <f t="shared" si="2"/>
        <v>100</v>
      </c>
      <c r="X9" s="1112"/>
      <c r="Y9" s="3271"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121</v>
      </c>
      <c r="G10" s="662"/>
      <c r="H10" s="235">
        <f>ROUND(100/'数据-取费表'!B14,0)</f>
        <v>121</v>
      </c>
      <c r="I10" s="662"/>
      <c r="J10" s="235">
        <f>ROUND(100/'数据-取费表'!B14,0)</f>
        <v>121</v>
      </c>
      <c r="K10" s="943"/>
      <c r="L10" s="2209"/>
      <c r="M10" s="2210"/>
      <c r="N10" s="2210"/>
      <c r="O10" s="2211"/>
      <c r="P10" s="3454"/>
      <c r="Q10" s="192" t="str">
        <f t="shared" si="6"/>
        <v>土地使用年限（年）</v>
      </c>
      <c r="R10" s="1110" t="s">
        <v>61</v>
      </c>
      <c r="S10" s="1111">
        <f t="shared" si="0"/>
        <v>121</v>
      </c>
      <c r="T10" s="1110" t="s">
        <v>61</v>
      </c>
      <c r="U10" s="1111">
        <f t="shared" si="1"/>
        <v>121</v>
      </c>
      <c r="V10" s="1110" t="s">
        <v>61</v>
      </c>
      <c r="W10" s="1111">
        <f t="shared" si="2"/>
        <v>121</v>
      </c>
      <c r="X10" s="1112"/>
      <c r="Y10" s="3271"/>
      <c r="Z10" s="206" t="str">
        <f t="shared" si="7"/>
        <v>土地使用年限（年）</v>
      </c>
      <c r="AA10" s="1113">
        <f t="shared" si="3"/>
        <v>0.82644628099173556</v>
      </c>
      <c r="AB10" s="1113">
        <f t="shared" si="4"/>
        <v>0.82644628099173556</v>
      </c>
      <c r="AC10" s="1113">
        <f t="shared" si="5"/>
        <v>0.82644628099173556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54"/>
      <c r="Q11" s="192" t="str">
        <f t="shared" si="6"/>
        <v>容积率</v>
      </c>
      <c r="R11" s="1110" t="s">
        <v>61</v>
      </c>
      <c r="S11" s="1111" t="e">
        <f t="shared" si="0"/>
        <v>#N/A</v>
      </c>
      <c r="T11" s="1110" t="s">
        <v>61</v>
      </c>
      <c r="U11" s="1111" t="e">
        <f t="shared" si="1"/>
        <v>#N/A</v>
      </c>
      <c r="V11" s="1110" t="s">
        <v>61</v>
      </c>
      <c r="W11" s="1111" t="e">
        <f t="shared" si="2"/>
        <v>#N/A</v>
      </c>
      <c r="X11" s="1112"/>
      <c r="Y11" s="3271"/>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54"/>
      <c r="Q12" s="192" t="str">
        <f t="shared" si="6"/>
        <v>配建</v>
      </c>
      <c r="R12" s="1110" t="s">
        <v>61</v>
      </c>
      <c r="S12" s="1111">
        <f t="shared" si="0"/>
        <v>100</v>
      </c>
      <c r="T12" s="1110" t="s">
        <v>61</v>
      </c>
      <c r="U12" s="1111">
        <f t="shared" si="1"/>
        <v>100</v>
      </c>
      <c r="V12" s="1110" t="s">
        <v>61</v>
      </c>
      <c r="W12" s="1111">
        <f t="shared" si="2"/>
        <v>100</v>
      </c>
      <c r="X12" s="1112"/>
      <c r="Y12" s="3271"/>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54"/>
      <c r="Q13" s="192">
        <f t="shared" si="6"/>
        <v>111</v>
      </c>
      <c r="R13" s="1110" t="s">
        <v>61</v>
      </c>
      <c r="S13" s="1111">
        <f t="shared" si="0"/>
        <v>100</v>
      </c>
      <c r="T13" s="1110" t="s">
        <v>61</v>
      </c>
      <c r="U13" s="1111">
        <f t="shared" si="1"/>
        <v>100</v>
      </c>
      <c r="V13" s="1110" t="s">
        <v>61</v>
      </c>
      <c r="W13" s="1111">
        <f t="shared" si="2"/>
        <v>100</v>
      </c>
      <c r="X13" s="1112"/>
      <c r="Y13" s="3271"/>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54"/>
      <c r="Q14" s="192">
        <f t="shared" si="6"/>
        <v>111</v>
      </c>
      <c r="R14" s="1110" t="s">
        <v>61</v>
      </c>
      <c r="S14" s="1111">
        <f t="shared" si="0"/>
        <v>100</v>
      </c>
      <c r="T14" s="1110" t="s">
        <v>61</v>
      </c>
      <c r="U14" s="1111">
        <f t="shared" si="1"/>
        <v>100</v>
      </c>
      <c r="V14" s="1110" t="s">
        <v>61</v>
      </c>
      <c r="W14" s="1111">
        <f t="shared" si="2"/>
        <v>100</v>
      </c>
      <c r="X14" s="1112"/>
      <c r="Y14" s="3271"/>
      <c r="Z14" s="206">
        <f t="shared" si="7"/>
        <v>111</v>
      </c>
      <c r="AA14" s="1113">
        <f>D14/F14</f>
        <v>1</v>
      </c>
      <c r="AB14" s="1113">
        <f>D14/H14</f>
        <v>1</v>
      </c>
      <c r="AC14" s="1113">
        <f>D14/J14</f>
        <v>1</v>
      </c>
    </row>
    <row r="15" spans="1:30" ht="94.5">
      <c r="A15" s="598" t="s">
        <v>420</v>
      </c>
      <c r="B15" s="2579"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470" t="s">
        <v>421</v>
      </c>
      <c r="Q15" s="1114" t="str">
        <f t="shared" si="6"/>
        <v>居住社区成熟度</v>
      </c>
      <c r="R15" s="1115" t="s">
        <v>61</v>
      </c>
      <c r="S15" s="1116">
        <f t="shared" si="0"/>
        <v>100</v>
      </c>
      <c r="T15" s="1115" t="s">
        <v>61</v>
      </c>
      <c r="U15" s="1116">
        <f t="shared" si="1"/>
        <v>100</v>
      </c>
      <c r="V15" s="1115" t="s">
        <v>61</v>
      </c>
      <c r="W15" s="1116">
        <f t="shared" si="2"/>
        <v>100</v>
      </c>
      <c r="X15" s="1109"/>
      <c r="Y15" s="3470" t="s">
        <v>421</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471"/>
      <c r="Q16" s="1114"/>
      <c r="R16" s="1115"/>
      <c r="S16" s="1116"/>
      <c r="T16" s="1115"/>
      <c r="U16" s="1116"/>
      <c r="V16" s="1115"/>
      <c r="W16" s="1116"/>
      <c r="X16" s="1109"/>
      <c r="Y16" s="3471"/>
      <c r="Z16" s="1117"/>
      <c r="AA16" s="1118">
        <v>1</v>
      </c>
      <c r="AB16" s="1118">
        <v>1</v>
      </c>
      <c r="AC16" s="1118">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471"/>
      <c r="Q17" s="1114" t="str">
        <f>B17</f>
        <v>商业繁华度</v>
      </c>
      <c r="R17" s="1115" t="s">
        <v>61</v>
      </c>
      <c r="S17" s="1116">
        <f>F17</f>
        <v>100</v>
      </c>
      <c r="T17" s="1115" t="s">
        <v>61</v>
      </c>
      <c r="U17" s="1116">
        <f>H17</f>
        <v>100</v>
      </c>
      <c r="V17" s="1115" t="s">
        <v>61</v>
      </c>
      <c r="W17" s="1116">
        <f>J17</f>
        <v>100</v>
      </c>
      <c r="X17" s="1109"/>
      <c r="Y17" s="3471"/>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471"/>
      <c r="Q18" s="1114"/>
      <c r="R18" s="1115"/>
      <c r="S18" s="1116"/>
      <c r="T18" s="1115"/>
      <c r="U18" s="1116"/>
      <c r="V18" s="1115"/>
      <c r="W18" s="1116"/>
      <c r="X18" s="1109"/>
      <c r="Y18" s="3471"/>
      <c r="Z18" s="1117"/>
      <c r="AA18" s="1118">
        <v>1</v>
      </c>
      <c r="AB18" s="1118">
        <v>1</v>
      </c>
      <c r="AC18" s="1118">
        <v>1</v>
      </c>
    </row>
    <row r="19" spans="1:29" ht="81">
      <c r="A19" s="601"/>
      <c r="B19" s="2581"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471"/>
      <c r="Q19" s="1114" t="str">
        <f>B19</f>
        <v>办公集聚程度</v>
      </c>
      <c r="R19" s="1115" t="s">
        <v>61</v>
      </c>
      <c r="S19" s="1116">
        <f>F19</f>
        <v>100</v>
      </c>
      <c r="T19" s="1115" t="s">
        <v>61</v>
      </c>
      <c r="U19" s="1116">
        <f>H19</f>
        <v>100</v>
      </c>
      <c r="V19" s="1115" t="s">
        <v>61</v>
      </c>
      <c r="W19" s="1116">
        <f>J19</f>
        <v>100</v>
      </c>
      <c r="X19" s="1109"/>
      <c r="Y19" s="3471"/>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471"/>
      <c r="Q20" s="1114"/>
      <c r="R20" s="1115"/>
      <c r="S20" s="1116"/>
      <c r="T20" s="1115"/>
      <c r="U20" s="1116"/>
      <c r="V20" s="1115"/>
      <c r="W20" s="1116"/>
      <c r="X20" s="1109"/>
      <c r="Y20" s="3471"/>
      <c r="Z20" s="1117"/>
      <c r="AA20" s="1118">
        <v>1</v>
      </c>
      <c r="AB20" s="1118">
        <v>1</v>
      </c>
      <c r="AC20" s="1118">
        <v>1</v>
      </c>
    </row>
    <row r="21" spans="1:29" ht="94.5">
      <c r="A21" s="601"/>
      <c r="B21" s="2581" t="s">
        <v>468</v>
      </c>
      <c r="C21" s="162" t="str">
        <f>估价对象房地状况!C18</f>
        <v>估价对象周边道路状况、公共交通通达情况、停车便捷程度，综合评价交通便捷度较好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471"/>
      <c r="Q21" s="1114" t="str">
        <f>B21</f>
        <v>交通便捷度</v>
      </c>
      <c r="R21" s="1115" t="s">
        <v>61</v>
      </c>
      <c r="S21" s="1116">
        <f>F21</f>
        <v>100</v>
      </c>
      <c r="T21" s="1115" t="s">
        <v>61</v>
      </c>
      <c r="U21" s="1116">
        <f>H21</f>
        <v>100</v>
      </c>
      <c r="V21" s="1115" t="s">
        <v>61</v>
      </c>
      <c r="W21" s="1116">
        <f>J21</f>
        <v>100</v>
      </c>
      <c r="X21" s="1109"/>
      <c r="Y21" s="3471"/>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471"/>
      <c r="Q22" s="1114"/>
      <c r="R22" s="1115"/>
      <c r="S22" s="1116"/>
      <c r="T22" s="1115"/>
      <c r="U22" s="1116"/>
      <c r="V22" s="1115"/>
      <c r="W22" s="1116"/>
      <c r="X22" s="1109"/>
      <c r="Y22" s="3471"/>
      <c r="Z22" s="1117"/>
      <c r="AA22" s="1118">
        <v>1</v>
      </c>
      <c r="AB22" s="1118">
        <v>1</v>
      </c>
      <c r="AC22" s="1118">
        <v>1</v>
      </c>
    </row>
    <row r="23" spans="1:29" ht="27">
      <c r="A23" s="601"/>
      <c r="B23" s="2584"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471"/>
      <c r="Q23" s="1114" t="str">
        <f t="shared" ref="Q23:Q37" si="8">B23</f>
        <v>区域土地利用方向</v>
      </c>
      <c r="R23" s="1115" t="s">
        <v>61</v>
      </c>
      <c r="S23" s="1116">
        <f>F23</f>
        <v>100</v>
      </c>
      <c r="T23" s="1115" t="s">
        <v>61</v>
      </c>
      <c r="U23" s="1116">
        <f>H23</f>
        <v>100</v>
      </c>
      <c r="V23" s="1115" t="s">
        <v>61</v>
      </c>
      <c r="W23" s="1116">
        <f>J23</f>
        <v>100</v>
      </c>
      <c r="X23" s="1109"/>
      <c r="Y23" s="3471"/>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471"/>
      <c r="Q24" s="1282"/>
      <c r="R24" s="1115"/>
      <c r="S24" s="1116"/>
      <c r="T24" s="1115"/>
      <c r="U24" s="1116"/>
      <c r="V24" s="1115"/>
      <c r="W24" s="1116"/>
      <c r="X24" s="1281"/>
      <c r="Y24" s="3471"/>
      <c r="Z24" s="1283"/>
      <c r="AA24" s="1118"/>
      <c r="AB24" s="1118"/>
      <c r="AC24" s="1118"/>
    </row>
    <row r="25" spans="1:29" ht="54">
      <c r="A25" s="601"/>
      <c r="B25" s="2583" t="s">
        <v>496</v>
      </c>
      <c r="C25" s="166" t="str">
        <f>估价对象房地状况!C20</f>
        <v>区域自然环境：；人文环境；综合评价环境状况一般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471"/>
      <c r="Q25" s="1114" t="str">
        <f t="shared" si="8"/>
        <v>自然及人文环境状况</v>
      </c>
      <c r="R25" s="1115" t="s">
        <v>61</v>
      </c>
      <c r="S25" s="1116">
        <f>F25</f>
        <v>100</v>
      </c>
      <c r="T25" s="1115" t="s">
        <v>61</v>
      </c>
      <c r="U25" s="1116">
        <f>H25</f>
        <v>100</v>
      </c>
      <c r="V25" s="1115" t="s">
        <v>61</v>
      </c>
      <c r="W25" s="1116">
        <f>J25</f>
        <v>100</v>
      </c>
      <c r="X25" s="1109"/>
      <c r="Y25" s="3471"/>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471"/>
      <c r="Q26" s="1114"/>
      <c r="R26" s="1115"/>
      <c r="S26" s="1116"/>
      <c r="T26" s="1115"/>
      <c r="U26" s="1116"/>
      <c r="V26" s="1115"/>
      <c r="W26" s="1116"/>
      <c r="X26" s="1109"/>
      <c r="Y26" s="3471"/>
      <c r="Z26" s="1117"/>
      <c r="AA26" s="1118">
        <v>1</v>
      </c>
      <c r="AB26" s="1118">
        <v>1</v>
      </c>
      <c r="AC26" s="1118">
        <v>1</v>
      </c>
    </row>
    <row r="27" spans="1:29" ht="40.5">
      <c r="A27" s="601"/>
      <c r="B27" s="2586" t="s">
        <v>2547</v>
      </c>
      <c r="C27" s="162" t="str">
        <f>估价对象房地状况!C21</f>
        <v>估价对象所在区域公共配套设施齐备情况</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471"/>
      <c r="Q27" s="2545" t="str">
        <f t="shared" ref="Q27" si="9">B27</f>
        <v>公共配套设施</v>
      </c>
      <c r="R27" s="1110" t="s">
        <v>61</v>
      </c>
      <c r="S27" s="1111">
        <f>F27</f>
        <v>100</v>
      </c>
      <c r="T27" s="1110" t="s">
        <v>61</v>
      </c>
      <c r="U27" s="1111">
        <f>H27</f>
        <v>100</v>
      </c>
      <c r="V27" s="1110" t="s">
        <v>61</v>
      </c>
      <c r="W27" s="1111">
        <f>J27</f>
        <v>100</v>
      </c>
      <c r="X27" s="2550"/>
      <c r="Y27" s="3471"/>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471"/>
      <c r="Q28" s="2549"/>
      <c r="R28" s="1115"/>
      <c r="S28" s="1116"/>
      <c r="T28" s="1115"/>
      <c r="U28" s="1116"/>
      <c r="V28" s="1115"/>
      <c r="W28" s="1116"/>
      <c r="X28" s="2550"/>
      <c r="Y28" s="3471"/>
      <c r="Z28" s="206"/>
      <c r="AA28" s="1118">
        <v>1</v>
      </c>
      <c r="AB28" s="1118">
        <v>1</v>
      </c>
      <c r="AC28" s="1118">
        <v>1</v>
      </c>
    </row>
    <row r="29" spans="1:29" s="218" customFormat="1" ht="40.5">
      <c r="A29" s="851"/>
      <c r="B29" s="2586" t="s">
        <v>2554</v>
      </c>
      <c r="C29" s="181" t="str">
        <f>估价对象房地状况!C22</f>
        <v>估价对象所在区域基础设施水平</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471"/>
      <c r="Q29" s="192" t="str">
        <f t="shared" si="8"/>
        <v>基础设施水平</v>
      </c>
      <c r="R29" s="1110" t="s">
        <v>61</v>
      </c>
      <c r="S29" s="1111">
        <f>F29</f>
        <v>100</v>
      </c>
      <c r="T29" s="1110" t="s">
        <v>61</v>
      </c>
      <c r="U29" s="1111">
        <f>H29</f>
        <v>100</v>
      </c>
      <c r="V29" s="1110" t="s">
        <v>61</v>
      </c>
      <c r="W29" s="1111">
        <f>J29</f>
        <v>100</v>
      </c>
      <c r="X29" s="1112"/>
      <c r="Y29" s="3471"/>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471"/>
      <c r="Q30" s="192"/>
      <c r="R30" s="1110"/>
      <c r="S30" s="1111"/>
      <c r="T30" s="1110"/>
      <c r="U30" s="1111"/>
      <c r="V30" s="1110"/>
      <c r="W30" s="1111"/>
      <c r="X30" s="1112"/>
      <c r="Y30" s="3471"/>
      <c r="Z30" s="206"/>
      <c r="AA30" s="1118">
        <v>1</v>
      </c>
      <c r="AB30" s="1118">
        <v>1</v>
      </c>
      <c r="AC30" s="1118">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471"/>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71"/>
      <c r="Z31" s="1117" t="str">
        <f t="shared" ref="Z31:Z45" si="13">Q31</f>
        <v>临街状况</v>
      </c>
      <c r="AA31" s="1118">
        <f t="shared" si="3"/>
        <v>1</v>
      </c>
      <c r="AB31" s="1118">
        <f t="shared" si="4"/>
        <v>1</v>
      </c>
      <c r="AC31" s="1118">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471"/>
      <c r="Q32" s="1114" t="str">
        <f t="shared" si="8"/>
        <v>毗邻道路的类型与等级</v>
      </c>
      <c r="R32" s="1115" t="s">
        <v>61</v>
      </c>
      <c r="S32" s="1116">
        <f t="shared" si="10"/>
        <v>100</v>
      </c>
      <c r="T32" s="1115" t="s">
        <v>61</v>
      </c>
      <c r="U32" s="1116">
        <f t="shared" si="11"/>
        <v>100</v>
      </c>
      <c r="V32" s="1115" t="s">
        <v>61</v>
      </c>
      <c r="W32" s="1116">
        <f t="shared" si="12"/>
        <v>100</v>
      </c>
      <c r="X32" s="1109"/>
      <c r="Y32" s="3471"/>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471"/>
      <c r="Q33" s="1114"/>
      <c r="R33" s="1115"/>
      <c r="S33" s="1116"/>
      <c r="T33" s="1115"/>
      <c r="U33" s="1116"/>
      <c r="V33" s="1115"/>
      <c r="W33" s="1116"/>
      <c r="X33" s="1109"/>
      <c r="Y33" s="3471"/>
      <c r="Z33" s="1117"/>
      <c r="AA33" s="1118">
        <v>1</v>
      </c>
      <c r="AB33" s="1118">
        <v>1</v>
      </c>
      <c r="AC33" s="1118">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471"/>
      <c r="Q34" s="1114" t="str">
        <f t="shared" si="8"/>
        <v>土地级别</v>
      </c>
      <c r="R34" s="1115" t="s">
        <v>61</v>
      </c>
      <c r="S34" s="1116">
        <f t="shared" si="10"/>
        <v>100</v>
      </c>
      <c r="T34" s="1115" t="s">
        <v>61</v>
      </c>
      <c r="U34" s="1116">
        <f t="shared" si="11"/>
        <v>100</v>
      </c>
      <c r="V34" s="1115" t="s">
        <v>61</v>
      </c>
      <c r="W34" s="1116">
        <f t="shared" si="12"/>
        <v>100</v>
      </c>
      <c r="X34" s="1109"/>
      <c r="Y34" s="3471"/>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471"/>
      <c r="Q35" s="1114">
        <f t="shared" si="8"/>
        <v>111</v>
      </c>
      <c r="R35" s="1115" t="s">
        <v>61</v>
      </c>
      <c r="S35" s="1116">
        <f t="shared" si="10"/>
        <v>100</v>
      </c>
      <c r="T35" s="1115" t="s">
        <v>61</v>
      </c>
      <c r="U35" s="1116">
        <f t="shared" si="11"/>
        <v>100</v>
      </c>
      <c r="V35" s="1115" t="s">
        <v>61</v>
      </c>
      <c r="W35" s="1116">
        <f t="shared" si="12"/>
        <v>100</v>
      </c>
      <c r="X35" s="1109"/>
      <c r="Y35" s="3471"/>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459" t="s">
        <v>423</v>
      </c>
      <c r="Q36" s="1114">
        <f t="shared" si="8"/>
        <v>111</v>
      </c>
      <c r="R36" s="1115" t="s">
        <v>61</v>
      </c>
      <c r="S36" s="1116">
        <f t="shared" si="10"/>
        <v>100</v>
      </c>
      <c r="T36" s="1115" t="s">
        <v>61</v>
      </c>
      <c r="U36" s="1116">
        <f t="shared" si="11"/>
        <v>100</v>
      </c>
      <c r="V36" s="1115" t="s">
        <v>61</v>
      </c>
      <c r="W36" s="1116">
        <f t="shared" si="12"/>
        <v>100</v>
      </c>
      <c r="X36" s="1109"/>
      <c r="Y36" s="3460"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460"/>
      <c r="Q37" s="1114">
        <f t="shared" si="8"/>
        <v>111</v>
      </c>
      <c r="R37" s="1120" t="s">
        <v>61</v>
      </c>
      <c r="S37" s="1121">
        <f t="shared" si="10"/>
        <v>100</v>
      </c>
      <c r="T37" s="1120" t="s">
        <v>61</v>
      </c>
      <c r="U37" s="1121">
        <f t="shared" si="11"/>
        <v>100</v>
      </c>
      <c r="V37" s="1120" t="s">
        <v>61</v>
      </c>
      <c r="W37" s="1121">
        <f t="shared" si="12"/>
        <v>100</v>
      </c>
      <c r="X37" s="1122"/>
      <c r="Y37" s="3460"/>
      <c r="Z37" s="1123">
        <f t="shared" si="13"/>
        <v>111</v>
      </c>
      <c r="AA37" s="1118">
        <f t="shared" si="3"/>
        <v>1</v>
      </c>
      <c r="AB37" s="1118">
        <f t="shared" si="4"/>
        <v>1</v>
      </c>
      <c r="AC37" s="1118">
        <f t="shared" si="5"/>
        <v>1</v>
      </c>
    </row>
    <row r="38" spans="1:29" ht="15">
      <c r="A38" s="598" t="s">
        <v>2556</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460"/>
      <c r="Q38" s="1114" t="str">
        <f>B38</f>
        <v>宗地面积</v>
      </c>
      <c r="R38" s="1115" t="s">
        <v>61</v>
      </c>
      <c r="S38" s="1116" t="e">
        <f t="shared" si="10"/>
        <v>#N/A</v>
      </c>
      <c r="T38" s="1115" t="s">
        <v>61</v>
      </c>
      <c r="U38" s="1116" t="e">
        <f t="shared" si="11"/>
        <v>#N/A</v>
      </c>
      <c r="V38" s="1115" t="s">
        <v>61</v>
      </c>
      <c r="W38" s="1116" t="e">
        <f t="shared" si="12"/>
        <v>#N/A</v>
      </c>
      <c r="X38" s="1109"/>
      <c r="Y38" s="3460"/>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460"/>
      <c r="Q39" s="1114" t="str">
        <f t="shared" ref="Q39:Q45" si="14">B39</f>
        <v>宗地形状</v>
      </c>
      <c r="R39" s="1115" t="s">
        <v>61</v>
      </c>
      <c r="S39" s="1116">
        <f t="shared" si="10"/>
        <v>100</v>
      </c>
      <c r="T39" s="1115" t="s">
        <v>61</v>
      </c>
      <c r="U39" s="1116">
        <f t="shared" si="11"/>
        <v>100</v>
      </c>
      <c r="V39" s="1115" t="s">
        <v>61</v>
      </c>
      <c r="W39" s="1116">
        <f t="shared" si="12"/>
        <v>100</v>
      </c>
      <c r="X39" s="1109"/>
      <c r="Y39" s="3460"/>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460"/>
      <c r="Q40" s="1114" t="str">
        <f t="shared" si="14"/>
        <v>临街宽度及深度</v>
      </c>
      <c r="R40" s="1115" t="s">
        <v>61</v>
      </c>
      <c r="S40" s="1116">
        <f t="shared" si="10"/>
        <v>100</v>
      </c>
      <c r="T40" s="1115" t="s">
        <v>61</v>
      </c>
      <c r="U40" s="1116">
        <f t="shared" si="11"/>
        <v>100</v>
      </c>
      <c r="V40" s="1115" t="s">
        <v>61</v>
      </c>
      <c r="W40" s="1116">
        <f t="shared" si="12"/>
        <v>100</v>
      </c>
      <c r="X40" s="1109"/>
      <c r="Y40" s="3460"/>
      <c r="Z40" s="1117" t="str">
        <f t="shared" si="13"/>
        <v>临街宽度及深度</v>
      </c>
      <c r="AA40" s="1118">
        <f t="shared" si="3"/>
        <v>1</v>
      </c>
      <c r="AB40" s="1118">
        <f t="shared" si="4"/>
        <v>1</v>
      </c>
      <c r="AC40" s="1118">
        <f t="shared" si="5"/>
        <v>1</v>
      </c>
    </row>
    <row r="41" spans="1:29" s="218" customFormat="1" ht="15">
      <c r="A41" s="672"/>
      <c r="B41" s="2423" t="s">
        <v>2418</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460"/>
      <c r="Q41" s="1114" t="str">
        <f t="shared" si="14"/>
        <v>宗地开发程度</v>
      </c>
      <c r="R41" s="1110" t="s">
        <v>61</v>
      </c>
      <c r="S41" s="1111">
        <f t="shared" si="10"/>
        <v>100</v>
      </c>
      <c r="T41" s="1110" t="s">
        <v>61</v>
      </c>
      <c r="U41" s="1111">
        <f t="shared" si="11"/>
        <v>100</v>
      </c>
      <c r="V41" s="1110" t="s">
        <v>61</v>
      </c>
      <c r="W41" s="1111">
        <f t="shared" si="12"/>
        <v>100</v>
      </c>
      <c r="X41" s="1112"/>
      <c r="Y41" s="3460"/>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460" t="s">
        <v>423</v>
      </c>
      <c r="Q42" s="1114" t="str">
        <f t="shared" si="14"/>
        <v>工程地质条件</v>
      </c>
      <c r="R42" s="1115" t="s">
        <v>61</v>
      </c>
      <c r="S42" s="1116">
        <f t="shared" si="10"/>
        <v>100</v>
      </c>
      <c r="T42" s="1115" t="s">
        <v>61</v>
      </c>
      <c r="U42" s="1116">
        <f t="shared" si="11"/>
        <v>100</v>
      </c>
      <c r="V42" s="1115" t="s">
        <v>61</v>
      </c>
      <c r="W42" s="1116">
        <f t="shared" si="12"/>
        <v>100</v>
      </c>
      <c r="X42" s="1109"/>
      <c r="Y42" s="3460"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460"/>
      <c r="Q43" s="1114">
        <f t="shared" si="14"/>
        <v>111</v>
      </c>
      <c r="R43" s="1115" t="s">
        <v>61</v>
      </c>
      <c r="S43" s="1116">
        <f t="shared" si="10"/>
        <v>100</v>
      </c>
      <c r="T43" s="1115" t="s">
        <v>61</v>
      </c>
      <c r="U43" s="1116">
        <f t="shared" si="11"/>
        <v>100</v>
      </c>
      <c r="V43" s="1115" t="s">
        <v>61</v>
      </c>
      <c r="W43" s="1116">
        <f t="shared" si="12"/>
        <v>100</v>
      </c>
      <c r="X43" s="1109"/>
      <c r="Y43" s="3460"/>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460"/>
      <c r="Q44" s="1114">
        <f t="shared" si="14"/>
        <v>111</v>
      </c>
      <c r="R44" s="1115" t="s">
        <v>61</v>
      </c>
      <c r="S44" s="1116">
        <f t="shared" si="10"/>
        <v>100</v>
      </c>
      <c r="T44" s="1115" t="s">
        <v>61</v>
      </c>
      <c r="U44" s="1116">
        <f t="shared" si="11"/>
        <v>100</v>
      </c>
      <c r="V44" s="1115" t="s">
        <v>61</v>
      </c>
      <c r="W44" s="1116">
        <f t="shared" si="12"/>
        <v>100</v>
      </c>
      <c r="X44" s="1109"/>
      <c r="Y44" s="3460"/>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460"/>
      <c r="Q45" s="1114">
        <f t="shared" si="14"/>
        <v>111</v>
      </c>
      <c r="R45" s="1120" t="s">
        <v>61</v>
      </c>
      <c r="S45" s="1121">
        <f t="shared" si="10"/>
        <v>100</v>
      </c>
      <c r="T45" s="1120" t="s">
        <v>61</v>
      </c>
      <c r="U45" s="1121">
        <f t="shared" si="11"/>
        <v>100</v>
      </c>
      <c r="V45" s="1120" t="s">
        <v>61</v>
      </c>
      <c r="W45" s="1121">
        <f t="shared" si="12"/>
        <v>100</v>
      </c>
      <c r="X45" s="1122"/>
      <c r="Y45" s="3460"/>
      <c r="Z45" s="1123">
        <f t="shared" si="13"/>
        <v>111</v>
      </c>
      <c r="AA45" s="1118">
        <f t="shared" si="3"/>
        <v>1</v>
      </c>
      <c r="AB45" s="1118">
        <f t="shared" si="4"/>
        <v>1</v>
      </c>
      <c r="AC45" s="1118">
        <f t="shared" si="5"/>
        <v>1</v>
      </c>
    </row>
    <row r="46" spans="1:29" ht="15">
      <c r="A46" s="678" t="s">
        <v>502</v>
      </c>
      <c r="B46" s="159" t="s">
        <v>2892</v>
      </c>
      <c r="C46" s="953" t="s">
        <v>20</v>
      </c>
      <c r="D46" s="680"/>
      <c r="E46" s="681"/>
      <c r="F46" s="682"/>
      <c r="G46" s="683"/>
      <c r="H46" s="684"/>
      <c r="I46" s="681"/>
      <c r="J46" s="684"/>
      <c r="K46" s="1192"/>
      <c r="L46" s="2217"/>
      <c r="M46" s="2218"/>
      <c r="N46" s="2205"/>
      <c r="O46" s="2218"/>
      <c r="P46" s="3454" t="str">
        <f>A46</f>
        <v>成交单价</v>
      </c>
      <c r="Q46" s="3454"/>
      <c r="R46" s="3485">
        <f>E46</f>
        <v>0</v>
      </c>
      <c r="S46" s="3485"/>
      <c r="T46" s="3485">
        <f>G46</f>
        <v>0</v>
      </c>
      <c r="U46" s="3485"/>
      <c r="V46" s="3485">
        <f>I46</f>
        <v>0</v>
      </c>
      <c r="W46" s="3485"/>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7"/>
      <c r="M47" s="2218"/>
      <c r="N47" s="2218"/>
      <c r="O47" s="2218"/>
      <c r="P47" s="3454" t="str">
        <f>A47</f>
        <v>比较价值（元/平方米）</v>
      </c>
      <c r="Q47" s="3454"/>
      <c r="R47" s="3494" t="e">
        <f>ROUND(PRODUCT(R46,AA7:AA45),0)</f>
        <v>#DIV/0!</v>
      </c>
      <c r="S47" s="3494"/>
      <c r="T47" s="3494" t="e">
        <f>ROUND(PRODUCT(T46,AB7:AB45),0)</f>
        <v>#DIV/0!</v>
      </c>
      <c r="U47" s="3494"/>
      <c r="V47" s="3494" t="e">
        <f>ROUND(PRODUCT(V46,AC7:AC45),0)</f>
        <v>#DIV/0!</v>
      </c>
      <c r="W47" s="3494"/>
      <c r="X47" s="1098"/>
      <c r="Y47" s="1098"/>
      <c r="Z47" s="1098"/>
      <c r="AA47" s="1098"/>
      <c r="AB47" s="1098"/>
      <c r="AC47" s="1098"/>
    </row>
    <row r="48" spans="1:29" ht="15.75" thickBot="1">
      <c r="A48" s="62" t="s">
        <v>2885</v>
      </c>
      <c r="B48" s="692"/>
      <c r="C48" s="693" t="e">
        <f>R48</f>
        <v>#DIV/0!</v>
      </c>
      <c r="D48" s="693"/>
      <c r="E48" s="693"/>
      <c r="F48" s="693"/>
      <c r="G48" s="693"/>
      <c r="H48" s="693"/>
      <c r="I48" s="693"/>
      <c r="J48" s="693"/>
      <c r="K48" s="1194"/>
      <c r="L48" s="2217"/>
      <c r="M48" s="2218"/>
      <c r="N48" s="2218"/>
      <c r="O48" s="2218"/>
      <c r="P48" s="3456" t="str">
        <f>A48</f>
        <v>估价对象XX用房的比较价值（楼面单价，元/平方米）</v>
      </c>
      <c r="Q48" s="3457"/>
      <c r="R48" s="3495" t="e">
        <f>ROUND(AVERAGE(R47:V47),0)</f>
        <v>#DIV/0!</v>
      </c>
      <c r="S48" s="3495"/>
      <c r="T48" s="3495"/>
      <c r="U48" s="3495"/>
      <c r="V48" s="3495"/>
      <c r="W48" s="3495"/>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503</v>
      </c>
      <c r="B55" s="956" t="s">
        <v>504</v>
      </c>
      <c r="C55" s="1610" t="s">
        <v>1811</v>
      </c>
      <c r="D55" s="2264" t="s">
        <v>2227</v>
      </c>
      <c r="E55" s="957" t="s">
        <v>505</v>
      </c>
      <c r="F55" s="958" t="s">
        <v>506</v>
      </c>
      <c r="G55" s="1611" t="s">
        <v>1810</v>
      </c>
      <c r="H55" s="1611" t="str">
        <f>项目基本情况!G8</f>
        <v>海淀区车公庄西路乙19号</v>
      </c>
      <c r="I55" s="1607" t="s">
        <v>1812</v>
      </c>
      <c r="J55" s="1099"/>
      <c r="K55" s="2219"/>
      <c r="L55" s="2219"/>
      <c r="M55" s="2218"/>
      <c r="N55" s="2218"/>
      <c r="O55" s="2218"/>
    </row>
    <row r="56" spans="1:15" s="963" customFormat="1">
      <c r="A56" s="959" t="s">
        <v>507</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508</v>
      </c>
      <c r="B57" s="395" t="e">
        <f>ROUND($C$48*C57*D57,0)</f>
        <v>#DIV/0!</v>
      </c>
      <c r="C57" s="334">
        <f>IF($C$55="北京市系数",G57,H57)</f>
        <v>0</v>
      </c>
      <c r="D57" s="2263">
        <v>0.25</v>
      </c>
      <c r="E57" s="965">
        <v>0</v>
      </c>
      <c r="F57" s="962" t="e">
        <f t="shared" si="15"/>
        <v>#DIV/0!</v>
      </c>
      <c r="G57" s="1608">
        <f>SUMIF(修正!$A$45:$A$56,项目基本情况!$F$9,修正!B45:B56)</f>
        <v>0</v>
      </c>
      <c r="H57" s="1609"/>
      <c r="I57" s="2218"/>
      <c r="J57" s="2223"/>
      <c r="K57" s="2219"/>
      <c r="L57" s="2219"/>
      <c r="M57" s="2218"/>
      <c r="N57" s="2218"/>
      <c r="O57" s="1606"/>
    </row>
    <row r="58" spans="1:15" s="963" customFormat="1">
      <c r="A58" s="964" t="s">
        <v>509</v>
      </c>
      <c r="B58" s="395" t="e">
        <f t="shared" ref="B58:B65" si="16">ROUND($C$48*C58*D58,0)</f>
        <v>#DIV/0!</v>
      </c>
      <c r="C58" s="334">
        <f t="shared" ref="C58:C65" si="17">IF($C$55="北京市系数",G58,H58)</f>
        <v>0</v>
      </c>
      <c r="D58" s="2263">
        <v>0.25</v>
      </c>
      <c r="E58" s="965">
        <v>0</v>
      </c>
      <c r="F58" s="962" t="e">
        <f t="shared" si="15"/>
        <v>#DIV/0!</v>
      </c>
      <c r="G58" s="1608">
        <f>SUMIF(修正!$A$45:$A$56,项目基本情况!$F$9,修正!C45:C56)</f>
        <v>0</v>
      </c>
      <c r="H58" s="1609"/>
      <c r="I58" s="2220"/>
      <c r="J58" s="2220"/>
      <c r="K58" s="2224"/>
      <c r="L58" s="2225"/>
      <c r="M58" s="2220"/>
      <c r="N58" s="2220"/>
      <c r="O58" s="1606"/>
    </row>
    <row r="59" spans="1:15" s="963" customFormat="1">
      <c r="A59" s="964" t="s">
        <v>510</v>
      </c>
      <c r="B59" s="395" t="e">
        <f t="shared" si="16"/>
        <v>#DIV/0!</v>
      </c>
      <c r="C59" s="334">
        <f t="shared" si="17"/>
        <v>0</v>
      </c>
      <c r="D59" s="2263">
        <v>0.25</v>
      </c>
      <c r="E59" s="965">
        <v>0</v>
      </c>
      <c r="F59" s="962" t="e">
        <f t="shared" si="15"/>
        <v>#DIV/0!</v>
      </c>
      <c r="G59" s="1608">
        <f>SUMIF(修正!$A$45:$A$56,项目基本情况!$F$9,修正!D45:D56)</f>
        <v>0</v>
      </c>
      <c r="H59" s="1609"/>
      <c r="I59" s="2218"/>
      <c r="J59" s="2223"/>
      <c r="K59" s="2219"/>
      <c r="L59" s="2219"/>
      <c r="M59" s="2218"/>
      <c r="N59" s="2218"/>
      <c r="O59" s="1606"/>
    </row>
    <row r="60" spans="1:15" s="963" customFormat="1">
      <c r="A60" s="964" t="s">
        <v>511</v>
      </c>
      <c r="B60" s="395" t="e">
        <f t="shared" si="16"/>
        <v>#DIV/0!</v>
      </c>
      <c r="C60" s="334">
        <f t="shared" si="17"/>
        <v>0</v>
      </c>
      <c r="D60" s="2263">
        <v>0.25</v>
      </c>
      <c r="E60" s="965">
        <v>0</v>
      </c>
      <c r="F60" s="962" t="e">
        <f t="shared" si="15"/>
        <v>#DIV/0!</v>
      </c>
      <c r="G60" s="1608">
        <f>SUMIF(修正!$A$45:$A$56,项目基本情况!$F$9,修正!E45:E56)</f>
        <v>0</v>
      </c>
      <c r="H60" s="1609"/>
      <c r="I60" s="2220"/>
      <c r="J60" s="2220"/>
      <c r="K60" s="2224"/>
      <c r="L60" s="2225"/>
      <c r="M60" s="2220"/>
      <c r="N60" s="2220"/>
      <c r="O60" s="1606"/>
    </row>
    <row r="61" spans="1:15" s="963" customFormat="1">
      <c r="A61" s="964" t="s">
        <v>512</v>
      </c>
      <c r="B61" s="395" t="e">
        <f t="shared" si="16"/>
        <v>#DIV/0!</v>
      </c>
      <c r="C61" s="334">
        <f t="shared" si="17"/>
        <v>0</v>
      </c>
      <c r="D61" s="2263">
        <v>0.25</v>
      </c>
      <c r="E61" s="965">
        <v>0</v>
      </c>
      <c r="F61" s="962" t="e">
        <f t="shared" si="15"/>
        <v>#DIV/0!</v>
      </c>
      <c r="G61" s="1608">
        <f>SUMIF(修正!A45:A56,项目基本情况!F9,修正!F45:F56)</f>
        <v>0</v>
      </c>
      <c r="H61" s="1609"/>
      <c r="I61" s="2218"/>
      <c r="J61" s="2223"/>
      <c r="K61" s="2219"/>
      <c r="L61" s="2219"/>
      <c r="M61" s="2218"/>
      <c r="N61" s="2218"/>
      <c r="O61" s="1606"/>
    </row>
    <row r="62" spans="1:15" s="963" customFormat="1">
      <c r="A62" s="964" t="s">
        <v>513</v>
      </c>
      <c r="B62" s="395" t="e">
        <f t="shared" si="16"/>
        <v>#DIV/0!</v>
      </c>
      <c r="C62" s="334">
        <f t="shared" si="17"/>
        <v>0</v>
      </c>
      <c r="D62" s="2263">
        <v>0.25</v>
      </c>
      <c r="E62" s="965">
        <v>0</v>
      </c>
      <c r="F62" s="962" t="e">
        <f t="shared" si="15"/>
        <v>#DIV/0!</v>
      </c>
      <c r="G62" s="1608">
        <f>SUMIF(修正!A45:A56,项目基本情况!F9,修正!G45:G56)</f>
        <v>0</v>
      </c>
      <c r="H62" s="1609"/>
      <c r="I62" s="2220"/>
      <c r="J62" s="2220"/>
      <c r="K62" s="2224"/>
      <c r="L62" s="2225"/>
      <c r="M62" s="2220"/>
      <c r="N62" s="2220"/>
      <c r="O62" s="1606"/>
    </row>
    <row r="63" spans="1:15" s="963" customFormat="1">
      <c r="A63" s="964" t="s">
        <v>514</v>
      </c>
      <c r="B63" s="395" t="e">
        <f t="shared" si="16"/>
        <v>#DIV/0!</v>
      </c>
      <c r="C63" s="334">
        <f>IF($C$55="北京市系数",G63,H63)</f>
        <v>0</v>
      </c>
      <c r="D63" s="2263">
        <v>0.25</v>
      </c>
      <c r="E63" s="965">
        <v>0</v>
      </c>
      <c r="F63" s="962" t="e">
        <f t="shared" si="15"/>
        <v>#DIV/0!</v>
      </c>
      <c r="G63" s="1608">
        <f>SUMIF(修正!A45:A56,项目基本情况!F9,修正!H45:H56)</f>
        <v>0</v>
      </c>
      <c r="H63" s="1609"/>
      <c r="I63" s="2218"/>
      <c r="J63" s="2223"/>
      <c r="K63" s="2219"/>
      <c r="L63" s="2219"/>
      <c r="M63" s="2218"/>
      <c r="N63" s="2218"/>
      <c r="O63" s="1606"/>
    </row>
    <row r="64" spans="1:15" s="963" customFormat="1">
      <c r="A64" s="964" t="s">
        <v>515</v>
      </c>
      <c r="B64" s="395" t="e">
        <f t="shared" si="16"/>
        <v>#DIV/0!</v>
      </c>
      <c r="C64" s="334">
        <f t="shared" si="17"/>
        <v>0</v>
      </c>
      <c r="D64" s="2263">
        <v>0.25</v>
      </c>
      <c r="E64" s="965">
        <v>0</v>
      </c>
      <c r="F64" s="962" t="e">
        <f t="shared" si="15"/>
        <v>#DIV/0!</v>
      </c>
      <c r="G64" s="1608">
        <f>G63</f>
        <v>0</v>
      </c>
      <c r="H64" s="1609"/>
      <c r="I64" s="2220"/>
      <c r="J64" s="2220"/>
      <c r="K64" s="2224"/>
      <c r="L64" s="2225"/>
      <c r="M64" s="2220"/>
      <c r="N64" s="2220"/>
      <c r="O64" s="1606"/>
    </row>
    <row r="65" spans="1:17" s="963" customFormat="1">
      <c r="A65" s="964" t="s">
        <v>516</v>
      </c>
      <c r="B65" s="395" t="e">
        <f t="shared" si="16"/>
        <v>#DIV/0!</v>
      </c>
      <c r="C65" s="334">
        <f t="shared" si="17"/>
        <v>0</v>
      </c>
      <c r="D65" s="2263">
        <v>0.25</v>
      </c>
      <c r="E65" s="965">
        <v>0</v>
      </c>
      <c r="F65" s="962" t="e">
        <f t="shared" si="15"/>
        <v>#DIV/0!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2017-9-1</v>
      </c>
      <c r="D68" s="2795">
        <f>EDATE(C68,-3)</f>
        <v>42887</v>
      </c>
      <c r="E68" s="2795">
        <f t="shared" ref="E68:O68" si="18">EDATE(D68,-3)</f>
        <v>42795</v>
      </c>
      <c r="F68" s="2795">
        <f t="shared" si="18"/>
        <v>42705</v>
      </c>
      <c r="G68" s="2795">
        <f t="shared" si="18"/>
        <v>42614</v>
      </c>
      <c r="H68" s="2795">
        <f t="shared" si="18"/>
        <v>42522</v>
      </c>
      <c r="I68" s="2795">
        <f t="shared" si="18"/>
        <v>42430</v>
      </c>
      <c r="J68" s="2795">
        <f t="shared" si="18"/>
        <v>42339</v>
      </c>
      <c r="K68" s="2795">
        <f t="shared" si="18"/>
        <v>42248</v>
      </c>
      <c r="L68" s="2795">
        <f t="shared" si="18"/>
        <v>42156</v>
      </c>
      <c r="M68" s="2795">
        <f t="shared" si="18"/>
        <v>42064</v>
      </c>
      <c r="N68" s="2795">
        <f t="shared" si="18"/>
        <v>41974</v>
      </c>
      <c r="O68" s="2795">
        <f t="shared" si="18"/>
        <v>41883</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15">
      <c r="A70" s="2530" t="s">
        <v>2659</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2555</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2554</v>
      </c>
      <c r="C102" s="129" t="s">
        <v>2542</v>
      </c>
      <c r="D102" s="129" t="s">
        <v>2543</v>
      </c>
      <c r="E102" s="129" t="s">
        <v>2544</v>
      </c>
      <c r="F102" s="129" t="s">
        <v>2545</v>
      </c>
      <c r="G102" s="129" t="s">
        <v>2546</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422</v>
      </c>
      <c r="B116" s="727" t="s">
        <v>525</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2419</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6" t="s">
        <v>1948</v>
      </c>
      <c r="B1" s="1758"/>
      <c r="C1" s="1758"/>
      <c r="D1" s="1758"/>
      <c r="E1" s="1758"/>
      <c r="F1" s="1758"/>
      <c r="G1" s="1758"/>
    </row>
    <row r="2" spans="1:7">
      <c r="A2" s="1857"/>
    </row>
    <row r="3" spans="1:7" s="2022" customFormat="1" ht="18.75">
      <c r="A3" s="2021" t="str">
        <f>IF(ISNUMBER(FIND("公司",项目基本情况!B4)),项目基本情况!B4&amp;"：",项目基本情况!B4&amp;"  先生/女士：")</f>
        <v>华通路桥集团有限公司：</v>
      </c>
      <c r="B3" s="1753"/>
      <c r="C3" s="1753"/>
      <c r="D3" s="1753"/>
      <c r="E3" s="1753"/>
      <c r="F3" s="1753"/>
      <c r="G3" s="1753"/>
    </row>
    <row r="4" spans="1:7" ht="37.5">
      <c r="A4" s="1757" t="str">
        <f>IF(ISNUMBER(FIND("公司",A3)),"受贵公司委托，我公司对"&amp;项目基本情况!I1&amp;"进行了预评估。","受您的委托，我公司对"&amp;项目基本情况!I1&amp;"进行了预评估。")</f>
        <v>受贵公司委托，我公司对北京市海淀区车公庄西路乙19号房地产进行了预评估。</v>
      </c>
      <c r="B4" s="1757"/>
      <c r="C4" s="1757"/>
      <c r="D4" s="1757"/>
      <c r="E4" s="1757"/>
      <c r="F4" s="1757"/>
      <c r="G4" s="1757"/>
    </row>
    <row r="5" spans="1:7" ht="18.75">
      <c r="A5" s="1752" t="s">
        <v>1950</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估价对象为北京市海淀区车公庄西路乙19号房地产，为所有。根据《房屋所有权证》[X京房权证海其字第045105号]，估价对象建筑面积为123.8平方米。估价对象用途为。</v>
      </c>
      <c r="B6" s="1757"/>
      <c r="C6" s="1757"/>
      <c r="D6" s="1757"/>
      <c r="E6" s="1757"/>
      <c r="F6" s="1757"/>
      <c r="G6" s="1757"/>
    </row>
    <row r="7" spans="1:7" ht="18.75">
      <c r="A7" s="1752" t="s">
        <v>1951</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1952</v>
      </c>
      <c r="B9" s="1793"/>
    </row>
    <row r="10" spans="1:7" ht="18.75">
      <c r="A10" s="1754" t="str">
        <f>TEXT(项目基本情况!D2,"yyyy年m月d日;;")&amp;IF(项目基本情况!B2=项目基本情况!D2,"（评估专业人员实地查勘之日）","")</f>
        <v>2017年9月14日（评估专业人员实地查勘之日）</v>
      </c>
      <c r="B10" s="1755"/>
      <c r="C10" s="1755"/>
      <c r="D10" s="1755"/>
      <c r="E10" s="1755"/>
      <c r="F10" s="1755"/>
      <c r="G10" s="1755"/>
    </row>
    <row r="11" spans="1:7" ht="18.75">
      <c r="A11" s="1753" t="s">
        <v>1953</v>
      </c>
    </row>
    <row r="12" spans="1:7" ht="75">
      <c r="A12" s="1757" t="s">
        <v>2720</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本次估价的“房地产价值”是指在正常市场情况下，在价值时点2017年9月14日，估价对象规划用途为，假定未设立法定优先受偿款下的房地产市场价值。</v>
      </c>
      <c r="B13" s="1757"/>
      <c r="C13" s="1757"/>
      <c r="D13" s="1757"/>
      <c r="E13" s="1757"/>
      <c r="F13" s="1757"/>
      <c r="G13" s="1757"/>
    </row>
    <row r="14" spans="1:7" ht="56.25">
      <c r="A14" s="1858"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75">
      <c r="A15" s="1757" t="s">
        <v>2913</v>
      </c>
      <c r="B15" s="1757"/>
      <c r="C15" s="1757"/>
      <c r="D15" s="1757"/>
      <c r="E15" s="1757"/>
      <c r="F15" s="1757"/>
      <c r="G15" s="1757"/>
    </row>
    <row r="16" spans="1:7" ht="56.25">
      <c r="A16" s="17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1959</v>
      </c>
    </row>
    <row r="18" spans="1:1" ht="18.75">
      <c r="A18" s="175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2200</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2201</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475" t="s">
        <v>405</v>
      </c>
      <c r="D4" s="3476"/>
      <c r="E4" s="3477" t="s">
        <v>406</v>
      </c>
      <c r="F4" s="3478"/>
      <c r="G4" s="3475" t="s">
        <v>407</v>
      </c>
      <c r="H4" s="3476"/>
      <c r="I4" s="3475" t="s">
        <v>408</v>
      </c>
      <c r="J4" s="3476"/>
      <c r="K4" s="812" t="s">
        <v>409</v>
      </c>
      <c r="L4" s="2204"/>
      <c r="M4" s="2205"/>
      <c r="N4" s="2205"/>
      <c r="O4" s="2205"/>
      <c r="P4" s="3479" t="s">
        <v>410</v>
      </c>
      <c r="Q4" s="3480"/>
      <c r="R4" s="3463" t="s">
        <v>406</v>
      </c>
      <c r="S4" s="3464"/>
      <c r="T4" s="3463" t="s">
        <v>407</v>
      </c>
      <c r="U4" s="3464"/>
      <c r="V4" s="3485" t="s">
        <v>408</v>
      </c>
      <c r="W4" s="3485"/>
      <c r="X4" s="1109"/>
      <c r="Y4" s="3463" t="s">
        <v>410</v>
      </c>
      <c r="Z4" s="3464"/>
      <c r="AA4" s="3472" t="s">
        <v>406</v>
      </c>
      <c r="AB4" s="3473" t="s">
        <v>407</v>
      </c>
      <c r="AC4" s="3472" t="s">
        <v>408</v>
      </c>
    </row>
    <row r="5" spans="1:29" ht="15">
      <c r="A5" s="601"/>
      <c r="B5" s="602"/>
      <c r="C5" s="3391" t="s">
        <v>1041</v>
      </c>
      <c r="D5" s="3392"/>
      <c r="E5" s="3389" t="s">
        <v>1042</v>
      </c>
      <c r="F5" s="3390"/>
      <c r="G5" s="3391" t="s">
        <v>1045</v>
      </c>
      <c r="H5" s="3392"/>
      <c r="I5" s="3391" t="s">
        <v>1043</v>
      </c>
      <c r="J5" s="3392"/>
      <c r="K5" s="812"/>
      <c r="L5" s="2204"/>
      <c r="M5" s="2205"/>
      <c r="N5" s="2205"/>
      <c r="O5" s="2205"/>
      <c r="P5" s="3481"/>
      <c r="Q5" s="3482"/>
      <c r="R5" s="3465"/>
      <c r="S5" s="3466"/>
      <c r="T5" s="3465"/>
      <c r="U5" s="3466"/>
      <c r="V5" s="3485"/>
      <c r="W5" s="3485"/>
      <c r="X5" s="1109"/>
      <c r="Y5" s="3465"/>
      <c r="Z5" s="3466"/>
      <c r="AA5" s="3473"/>
      <c r="AB5" s="3473"/>
      <c r="AC5" s="3473"/>
    </row>
    <row r="6" spans="1:29" ht="15.75" thickBot="1">
      <c r="A6" s="603"/>
      <c r="B6" s="604"/>
      <c r="C6" s="3393" t="s">
        <v>1044</v>
      </c>
      <c r="D6" s="3394"/>
      <c r="E6" s="3395" t="s">
        <v>1044</v>
      </c>
      <c r="F6" s="3396"/>
      <c r="G6" s="3393" t="s">
        <v>1044</v>
      </c>
      <c r="H6" s="3394"/>
      <c r="I6" s="3393" t="s">
        <v>1044</v>
      </c>
      <c r="J6" s="3394"/>
      <c r="K6" s="812" t="s">
        <v>411</v>
      </c>
      <c r="L6" s="2204"/>
      <c r="M6" s="2205"/>
      <c r="N6" s="2205"/>
      <c r="O6" s="2205"/>
      <c r="P6" s="3483"/>
      <c r="Q6" s="3484"/>
      <c r="R6" s="3465"/>
      <c r="S6" s="3466"/>
      <c r="T6" s="3467"/>
      <c r="U6" s="3468"/>
      <c r="V6" s="3485"/>
      <c r="W6" s="3485"/>
      <c r="X6" s="1109"/>
      <c r="Y6" s="3467"/>
      <c r="Z6" s="3468"/>
      <c r="AA6" s="3474"/>
      <c r="AB6" s="3474"/>
      <c r="AC6" s="3474"/>
    </row>
    <row r="7" spans="1:29" s="218" customFormat="1" ht="15.75" thickBot="1">
      <c r="A7" s="605" t="s">
        <v>412</v>
      </c>
      <c r="B7" s="606"/>
      <c r="C7" s="607">
        <f>'数据-取费表'!B2</f>
        <v>42992</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61" t="s">
        <v>413</v>
      </c>
      <c r="Q7" s="3469"/>
      <c r="R7" s="1110" t="s">
        <v>61</v>
      </c>
      <c r="S7" s="1111">
        <f t="shared" ref="S7:S15" si="0">F7</f>
        <v>0</v>
      </c>
      <c r="T7" s="1110" t="s">
        <v>61</v>
      </c>
      <c r="U7" s="1111">
        <f t="shared" ref="U7:U15" si="1">H7</f>
        <v>0</v>
      </c>
      <c r="V7" s="1110" t="s">
        <v>61</v>
      </c>
      <c r="W7" s="1111">
        <f t="shared" ref="W7:W15" si="2">J7</f>
        <v>0</v>
      </c>
      <c r="X7" s="1112"/>
      <c r="Y7" s="3461" t="s">
        <v>413</v>
      </c>
      <c r="Z7" s="3462"/>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61" t="s">
        <v>448</v>
      </c>
      <c r="Q8" s="3462"/>
      <c r="R8" s="1110" t="s">
        <v>61</v>
      </c>
      <c r="S8" s="1111">
        <f t="shared" si="0"/>
        <v>0</v>
      </c>
      <c r="T8" s="1110" t="s">
        <v>61</v>
      </c>
      <c r="U8" s="1111">
        <f t="shared" si="1"/>
        <v>0</v>
      </c>
      <c r="V8" s="1110" t="s">
        <v>61</v>
      </c>
      <c r="W8" s="1111">
        <f t="shared" si="2"/>
        <v>0</v>
      </c>
      <c r="X8" s="1112"/>
      <c r="Y8" s="3461" t="s">
        <v>448</v>
      </c>
      <c r="Z8" s="3462"/>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54" t="s">
        <v>416</v>
      </c>
      <c r="Q9" s="192" t="str">
        <f t="shared" ref="Q9:Q15" si="6">B9</f>
        <v>用途</v>
      </c>
      <c r="R9" s="1110" t="s">
        <v>61</v>
      </c>
      <c r="S9" s="1111">
        <f t="shared" si="0"/>
        <v>100</v>
      </c>
      <c r="T9" s="1110" t="s">
        <v>61</v>
      </c>
      <c r="U9" s="1111">
        <f t="shared" si="1"/>
        <v>100</v>
      </c>
      <c r="V9" s="1110" t="s">
        <v>61</v>
      </c>
      <c r="W9" s="1111">
        <f t="shared" si="2"/>
        <v>100</v>
      </c>
      <c r="X9" s="1112"/>
      <c r="Y9" s="3271"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121</v>
      </c>
      <c r="G10" s="882"/>
      <c r="H10" s="235">
        <f>ROUND(100/'数据-取费表'!B14,0)</f>
        <v>121</v>
      </c>
      <c r="I10" s="882"/>
      <c r="J10" s="235">
        <f>ROUND(100/'数据-取费表'!B14,0)</f>
        <v>121</v>
      </c>
      <c r="K10" s="943"/>
      <c r="L10" s="2209"/>
      <c r="M10" s="2210"/>
      <c r="N10" s="2210"/>
      <c r="O10" s="2211"/>
      <c r="P10" s="3454"/>
      <c r="Q10" s="192" t="str">
        <f t="shared" si="6"/>
        <v>土地使用年限（年）</v>
      </c>
      <c r="R10" s="1110" t="s">
        <v>61</v>
      </c>
      <c r="S10" s="1111">
        <f t="shared" si="0"/>
        <v>121</v>
      </c>
      <c r="T10" s="1110" t="s">
        <v>61</v>
      </c>
      <c r="U10" s="1111">
        <f t="shared" si="1"/>
        <v>121</v>
      </c>
      <c r="V10" s="1110" t="s">
        <v>61</v>
      </c>
      <c r="W10" s="1111">
        <f t="shared" si="2"/>
        <v>121</v>
      </c>
      <c r="X10" s="1112"/>
      <c r="Y10" s="3271"/>
      <c r="Z10" s="206" t="str">
        <f t="shared" si="7"/>
        <v>土地使用年限（年）</v>
      </c>
      <c r="AA10" s="1113">
        <f t="shared" si="3"/>
        <v>0.82644628099173556</v>
      </c>
      <c r="AB10" s="1113">
        <f t="shared" si="4"/>
        <v>0.82644628099173556</v>
      </c>
      <c r="AC10" s="1113">
        <f t="shared" si="5"/>
        <v>0.82644628099173556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54"/>
      <c r="Q11" s="192" t="str">
        <f t="shared" si="6"/>
        <v>容积率</v>
      </c>
      <c r="R11" s="1110" t="s">
        <v>61</v>
      </c>
      <c r="S11" s="1111" t="e">
        <f t="shared" si="0"/>
        <v>#N/A</v>
      </c>
      <c r="T11" s="1110" t="s">
        <v>61</v>
      </c>
      <c r="U11" s="1111" t="e">
        <f t="shared" si="1"/>
        <v>#N/A</v>
      </c>
      <c r="V11" s="1110" t="s">
        <v>61</v>
      </c>
      <c r="W11" s="1111" t="e">
        <f t="shared" si="2"/>
        <v>#N/A</v>
      </c>
      <c r="X11" s="1112"/>
      <c r="Y11" s="3271"/>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54"/>
      <c r="Q12" s="192">
        <f t="shared" si="6"/>
        <v>111</v>
      </c>
      <c r="R12" s="1110" t="s">
        <v>61</v>
      </c>
      <c r="S12" s="1111">
        <f t="shared" si="0"/>
        <v>100</v>
      </c>
      <c r="T12" s="1110" t="s">
        <v>61</v>
      </c>
      <c r="U12" s="1111">
        <f t="shared" si="1"/>
        <v>100</v>
      </c>
      <c r="V12" s="1110" t="s">
        <v>61</v>
      </c>
      <c r="W12" s="1111">
        <f t="shared" si="2"/>
        <v>100</v>
      </c>
      <c r="X12" s="1112"/>
      <c r="Y12" s="3271"/>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54"/>
      <c r="Q13" s="192">
        <f t="shared" si="6"/>
        <v>111</v>
      </c>
      <c r="R13" s="1110" t="s">
        <v>61</v>
      </c>
      <c r="S13" s="1111">
        <f t="shared" si="0"/>
        <v>100</v>
      </c>
      <c r="T13" s="1110" t="s">
        <v>61</v>
      </c>
      <c r="U13" s="1111">
        <f t="shared" si="1"/>
        <v>100</v>
      </c>
      <c r="V13" s="1110" t="s">
        <v>61</v>
      </c>
      <c r="W13" s="1111">
        <f t="shared" si="2"/>
        <v>100</v>
      </c>
      <c r="X13" s="1112"/>
      <c r="Y13" s="3271"/>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54"/>
      <c r="Q14" s="192">
        <f t="shared" si="6"/>
        <v>111</v>
      </c>
      <c r="R14" s="1110" t="s">
        <v>61</v>
      </c>
      <c r="S14" s="1111">
        <f t="shared" si="0"/>
        <v>100</v>
      </c>
      <c r="T14" s="1110" t="s">
        <v>61</v>
      </c>
      <c r="U14" s="1111">
        <f t="shared" si="1"/>
        <v>100</v>
      </c>
      <c r="V14" s="1110" t="s">
        <v>61</v>
      </c>
      <c r="W14" s="1111">
        <f t="shared" si="2"/>
        <v>100</v>
      </c>
      <c r="X14" s="1112"/>
      <c r="Y14" s="3271"/>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470" t="s">
        <v>421</v>
      </c>
      <c r="Q15" s="1114" t="str">
        <f t="shared" si="6"/>
        <v>产业集聚程度</v>
      </c>
      <c r="R15" s="1115" t="s">
        <v>61</v>
      </c>
      <c r="S15" s="1116">
        <f t="shared" si="0"/>
        <v>100</v>
      </c>
      <c r="T15" s="1115" t="s">
        <v>61</v>
      </c>
      <c r="U15" s="1116">
        <f t="shared" si="1"/>
        <v>100</v>
      </c>
      <c r="V15" s="1115" t="s">
        <v>61</v>
      </c>
      <c r="W15" s="1116">
        <f t="shared" si="2"/>
        <v>100</v>
      </c>
      <c r="X15" s="1109"/>
      <c r="Y15" s="3470"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471"/>
      <c r="Q16" s="1114"/>
      <c r="R16" s="1115"/>
      <c r="S16" s="1116"/>
      <c r="T16" s="1115"/>
      <c r="U16" s="1116"/>
      <c r="V16" s="1115"/>
      <c r="W16" s="1116"/>
      <c r="X16" s="1109"/>
      <c r="Y16" s="3471"/>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471"/>
      <c r="Q17" s="1114" t="str">
        <f>B17</f>
        <v>交通便捷度</v>
      </c>
      <c r="R17" s="1115" t="s">
        <v>61</v>
      </c>
      <c r="S17" s="1116">
        <f>F17</f>
        <v>100</v>
      </c>
      <c r="T17" s="1115" t="s">
        <v>61</v>
      </c>
      <c r="U17" s="1116">
        <f>H17</f>
        <v>100</v>
      </c>
      <c r="V17" s="1115" t="s">
        <v>61</v>
      </c>
      <c r="W17" s="1116">
        <f>J17</f>
        <v>100</v>
      </c>
      <c r="X17" s="1109"/>
      <c r="Y17" s="3471"/>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471"/>
      <c r="Q18" s="1114"/>
      <c r="R18" s="1115"/>
      <c r="S18" s="1116"/>
      <c r="T18" s="1115"/>
      <c r="U18" s="1116"/>
      <c r="V18" s="1115"/>
      <c r="W18" s="1116"/>
      <c r="X18" s="1109"/>
      <c r="Y18" s="3471"/>
      <c r="Z18" s="1117"/>
      <c r="AA18" s="1118">
        <v>1</v>
      </c>
      <c r="AB18" s="1118">
        <v>1</v>
      </c>
      <c r="AC18" s="1118">
        <v>1</v>
      </c>
    </row>
    <row r="19" spans="1:29" ht="27">
      <c r="A19" s="626"/>
      <c r="B19" s="833" t="s">
        <v>1770</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471"/>
      <c r="Q19" s="1114" t="str">
        <f t="shared" ref="Q19:Q33" si="8">B19</f>
        <v>区域土地利用方向</v>
      </c>
      <c r="R19" s="1115" t="s">
        <v>61</v>
      </c>
      <c r="S19" s="1116">
        <f>F19</f>
        <v>100</v>
      </c>
      <c r="T19" s="1115" t="s">
        <v>61</v>
      </c>
      <c r="U19" s="1116">
        <f>H19</f>
        <v>100</v>
      </c>
      <c r="V19" s="1115" t="s">
        <v>61</v>
      </c>
      <c r="W19" s="1116">
        <f>J19</f>
        <v>100</v>
      </c>
      <c r="X19" s="1109"/>
      <c r="Y19" s="3471"/>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471"/>
      <c r="Q20" s="1282"/>
      <c r="R20" s="1115"/>
      <c r="S20" s="1116"/>
      <c r="T20" s="1115"/>
      <c r="U20" s="1116"/>
      <c r="V20" s="1115"/>
      <c r="W20" s="1116"/>
      <c r="X20" s="1281"/>
      <c r="Y20" s="3471"/>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471"/>
      <c r="Q21" s="1114" t="str">
        <f t="shared" si="8"/>
        <v>环境状况</v>
      </c>
      <c r="R21" s="1115" t="s">
        <v>61</v>
      </c>
      <c r="S21" s="1116">
        <f>F21</f>
        <v>100</v>
      </c>
      <c r="T21" s="1115" t="s">
        <v>61</v>
      </c>
      <c r="U21" s="1116">
        <f>H21</f>
        <v>100</v>
      </c>
      <c r="V21" s="1115" t="s">
        <v>61</v>
      </c>
      <c r="W21" s="1116">
        <f>J21</f>
        <v>100</v>
      </c>
      <c r="X21" s="1109"/>
      <c r="Y21" s="3471"/>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471"/>
      <c r="Q22" s="1114"/>
      <c r="R22" s="1115"/>
      <c r="S22" s="1116"/>
      <c r="T22" s="1115"/>
      <c r="U22" s="1116"/>
      <c r="V22" s="1115"/>
      <c r="W22" s="1116"/>
      <c r="X22" s="1109"/>
      <c r="Y22" s="3471"/>
      <c r="Z22" s="1117"/>
      <c r="AA22" s="1118">
        <v>1</v>
      </c>
      <c r="AB22" s="1118">
        <v>1</v>
      </c>
      <c r="AC22" s="1118">
        <v>1</v>
      </c>
    </row>
    <row r="23" spans="1:29" s="218" customFormat="1" ht="40.5">
      <c r="A23" s="851"/>
      <c r="B23" s="892" t="s">
        <v>2547</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471"/>
      <c r="Q23" s="192" t="str">
        <f t="shared" si="8"/>
        <v>公共配套设施</v>
      </c>
      <c r="R23" s="1110" t="s">
        <v>61</v>
      </c>
      <c r="S23" s="1111">
        <f>F23</f>
        <v>100</v>
      </c>
      <c r="T23" s="1110" t="s">
        <v>61</v>
      </c>
      <c r="U23" s="1111">
        <f>H23</f>
        <v>100</v>
      </c>
      <c r="V23" s="1110" t="s">
        <v>61</v>
      </c>
      <c r="W23" s="1111">
        <f>J23</f>
        <v>100</v>
      </c>
      <c r="X23" s="1112"/>
      <c r="Y23" s="3471"/>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471"/>
      <c r="Q24" s="192"/>
      <c r="R24" s="1110"/>
      <c r="S24" s="1111"/>
      <c r="T24" s="1110"/>
      <c r="U24" s="1111"/>
      <c r="V24" s="1110"/>
      <c r="W24" s="1111"/>
      <c r="X24" s="1112"/>
      <c r="Y24" s="3471"/>
      <c r="Z24" s="206"/>
      <c r="AA24" s="1113">
        <v>1</v>
      </c>
      <c r="AB24" s="1113">
        <v>1</v>
      </c>
      <c r="AC24" s="1113">
        <v>1</v>
      </c>
    </row>
    <row r="25" spans="1:29" s="218" customFormat="1" ht="40.5">
      <c r="A25" s="851"/>
      <c r="B25" s="894" t="s">
        <v>2554</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471"/>
      <c r="Q25" s="2545" t="str">
        <f t="shared" ref="Q25" si="9">B25</f>
        <v>基础设施水平</v>
      </c>
      <c r="R25" s="1110" t="s">
        <v>61</v>
      </c>
      <c r="S25" s="1111">
        <f>F25</f>
        <v>100</v>
      </c>
      <c r="T25" s="1110" t="s">
        <v>61</v>
      </c>
      <c r="U25" s="1111">
        <f>H25</f>
        <v>100</v>
      </c>
      <c r="V25" s="1110" t="s">
        <v>61</v>
      </c>
      <c r="W25" s="1111">
        <f>J25</f>
        <v>100</v>
      </c>
      <c r="X25" s="1112"/>
      <c r="Y25" s="3471"/>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471"/>
      <c r="Q26" s="2545"/>
      <c r="R26" s="1110"/>
      <c r="S26" s="1111"/>
      <c r="T26" s="1110"/>
      <c r="U26" s="1111"/>
      <c r="V26" s="1110"/>
      <c r="W26" s="1111"/>
      <c r="X26" s="1112"/>
      <c r="Y26" s="3471"/>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471"/>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71"/>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471"/>
      <c r="Q28" s="1114" t="str">
        <f t="shared" si="8"/>
        <v>毗邻道路的类型与等级</v>
      </c>
      <c r="R28" s="1115" t="s">
        <v>61</v>
      </c>
      <c r="S28" s="1116">
        <f t="shared" si="10"/>
        <v>100</v>
      </c>
      <c r="T28" s="1115" t="s">
        <v>61</v>
      </c>
      <c r="U28" s="1116">
        <f t="shared" si="11"/>
        <v>100</v>
      </c>
      <c r="V28" s="1115" t="s">
        <v>61</v>
      </c>
      <c r="W28" s="1116">
        <f t="shared" si="12"/>
        <v>100</v>
      </c>
      <c r="X28" s="1109"/>
      <c r="Y28" s="3471"/>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471"/>
      <c r="Q29" s="1114"/>
      <c r="R29" s="1115"/>
      <c r="S29" s="1116"/>
      <c r="T29" s="1115"/>
      <c r="U29" s="1116"/>
      <c r="V29" s="1115"/>
      <c r="W29" s="1116"/>
      <c r="X29" s="1109"/>
      <c r="Y29" s="3471"/>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471"/>
      <c r="Q30" s="1114" t="str">
        <f t="shared" si="8"/>
        <v>土地级别</v>
      </c>
      <c r="R30" s="1115" t="s">
        <v>61</v>
      </c>
      <c r="S30" s="1116">
        <f t="shared" si="10"/>
        <v>100</v>
      </c>
      <c r="T30" s="1115" t="s">
        <v>61</v>
      </c>
      <c r="U30" s="1116">
        <f t="shared" si="11"/>
        <v>100</v>
      </c>
      <c r="V30" s="1115" t="s">
        <v>61</v>
      </c>
      <c r="W30" s="1116">
        <f t="shared" si="12"/>
        <v>100</v>
      </c>
      <c r="X30" s="1109"/>
      <c r="Y30" s="3471"/>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471"/>
      <c r="Q31" s="1114">
        <f t="shared" si="8"/>
        <v>111</v>
      </c>
      <c r="R31" s="1115" t="s">
        <v>61</v>
      </c>
      <c r="S31" s="1116">
        <f t="shared" si="10"/>
        <v>100</v>
      </c>
      <c r="T31" s="1115" t="s">
        <v>61</v>
      </c>
      <c r="U31" s="1116">
        <f t="shared" si="11"/>
        <v>100</v>
      </c>
      <c r="V31" s="1115" t="s">
        <v>61</v>
      </c>
      <c r="W31" s="1116">
        <f t="shared" si="12"/>
        <v>100</v>
      </c>
      <c r="X31" s="1109"/>
      <c r="Y31" s="3471"/>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459" t="s">
        <v>423</v>
      </c>
      <c r="Q32" s="1114">
        <f t="shared" si="8"/>
        <v>111</v>
      </c>
      <c r="R32" s="1115" t="s">
        <v>61</v>
      </c>
      <c r="S32" s="1116">
        <f t="shared" si="10"/>
        <v>100</v>
      </c>
      <c r="T32" s="1115" t="s">
        <v>61</v>
      </c>
      <c r="U32" s="1116">
        <f t="shared" si="11"/>
        <v>100</v>
      </c>
      <c r="V32" s="1115" t="s">
        <v>61</v>
      </c>
      <c r="W32" s="1116">
        <f t="shared" si="12"/>
        <v>100</v>
      </c>
      <c r="X32" s="1109"/>
      <c r="Y32" s="3460"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460"/>
      <c r="Q33" s="1114">
        <f t="shared" si="8"/>
        <v>111</v>
      </c>
      <c r="R33" s="1120" t="s">
        <v>61</v>
      </c>
      <c r="S33" s="1121">
        <f t="shared" si="10"/>
        <v>100</v>
      </c>
      <c r="T33" s="1120" t="s">
        <v>61</v>
      </c>
      <c r="U33" s="1121">
        <f t="shared" si="11"/>
        <v>100</v>
      </c>
      <c r="V33" s="1120" t="s">
        <v>61</v>
      </c>
      <c r="W33" s="1121">
        <f t="shared" si="12"/>
        <v>100</v>
      </c>
      <c r="X33" s="1122"/>
      <c r="Y33" s="3460"/>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460"/>
      <c r="Q34" s="1114" t="str">
        <f>B34</f>
        <v>宗地面积</v>
      </c>
      <c r="R34" s="1115" t="s">
        <v>61</v>
      </c>
      <c r="S34" s="1116" t="e">
        <f t="shared" si="10"/>
        <v>#N/A</v>
      </c>
      <c r="T34" s="1115" t="s">
        <v>61</v>
      </c>
      <c r="U34" s="1116" t="e">
        <f t="shared" si="11"/>
        <v>#N/A</v>
      </c>
      <c r="V34" s="1115" t="s">
        <v>61</v>
      </c>
      <c r="W34" s="1116" t="e">
        <f t="shared" si="12"/>
        <v>#N/A</v>
      </c>
      <c r="X34" s="1109"/>
      <c r="Y34" s="3460"/>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460"/>
      <c r="Q35" s="1114" t="str">
        <f t="shared" ref="Q35:Q40" si="14">B35</f>
        <v>宗地形状</v>
      </c>
      <c r="R35" s="1115" t="s">
        <v>61</v>
      </c>
      <c r="S35" s="1116">
        <f t="shared" si="10"/>
        <v>100</v>
      </c>
      <c r="T35" s="1115" t="s">
        <v>61</v>
      </c>
      <c r="U35" s="1116">
        <f t="shared" si="11"/>
        <v>100</v>
      </c>
      <c r="V35" s="1115" t="s">
        <v>61</v>
      </c>
      <c r="W35" s="1116">
        <f t="shared" si="12"/>
        <v>100</v>
      </c>
      <c r="X35" s="1109"/>
      <c r="Y35" s="3460"/>
      <c r="Z35" s="1117" t="str">
        <f t="shared" si="13"/>
        <v>宗地形状</v>
      </c>
      <c r="AA35" s="1118">
        <f t="shared" si="3"/>
        <v>1</v>
      </c>
      <c r="AB35" s="1118">
        <f t="shared" si="4"/>
        <v>1</v>
      </c>
      <c r="AC35" s="1118">
        <f t="shared" si="5"/>
        <v>1</v>
      </c>
    </row>
    <row r="36" spans="1:29" s="218" customFormat="1" ht="15">
      <c r="A36" s="672"/>
      <c r="B36" s="2423" t="s">
        <v>2418</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460"/>
      <c r="Q36" s="1114" t="str">
        <f t="shared" si="14"/>
        <v>宗地开发程度</v>
      </c>
      <c r="R36" s="1110" t="s">
        <v>61</v>
      </c>
      <c r="S36" s="1111">
        <f t="shared" si="10"/>
        <v>100</v>
      </c>
      <c r="T36" s="1110" t="s">
        <v>61</v>
      </c>
      <c r="U36" s="1111">
        <f t="shared" si="11"/>
        <v>100</v>
      </c>
      <c r="V36" s="1110" t="s">
        <v>61</v>
      </c>
      <c r="W36" s="1111">
        <f t="shared" si="12"/>
        <v>100</v>
      </c>
      <c r="X36" s="1112"/>
      <c r="Y36" s="3460"/>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460" t="s">
        <v>532</v>
      </c>
      <c r="Q37" s="1114" t="str">
        <f t="shared" si="14"/>
        <v>工程地质条件</v>
      </c>
      <c r="R37" s="1115" t="s">
        <v>61</v>
      </c>
      <c r="S37" s="1116">
        <f t="shared" si="10"/>
        <v>100</v>
      </c>
      <c r="T37" s="1115" t="s">
        <v>61</v>
      </c>
      <c r="U37" s="1116">
        <f t="shared" si="11"/>
        <v>100</v>
      </c>
      <c r="V37" s="1115" t="s">
        <v>61</v>
      </c>
      <c r="W37" s="1116">
        <f t="shared" si="12"/>
        <v>100</v>
      </c>
      <c r="X37" s="1109"/>
      <c r="Y37" s="3460"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460"/>
      <c r="Q38" s="1114">
        <f t="shared" si="14"/>
        <v>111</v>
      </c>
      <c r="R38" s="1115" t="s">
        <v>61</v>
      </c>
      <c r="S38" s="1116">
        <f t="shared" si="10"/>
        <v>100</v>
      </c>
      <c r="T38" s="1115" t="s">
        <v>61</v>
      </c>
      <c r="U38" s="1116">
        <f t="shared" si="11"/>
        <v>100</v>
      </c>
      <c r="V38" s="1115" t="s">
        <v>61</v>
      </c>
      <c r="W38" s="1116">
        <f t="shared" si="12"/>
        <v>100</v>
      </c>
      <c r="X38" s="1109"/>
      <c r="Y38" s="3460"/>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460"/>
      <c r="Q39" s="1114">
        <f t="shared" si="14"/>
        <v>111</v>
      </c>
      <c r="R39" s="1115" t="s">
        <v>61</v>
      </c>
      <c r="S39" s="1116">
        <f t="shared" si="10"/>
        <v>100</v>
      </c>
      <c r="T39" s="1115" t="s">
        <v>61</v>
      </c>
      <c r="U39" s="1116">
        <f t="shared" si="11"/>
        <v>100</v>
      </c>
      <c r="V39" s="1115" t="s">
        <v>61</v>
      </c>
      <c r="W39" s="1116">
        <f t="shared" si="12"/>
        <v>100</v>
      </c>
      <c r="X39" s="1109"/>
      <c r="Y39" s="3460"/>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460"/>
      <c r="Q40" s="1114">
        <f t="shared" si="14"/>
        <v>111</v>
      </c>
      <c r="R40" s="1120" t="s">
        <v>61</v>
      </c>
      <c r="S40" s="1121">
        <f t="shared" si="10"/>
        <v>100</v>
      </c>
      <c r="T40" s="1120" t="s">
        <v>61</v>
      </c>
      <c r="U40" s="1121">
        <f t="shared" si="11"/>
        <v>100</v>
      </c>
      <c r="V40" s="1120" t="s">
        <v>61</v>
      </c>
      <c r="W40" s="1121">
        <f t="shared" si="12"/>
        <v>100</v>
      </c>
      <c r="X40" s="1122"/>
      <c r="Y40" s="3460"/>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454" t="str">
        <f>A41</f>
        <v>成交单价</v>
      </c>
      <c r="Q41" s="3454"/>
      <c r="R41" s="3485">
        <f>E41</f>
        <v>0</v>
      </c>
      <c r="S41" s="3485"/>
      <c r="T41" s="3485">
        <f>G41</f>
        <v>0</v>
      </c>
      <c r="U41" s="3485"/>
      <c r="V41" s="3485">
        <f>I41</f>
        <v>0</v>
      </c>
      <c r="W41" s="3485"/>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454" t="str">
        <f>A42</f>
        <v>比较价值（元/平方米）</v>
      </c>
      <c r="Q42" s="3454"/>
      <c r="R42" s="3494" t="e">
        <f>ROUND(PRODUCT(R41,AA7:AA40),0)</f>
        <v>#DIV/0!</v>
      </c>
      <c r="S42" s="3494"/>
      <c r="T42" s="3494" t="e">
        <f>ROUND(PRODUCT(T41,AB7:AB40),0)</f>
        <v>#DIV/0!</v>
      </c>
      <c r="U42" s="3494"/>
      <c r="V42" s="3494" t="e">
        <f>ROUND(PRODUCT(V41,AC7:AC40),0)</f>
        <v>#DIV/0!</v>
      </c>
      <c r="W42" s="3494"/>
      <c r="X42" s="1098"/>
      <c r="Y42" s="1098"/>
      <c r="Z42" s="1098"/>
      <c r="AA42" s="1098"/>
      <c r="AB42" s="1098"/>
      <c r="AC42" s="1098"/>
    </row>
    <row r="43" spans="1:29" ht="15.75" thickBot="1">
      <c r="A43" s="62" t="s">
        <v>2885</v>
      </c>
      <c r="B43" s="692"/>
      <c r="C43" s="693" t="e">
        <f>R43</f>
        <v>#DIV/0!</v>
      </c>
      <c r="D43" s="693"/>
      <c r="E43" s="693"/>
      <c r="F43" s="693"/>
      <c r="G43" s="693"/>
      <c r="H43" s="693"/>
      <c r="I43" s="693"/>
      <c r="J43" s="693"/>
      <c r="K43" s="1194"/>
      <c r="L43" s="2217"/>
      <c r="M43" s="2205"/>
      <c r="N43" s="2205"/>
      <c r="O43" s="2218"/>
      <c r="P43" s="3456" t="str">
        <f>A43</f>
        <v>估价对象XX用房的比较价值（楼面单价，元/平方米）</v>
      </c>
      <c r="Q43" s="3457"/>
      <c r="R43" s="3495" t="e">
        <f>ROUND(AVERAGE(R42:V42),0)</f>
        <v>#DIV/0!</v>
      </c>
      <c r="S43" s="3495"/>
      <c r="T43" s="3495"/>
      <c r="U43" s="3495"/>
      <c r="V43" s="3495"/>
      <c r="W43" s="3495"/>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1811</v>
      </c>
      <c r="D50" s="2264" t="s">
        <v>2227</v>
      </c>
      <c r="E50" s="957" t="s">
        <v>505</v>
      </c>
      <c r="F50" s="958" t="s">
        <v>506</v>
      </c>
      <c r="G50" s="1599" t="s">
        <v>1810</v>
      </c>
      <c r="H50" s="1599" t="str">
        <f>项目基本情况!G8</f>
        <v>海淀区车公庄西路乙19号</v>
      </c>
      <c r="I50" s="2235" t="s">
        <v>1812</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2017-9-1</v>
      </c>
      <c r="D63" s="2795">
        <f>EDATE(C63,-3)</f>
        <v>42887</v>
      </c>
      <c r="E63" s="2795">
        <f t="shared" ref="E63:O63" si="18">EDATE(D63,-3)</f>
        <v>42795</v>
      </c>
      <c r="F63" s="2795">
        <f t="shared" si="18"/>
        <v>42705</v>
      </c>
      <c r="G63" s="2795">
        <f t="shared" si="18"/>
        <v>42614</v>
      </c>
      <c r="H63" s="2795">
        <f t="shared" si="18"/>
        <v>42522</v>
      </c>
      <c r="I63" s="2795">
        <f t="shared" si="18"/>
        <v>42430</v>
      </c>
      <c r="J63" s="2795">
        <f t="shared" si="18"/>
        <v>42339</v>
      </c>
      <c r="K63" s="2795">
        <f t="shared" si="18"/>
        <v>42248</v>
      </c>
      <c r="L63" s="2795">
        <f t="shared" si="18"/>
        <v>42156</v>
      </c>
      <c r="M63" s="2795">
        <f t="shared" si="18"/>
        <v>42064</v>
      </c>
      <c r="N63" s="2795">
        <f t="shared" si="18"/>
        <v>41974</v>
      </c>
      <c r="O63" s="2795">
        <f t="shared" si="18"/>
        <v>41883</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2659</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2660</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2555</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2554</v>
      </c>
      <c r="C93" s="129" t="s">
        <v>2542</v>
      </c>
      <c r="D93" s="129" t="s">
        <v>2543</v>
      </c>
      <c r="E93" s="129" t="s">
        <v>2544</v>
      </c>
      <c r="F93" s="129" t="s">
        <v>2545</v>
      </c>
      <c r="G93" s="129" t="s">
        <v>2546</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2419</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1710</v>
      </c>
      <c r="B1" s="1286"/>
      <c r="C1" s="1287" t="s">
        <v>2420</v>
      </c>
      <c r="D1" s="1444">
        <f>SUM(D29:D30,D33:D39)</f>
        <v>0</v>
      </c>
      <c r="E1" s="1444"/>
      <c r="F1" s="1444"/>
      <c r="G1" s="1444"/>
      <c r="H1" s="1444"/>
      <c r="I1" s="1444"/>
      <c r="J1" s="1444"/>
      <c r="L1" s="1711" t="s">
        <v>1143</v>
      </c>
      <c r="M1" s="1928">
        <f>SUMPRODUCT((区片价!B5:B9=I2)*(区片价!C3:F3=E2)*(区片价!C5:F9))</f>
        <v>0</v>
      </c>
      <c r="N1" s="1931">
        <f>SUMPRODUCT((因素修正幅度!B5:B9=I2)*(因素修正幅度!C3:F3=E2)*(因素修正幅度!C5:F9))</f>
        <v>0</v>
      </c>
      <c r="O1" s="2238"/>
      <c r="P1" s="2238"/>
      <c r="Q1" s="2238"/>
      <c r="R1" s="2858" t="s">
        <v>2747</v>
      </c>
      <c r="S1" s="2858" t="s">
        <v>2748</v>
      </c>
      <c r="T1" s="2858" t="s">
        <v>2749</v>
      </c>
      <c r="U1" s="2858" t="s">
        <v>2750</v>
      </c>
      <c r="V1" s="2858" t="s">
        <v>2751</v>
      </c>
      <c r="W1" s="2859"/>
      <c r="X1" s="2859"/>
      <c r="Y1" s="2859"/>
      <c r="Z1" s="2859"/>
      <c r="AA1" s="2859"/>
      <c r="AB1" s="2859"/>
      <c r="AC1" s="2860"/>
      <c r="AD1" s="2861"/>
      <c r="AE1" s="2861"/>
      <c r="AF1" s="2861"/>
      <c r="AG1" s="2861"/>
      <c r="AH1" s="2861"/>
      <c r="AI1" s="2861"/>
      <c r="AJ1" s="2862"/>
    </row>
    <row r="2" spans="1:36" ht="24">
      <c r="A2" s="33" t="s">
        <v>1711</v>
      </c>
      <c r="B2" s="385" t="e">
        <f>C26</f>
        <v>#DIV/0!</v>
      </c>
      <c r="C2" s="1284" t="s">
        <v>1857</v>
      </c>
      <c r="D2" s="1449" t="s">
        <v>1907</v>
      </c>
      <c r="E2" s="1617"/>
      <c r="F2" s="1449" t="s">
        <v>1712</v>
      </c>
      <c r="G2" s="1714">
        <f>项目基本情况!F9</f>
        <v>0</v>
      </c>
      <c r="H2" s="1717" t="s">
        <v>1713</v>
      </c>
      <c r="I2" s="1714">
        <f>项目基本情况!F10</f>
        <v>0</v>
      </c>
      <c r="J2" s="1450"/>
      <c r="L2" s="1712" t="s">
        <v>1203</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1714</v>
      </c>
      <c r="B3" s="385" t="e">
        <f>ROUND(B2/D1,0)</f>
        <v>#DIV/0!</v>
      </c>
      <c r="C3" s="1284" t="s">
        <v>1715</v>
      </c>
      <c r="D3" s="1449" t="s">
        <v>1054</v>
      </c>
      <c r="E3" s="1618"/>
      <c r="F3" s="1665" t="s">
        <v>1890</v>
      </c>
      <c r="G3" s="1451">
        <f>项目基本情况!C15</f>
        <v>0</v>
      </c>
      <c r="H3" s="1452" t="s">
        <v>1055</v>
      </c>
      <c r="I3" s="1619">
        <v>7</v>
      </c>
      <c r="J3" s="1450" t="s">
        <v>1056</v>
      </c>
      <c r="L3" s="1712" t="s">
        <v>1381</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499"/>
      <c r="B4" s="3500"/>
      <c r="C4" s="3500"/>
      <c r="D4" s="3501"/>
      <c r="E4" s="3501"/>
      <c r="F4" s="3501"/>
      <c r="G4" s="3501"/>
      <c r="H4" s="3501"/>
      <c r="I4" s="3501"/>
      <c r="J4" s="3502"/>
      <c r="L4" s="1712" t="s">
        <v>1052</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1716</v>
      </c>
      <c r="B5" s="1454" t="s">
        <v>1717</v>
      </c>
      <c r="C5" s="1455" t="e">
        <f>ROUND(IF(E2="商业",IF(F16="增加",C6*C7+C16,C6*C7-C16),IF(E2="住宅",IF(F16="增加",C6*C12+C16,C6*C12-C16),IF(F16="增加",C6+C16,C6-C16))),0)</f>
        <v>#DIV/0!</v>
      </c>
      <c r="D5" s="3112">
        <f>ROUND(IF(E2="商业",IF(F16="增加",C6+C16,C6-C16)),0)</f>
        <v>0</v>
      </c>
      <c r="E5" s="1456"/>
      <c r="F5" s="1456"/>
      <c r="G5" s="1457"/>
      <c r="H5" s="1457"/>
      <c r="I5" s="1457"/>
      <c r="J5" s="1458"/>
      <c r="K5" s="2243"/>
      <c r="L5" s="1712" t="s">
        <v>1462</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1717</v>
      </c>
      <c r="C6" s="1463">
        <f>SUMIF(L1:L12,G2,M1:M12)</f>
        <v>0</v>
      </c>
      <c r="D6" s="1464" t="s">
        <v>1718</v>
      </c>
      <c r="E6" s="1465"/>
      <c r="F6" s="1465"/>
      <c r="G6" s="1466"/>
      <c r="H6" s="1466"/>
      <c r="I6" s="1466"/>
      <c r="J6" s="1467"/>
      <c r="K6" s="2244"/>
      <c r="L6" s="1712"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503" t="str">
        <f>IF(E2="商业",IF(C8="不临58条商业街","",2),"")</f>
        <v/>
      </c>
      <c r="B7" s="1468" t="s">
        <v>1719</v>
      </c>
      <c r="C7" s="1469" t="e">
        <f>IF(C8="不临58条商业街",1,ROUND(1+(1.6*E8+1.2*E9+0.8*E10+0.4*E11)*C9,4))</f>
        <v>#DIV/0!</v>
      </c>
      <c r="D7" s="1470" t="s">
        <v>1720</v>
      </c>
      <c r="E7" s="1620"/>
      <c r="F7" s="1471"/>
      <c r="G7" s="1472"/>
      <c r="H7" s="1472"/>
      <c r="I7" s="1472"/>
      <c r="J7" s="1473"/>
      <c r="K7" s="2244"/>
      <c r="L7" s="1712" t="s">
        <v>1465</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2752</v>
      </c>
      <c r="X7" s="2869">
        <f>G2</f>
        <v>0</v>
      </c>
      <c r="Y7" s="2869" t="s">
        <v>2753</v>
      </c>
      <c r="Z7" s="2870">
        <f>G3</f>
        <v>0</v>
      </c>
      <c r="AA7" s="2871"/>
      <c r="AB7" s="2871"/>
      <c r="AC7" s="2872"/>
      <c r="AD7" s="2873"/>
      <c r="AE7" s="2873"/>
      <c r="AF7" s="2873"/>
      <c r="AG7" s="2873"/>
      <c r="AH7" s="2873"/>
      <c r="AI7" s="2873"/>
      <c r="AJ7" s="2874"/>
    </row>
    <row r="8" spans="1:36" ht="15">
      <c r="A8" s="3504"/>
      <c r="B8" s="1452" t="s">
        <v>1721</v>
      </c>
      <c r="C8" s="1621"/>
      <c r="D8" s="1474" t="s">
        <v>1057</v>
      </c>
      <c r="E8" s="1475" t="e">
        <f>ROUND(C11/E7,4)</f>
        <v>#DIV/0!</v>
      </c>
      <c r="F8" s="1476" t="s">
        <v>1722</v>
      </c>
      <c r="G8" s="1477"/>
      <c r="H8" s="1477"/>
      <c r="I8" s="1477"/>
      <c r="J8" s="1478"/>
      <c r="L8" s="1712" t="s">
        <v>1467</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496" t="s">
        <v>2754</v>
      </c>
      <c r="X8" s="3497"/>
      <c r="Y8" s="2875" t="s">
        <v>167</v>
      </c>
      <c r="Z8" s="2875" t="s">
        <v>168</v>
      </c>
      <c r="AA8" s="2875" t="s">
        <v>163</v>
      </c>
      <c r="AB8" s="2875" t="s">
        <v>164</v>
      </c>
      <c r="AC8" s="2875" t="s">
        <v>165</v>
      </c>
      <c r="AD8" s="2875" t="s">
        <v>166</v>
      </c>
      <c r="AE8" s="2875" t="s">
        <v>1216</v>
      </c>
      <c r="AF8" s="2875" t="s">
        <v>1095</v>
      </c>
      <c r="AG8" s="2875" t="s">
        <v>1238</v>
      </c>
      <c r="AH8" s="2875" t="s">
        <v>1097</v>
      </c>
      <c r="AI8" s="2875" t="s">
        <v>1098</v>
      </c>
      <c r="AJ8" s="2875" t="s">
        <v>1099</v>
      </c>
    </row>
    <row r="9" spans="1:36" ht="15">
      <c r="A9" s="3504"/>
      <c r="B9" s="1452" t="s">
        <v>1723</v>
      </c>
      <c r="C9" s="1479">
        <f>SUMIF(修正!C59:C119,C8,修正!E59:E119)</f>
        <v>0</v>
      </c>
      <c r="D9" s="334" t="s">
        <v>1058</v>
      </c>
      <c r="E9" s="334" t="e">
        <f>ROUND(C11/E7,4)</f>
        <v>#DIV/0!</v>
      </c>
      <c r="F9" s="1476" t="s">
        <v>1724</v>
      </c>
      <c r="G9" s="1477"/>
      <c r="H9" s="1477"/>
      <c r="I9" s="1477"/>
      <c r="J9" s="1478"/>
      <c r="L9" s="1712" t="s">
        <v>1469</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498" t="s">
        <v>2755</v>
      </c>
      <c r="X9" s="2876" t="s">
        <v>2404</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04"/>
      <c r="B10" s="1452" t="s">
        <v>1725</v>
      </c>
      <c r="C10" s="334">
        <f>SUMIF(修正!C59:C119,C8,修正!F59:F119)</f>
        <v>0</v>
      </c>
      <c r="D10" s="334" t="s">
        <v>1059</v>
      </c>
      <c r="E10" s="334" t="e">
        <f>ROUND(C11/E7,4)</f>
        <v>#DIV/0!</v>
      </c>
      <c r="F10" s="1476" t="s">
        <v>1726</v>
      </c>
      <c r="G10" s="1477"/>
      <c r="H10" s="1477"/>
      <c r="I10" s="1477"/>
      <c r="J10" s="1478"/>
      <c r="L10" s="1712" t="s">
        <v>1473</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498"/>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04"/>
      <c r="B11" s="1480" t="s">
        <v>1727</v>
      </c>
      <c r="C11" s="1481">
        <f>C10/4</f>
        <v>0</v>
      </c>
      <c r="D11" s="1481" t="s">
        <v>1060</v>
      </c>
      <c r="E11" s="1481" t="e">
        <f>ROUND(C11/E7,4)</f>
        <v>#DIV/0!</v>
      </c>
      <c r="F11" s="1482" t="s">
        <v>1728</v>
      </c>
      <c r="G11" s="1483"/>
      <c r="H11" s="1483"/>
      <c r="I11" s="1483"/>
      <c r="J11" s="1484"/>
      <c r="L11" s="1712" t="s">
        <v>1905</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498" t="s">
        <v>2756</v>
      </c>
      <c r="X11" s="2880" t="s">
        <v>2753</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503" t="str">
        <f>IF(E2="住宅",2,"")</f>
        <v/>
      </c>
      <c r="B12" s="1485" t="s">
        <v>1729</v>
      </c>
      <c r="C12" s="1469">
        <f>ROUND(C15*D15*E15*F15*G15*H15*I15*J15,4)</f>
        <v>1.32</v>
      </c>
      <c r="D12" s="1486" t="s">
        <v>1730</v>
      </c>
      <c r="E12" s="1487"/>
      <c r="F12" s="1487"/>
      <c r="G12" s="1488"/>
      <c r="H12" s="1488"/>
      <c r="I12" s="1488"/>
      <c r="J12" s="1489"/>
      <c r="L12" s="1713" t="s">
        <v>1906</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498"/>
      <c r="X12" s="2882" t="s">
        <v>2407</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05"/>
      <c r="B13" s="1490" t="s">
        <v>1731</v>
      </c>
      <c r="C13" s="1491" t="s">
        <v>1732</v>
      </c>
      <c r="D13" s="1492" t="s">
        <v>1733</v>
      </c>
      <c r="E13" s="1492" t="s">
        <v>1734</v>
      </c>
      <c r="F13" s="30" t="s">
        <v>1061</v>
      </c>
      <c r="G13" s="1622" t="s">
        <v>1795</v>
      </c>
      <c r="H13" s="1622" t="s">
        <v>1795</v>
      </c>
      <c r="I13" s="1622" t="s">
        <v>1795</v>
      </c>
      <c r="J13" s="1623" t="s">
        <v>1795</v>
      </c>
      <c r="L13" s="2238"/>
      <c r="M13" s="2238"/>
      <c r="N13" s="2238"/>
      <c r="O13" s="2238"/>
      <c r="P13" s="2238"/>
      <c r="Q13" s="2238"/>
      <c r="R13" s="2863">
        <v>12</v>
      </c>
      <c r="S13" s="2864"/>
      <c r="T13" s="2863" t="e">
        <f t="shared" si="0"/>
        <v>#DIV/0!</v>
      </c>
      <c r="U13" s="2864"/>
      <c r="V13" s="2863" t="e">
        <f t="shared" si="1"/>
        <v>#DIV/0!</v>
      </c>
      <c r="W13" s="3498"/>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05"/>
      <c r="B14" s="1493"/>
      <c r="C14" s="1624" t="s">
        <v>150</v>
      </c>
      <c r="D14" s="1293" t="s">
        <v>151</v>
      </c>
      <c r="E14" s="1293" t="s">
        <v>151</v>
      </c>
      <c r="F14" s="1625" t="s">
        <v>1062</v>
      </c>
      <c r="G14" s="1494" t="s">
        <v>1767</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06"/>
      <c r="B15" s="1498" t="s">
        <v>1735</v>
      </c>
      <c r="C15" s="367">
        <f>IF(C14="有",1.1,1)</f>
        <v>1.1000000000000001</v>
      </c>
      <c r="D15" s="367">
        <f>IF(D14="有",1.1,1)</f>
        <v>1</v>
      </c>
      <c r="E15" s="367">
        <f>IF(E14="有",1.1,1)</f>
        <v>1</v>
      </c>
      <c r="F15" s="367">
        <f>IF(F14="500米范围内",1.2,IF(F14="500-1000米",1.1,1))</f>
        <v>1.2</v>
      </c>
      <c r="G15" s="1626">
        <v>1</v>
      </c>
      <c r="H15" s="1626">
        <v>1</v>
      </c>
      <c r="I15" s="1626">
        <v>1</v>
      </c>
      <c r="J15" s="1627">
        <v>1</v>
      </c>
      <c r="L15" s="1532" t="s">
        <v>1757</v>
      </c>
      <c r="M15" s="1533" t="s">
        <v>1758</v>
      </c>
      <c r="N15" s="1533" t="s">
        <v>1759</v>
      </c>
      <c r="O15" s="1533" t="s">
        <v>897</v>
      </c>
      <c r="P15" s="1534" t="s">
        <v>1760</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503" t="b">
        <f>IF(E2="办公",2,IF(E2="工业",2,IF(E2="住宅",3,IF(E2="商业",IF(C8="不临58条商业街",2,3)))))</f>
        <v>0</v>
      </c>
      <c r="B16" s="1468" t="s">
        <v>1736</v>
      </c>
      <c r="C16" s="1612" t="e">
        <f>ROUND(SUM(G17:J17)/C17,0)</f>
        <v>#DIV/0!</v>
      </c>
      <c r="D16" s="1499" t="s">
        <v>1737</v>
      </c>
      <c r="E16" s="1628"/>
      <c r="F16" s="1629"/>
      <c r="G16" s="1630"/>
      <c r="H16" s="1630"/>
      <c r="I16" s="1630"/>
      <c r="J16" s="1631"/>
      <c r="L16" s="2535" t="s">
        <v>2524</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04"/>
      <c r="B17" s="1500" t="s">
        <v>1738</v>
      </c>
      <c r="C17" s="1501">
        <f>SUMPRODUCT((修正!A2:A5=E2)*(修正!B1:M1=G2)*(修正!B2:M5))</f>
        <v>0</v>
      </c>
      <c r="D17" s="1502" t="s">
        <v>1739</v>
      </c>
      <c r="E17" s="1574" t="str">
        <f>IF(OR(G2="八级",G2="九级",G2="十级",G2="十一级",G2="十二级"),"五通一平","七通一平")</f>
        <v>七通一平</v>
      </c>
      <c r="F17" s="1503" t="s">
        <v>1740</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2525</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1741</v>
      </c>
      <c r="B18" s="1506" t="s">
        <v>1742</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1743</v>
      </c>
      <c r="B19" s="1506" t="s">
        <v>1744</v>
      </c>
      <c r="C19" s="1513" t="e">
        <f>ROUND(IF(H19="按公示增长率计算",SUMPRODUCT((地价!A3:A19=YEAR(G19)&amp;"-"&amp;ROUNDUP(MONTH(G19)/3,0))*(地价!X2:AB2=E2)*(地价!X3:AB19)),IF(H19="地价指数",M20/M19,(1+I19)^O19)),4)</f>
        <v>#DIV/0!</v>
      </c>
      <c r="D19" s="1514" t="s">
        <v>1063</v>
      </c>
      <c r="E19" s="1515">
        <v>41640</v>
      </c>
      <c r="F19" s="1514" t="s">
        <v>1064</v>
      </c>
      <c r="G19" s="1516">
        <f>'数据-取费表'!B2</f>
        <v>42992</v>
      </c>
      <c r="H19" s="2781" t="s">
        <v>2807</v>
      </c>
      <c r="I19" s="1517" t="str">
        <f>IF(H19="季度增幅（自定义）",SUMIF(N21:N24,E2,O21:O24),"")</f>
        <v/>
      </c>
      <c r="J19" s="1512"/>
      <c r="K19" s="2241"/>
      <c r="L19" s="3009" t="s">
        <v>2805</v>
      </c>
      <c r="M19" s="3010">
        <f>ROUND(SUMIF(地价!B2:F2,E2,地价!B19:F19),0)</f>
        <v>0</v>
      </c>
      <c r="N19" s="2541" t="s">
        <v>2526</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1745</v>
      </c>
      <c r="B20" s="1576" t="s">
        <v>1746</v>
      </c>
      <c r="C20" s="1520" t="e">
        <f>ROUND(POWER(1+G20,J20-I20)*(POWER(1+G20,I20)-1)/(POWER(1+G20,J20)-1),4)</f>
        <v>#DIV/0!</v>
      </c>
      <c r="D20" s="1577" t="s">
        <v>1747</v>
      </c>
      <c r="E20" s="3056">
        <f ca="1">存贷款利率!D4/100</f>
        <v>4.3499999999999997E-2</v>
      </c>
      <c r="F20" s="1577" t="s">
        <v>1748</v>
      </c>
      <c r="G20" s="1578">
        <f>SUMIF(M15:P15,E2,M17:P17)</f>
        <v>0</v>
      </c>
      <c r="H20" s="1577" t="s">
        <v>1749</v>
      </c>
      <c r="I20" s="1579">
        <f>'数据-取费表'!B13</f>
        <v>31.5</v>
      </c>
      <c r="J20" s="1580">
        <f>IF(E2="住宅",70,IF(E2="商业",40,50))</f>
        <v>50</v>
      </c>
      <c r="K20" s="2241"/>
      <c r="L20" s="3011" t="s">
        <v>2806</v>
      </c>
      <c r="M20" s="3012">
        <f>ROUND(SUMPRODUCT((地价!A4:A19=YEAR(G19)&amp;"-"&amp;ROUNDUP(MONTH(G19)/3,0))*(地价!B2:F2=E2)*(地价!B4:F19)),0)</f>
        <v>0</v>
      </c>
      <c r="N20" s="2782" t="s">
        <v>2654</v>
      </c>
      <c r="O20" s="2783" t="s">
        <v>2655</v>
      </c>
      <c r="P20" s="2784" t="s">
        <v>2662</v>
      </c>
      <c r="R20" s="2238"/>
      <c r="S20" s="2238"/>
      <c r="T20" s="2238"/>
      <c r="U20" s="2238"/>
      <c r="V20" s="2238"/>
      <c r="W20" s="2238"/>
      <c r="X20" s="2238"/>
      <c r="Y20" s="2238"/>
      <c r="Z20" s="2238"/>
      <c r="AA20" s="2238"/>
      <c r="AB20" s="2238"/>
      <c r="AC20" s="2238"/>
      <c r="AD20" s="2238"/>
      <c r="AE20" s="2241"/>
      <c r="AF20" s="2241"/>
    </row>
    <row r="21" spans="1:37" s="1460" customFormat="1" ht="14.25">
      <c r="A21" s="1581" t="s">
        <v>1750</v>
      </c>
      <c r="B21" s="1632" t="s">
        <v>1076</v>
      </c>
      <c r="C21" s="1582" t="b">
        <f>IF(B21="容积率修正",IF(G3&lt;=10,D22,J22),C23)</f>
        <v>0</v>
      </c>
      <c r="D21" s="1583"/>
      <c r="E21" s="1583"/>
      <c r="F21" s="1583"/>
      <c r="G21" s="1583"/>
      <c r="H21" s="1583"/>
      <c r="I21" s="1583"/>
      <c r="J21" s="1584"/>
      <c r="K21" s="2241"/>
      <c r="N21" s="2785" t="s">
        <v>2656</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1751</v>
      </c>
      <c r="C22" s="1614" t="s">
        <v>1765</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1078</v>
      </c>
      <c r="J22" s="1585" t="str">
        <f>IF(G3&gt;10,D113,"——")</f>
        <v>——</v>
      </c>
      <c r="K22" s="2241"/>
      <c r="N22" s="2785" t="s">
        <v>2657</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1752</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1753</v>
      </c>
      <c r="B24" s="1588" t="s">
        <v>1754</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1755</v>
      </c>
      <c r="B25" s="1529" t="s">
        <v>1756</v>
      </c>
      <c r="C25" s="1530"/>
      <c r="D25" s="1472"/>
      <c r="E25" s="1472"/>
      <c r="F25" s="1531"/>
      <c r="G25" s="1472"/>
      <c r="H25" s="1472"/>
      <c r="I25" s="1472"/>
      <c r="J25" s="1473"/>
      <c r="L25" s="2238"/>
      <c r="M25" s="2238"/>
      <c r="N25" s="2791" t="s">
        <v>2658</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1792</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1793</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1791</v>
      </c>
      <c r="C28" s="1546" t="s">
        <v>1761</v>
      </c>
      <c r="D28" s="1546" t="s">
        <v>1782</v>
      </c>
      <c r="E28" s="1547" t="s">
        <v>1783</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1786</v>
      </c>
      <c r="C29" s="340" t="e">
        <f>ROUND(C5*C18*C19*C20*C21*C24,0)</f>
        <v>#DIV/0!</v>
      </c>
      <c r="D29" s="1572"/>
      <c r="E29" s="1616" t="e">
        <f>ROUND(C29*D29,0)</f>
        <v>#DIV/0!</v>
      </c>
      <c r="F29" s="1550" t="s">
        <v>1762</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1787</v>
      </c>
      <c r="C30" s="367" t="e">
        <f>ROUND(IF(E2="工业",C29*M39,C29*M38),0)</f>
        <v>#DIV/0!</v>
      </c>
      <c r="D30" s="1573"/>
      <c r="E30" s="1616" t="e">
        <f>ROUND(C30*D30,0)</f>
        <v>#DIV/0!</v>
      </c>
      <c r="F30" s="1555" t="s">
        <v>1784</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1788</v>
      </c>
      <c r="C31" s="1560" t="s">
        <v>1789</v>
      </c>
      <c r="D31" s="1488"/>
      <c r="E31" s="1560"/>
      <c r="F31" s="1560"/>
      <c r="G31" s="1486" t="s">
        <v>1790</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1761</v>
      </c>
      <c r="D32" s="118" t="s">
        <v>1782</v>
      </c>
      <c r="E32" s="118" t="s">
        <v>1783</v>
      </c>
      <c r="F32" s="1563" t="s">
        <v>1764</v>
      </c>
      <c r="G32" s="1521" t="s">
        <v>1761</v>
      </c>
      <c r="H32" s="1521" t="s">
        <v>1782</v>
      </c>
      <c r="I32" s="1521" t="s">
        <v>1783</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15" t="s">
        <v>2911</v>
      </c>
      <c r="B33" s="1566" t="s">
        <v>1080</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16"/>
      <c r="B34" s="1491" t="s">
        <v>1081</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16"/>
      <c r="B35" s="1491" t="s">
        <v>1082</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17"/>
      <c r="B36" s="1491" t="s">
        <v>1083</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1084</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1785</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1085</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1763</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1086</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1760</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1690</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1077</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1691</v>
      </c>
      <c r="B47" s="1307" t="s">
        <v>1692</v>
      </c>
      <c r="C47" s="1308" t="s">
        <v>1693</v>
      </c>
      <c r="D47" s="1309" t="s">
        <v>1776</v>
      </c>
      <c r="E47" s="1310" t="s">
        <v>1778</v>
      </c>
      <c r="F47" s="1311" t="s">
        <v>2174</v>
      </c>
      <c r="G47" s="1309" t="s">
        <v>1771</v>
      </c>
      <c r="H47" s="2411" t="s">
        <v>2385</v>
      </c>
      <c r="I47" s="1309" t="s">
        <v>1777</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1694</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48">
      <c r="A49" s="1306" t="s">
        <v>1696</v>
      </c>
      <c r="B49" s="1317" t="str">
        <f>估价对象房地状况!C18</f>
        <v>估价对象周边道路状况、公共交通通达情况、停车便捷程度，综合评价交通便捷度较好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1697</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1698</v>
      </c>
      <c r="B51" s="3057" t="s">
        <v>2883</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1699</v>
      </c>
      <c r="B52" s="1317">
        <f>估价对象房地状况!C24</f>
        <v>0</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1700</v>
      </c>
      <c r="B53" s="3058" t="s">
        <v>2884</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1701</v>
      </c>
      <c r="B54" s="2407" t="str">
        <f>估价对象房地状况!C21</f>
        <v>估价对象所在区域公共配套设施齐备情况</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1702</v>
      </c>
      <c r="B55" s="1317" t="str">
        <f>估价对象房地状况!C22</f>
        <v>估价对象所在区域基础设施水平</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36.75" thickBot="1">
      <c r="A56" s="1321" t="s">
        <v>1703</v>
      </c>
      <c r="B56" s="1322" t="str">
        <f>估价对象房地状况!C20</f>
        <v>区域自然环境：；人文环境；综合评价环境状况一般</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1079</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1691</v>
      </c>
      <c r="B58" s="1317"/>
      <c r="C58" s="1308" t="s">
        <v>1693</v>
      </c>
      <c r="D58" s="1309" t="s">
        <v>1773</v>
      </c>
      <c r="E58" s="1310" t="s">
        <v>1775</v>
      </c>
      <c r="F58" s="1311" t="s">
        <v>2174</v>
      </c>
      <c r="G58" s="1309" t="s">
        <v>1771</v>
      </c>
      <c r="H58" s="2411" t="s">
        <v>2386</v>
      </c>
      <c r="I58" s="1309" t="s">
        <v>1774</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1704</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48">
      <c r="A60" s="1306" t="s">
        <v>1696</v>
      </c>
      <c r="B60" s="1317" t="str">
        <f>估价对象房地状况!C18</f>
        <v>估价对象周边道路状况、公共交通通达情况、停车便捷程度，综合评价交通便捷度较好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1697</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1698</v>
      </c>
      <c r="B62" s="3057" t="s">
        <v>2883</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1699</v>
      </c>
      <c r="B63" s="1317">
        <f>估价对象房地状况!C24</f>
        <v>0</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1700</v>
      </c>
      <c r="B64" s="3058" t="s">
        <v>2884</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1701</v>
      </c>
      <c r="B65" s="2407" t="str">
        <f>估价对象房地状况!C21</f>
        <v>估价对象所在区域公共配套设施齐备情况</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1702</v>
      </c>
      <c r="B66" s="2407" t="str">
        <f>估价对象房地状况!C22</f>
        <v>估价对象所在区域基础设施水平</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36.75" thickBot="1">
      <c r="A67" s="1321" t="s">
        <v>1703</v>
      </c>
      <c r="B67" s="1325" t="str">
        <f>估价对象房地状况!C20</f>
        <v>区域自然环境：；人文环境；综合评价环境状况一般</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1766</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1691</v>
      </c>
      <c r="B69" s="1317"/>
      <c r="C69" s="1308" t="s">
        <v>1693</v>
      </c>
      <c r="D69" s="1309" t="s">
        <v>1773</v>
      </c>
      <c r="E69" s="1310" t="s">
        <v>1775</v>
      </c>
      <c r="F69" s="1311" t="s">
        <v>2174</v>
      </c>
      <c r="G69" s="1309" t="s">
        <v>1771</v>
      </c>
      <c r="H69" s="2411" t="s">
        <v>2386</v>
      </c>
      <c r="I69" s="1309" t="s">
        <v>1774</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48">
      <c r="A70" s="1306" t="s">
        <v>1705</v>
      </c>
      <c r="B70" s="1312" t="str">
        <f>估价对象房地状况!C15</f>
        <v>估价对象周边居住用地比例、居住小区规模和社区发展完善程度，综合评价居住社区成熟度一般</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48">
      <c r="A71" s="1306" t="s">
        <v>1696</v>
      </c>
      <c r="B71" s="1317" t="str">
        <f>估价对象房地状况!C18</f>
        <v>估价对象周边道路状况、公共交通通达情况、停车便捷程度，综合评价交通便捷度较好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1697</v>
      </c>
      <c r="B72" s="1317">
        <f>估价对象房地状况!C19</f>
        <v>0</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1706</v>
      </c>
      <c r="B73" s="1317">
        <f>估价对象房地状况!C24</f>
        <v>0</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1701</v>
      </c>
      <c r="B74" s="2407" t="str">
        <f>估价对象房地状况!C21</f>
        <v>估价对象所在区域公共配套设施齐备情况</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1702</v>
      </c>
      <c r="B75" s="2407" t="str">
        <f>估价对象房地状况!C22</f>
        <v>估价对象所在区域基础设施水平</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1700</v>
      </c>
      <c r="B76" s="3058" t="s">
        <v>2884</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36">
      <c r="A77" s="1306" t="s">
        <v>1703</v>
      </c>
      <c r="B77" s="1312" t="str">
        <f>估价对象房地状况!C20</f>
        <v>区域自然环境：；人文环境；综合评价环境状况一般</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1707</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1117</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1691</v>
      </c>
      <c r="B80" s="1317"/>
      <c r="C80" s="1308" t="s">
        <v>1693</v>
      </c>
      <c r="D80" s="1309" t="s">
        <v>1773</v>
      </c>
      <c r="E80" s="1310" t="s">
        <v>1775</v>
      </c>
      <c r="F80" s="1311" t="s">
        <v>2174</v>
      </c>
      <c r="G80" s="1309" t="s">
        <v>1771</v>
      </c>
      <c r="H80" s="2411" t="s">
        <v>2386</v>
      </c>
      <c r="I80" s="1309" t="s">
        <v>1774</v>
      </c>
      <c r="J80" s="805" t="s">
        <v>439</v>
      </c>
      <c r="K80" s="805" t="s">
        <v>440</v>
      </c>
      <c r="L80" s="805" t="s">
        <v>441</v>
      </c>
      <c r="M80" s="805" t="s">
        <v>442</v>
      </c>
      <c r="N80" s="805" t="s">
        <v>443</v>
      </c>
      <c r="Z80" s="1448"/>
      <c r="AA80" s="1447"/>
      <c r="AG80" s="1446"/>
      <c r="AK80" s="1447"/>
    </row>
    <row r="81" spans="1:37" ht="36">
      <c r="A81" s="1306" t="s">
        <v>1708</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1696</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1697</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1706</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1701</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1702</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1700</v>
      </c>
      <c r="B87" s="3058" t="s">
        <v>2884</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1709</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07" t="s">
        <v>2387</v>
      </c>
      <c r="B90" s="3507"/>
      <c r="C90" s="3507"/>
      <c r="D90" s="3507"/>
      <c r="E90" s="3507"/>
      <c r="F90" s="3507"/>
      <c r="G90" s="3507"/>
      <c r="H90" s="3507"/>
      <c r="I90" s="3507"/>
      <c r="J90" s="3507"/>
      <c r="K90" s="2420"/>
      <c r="L90" s="2420"/>
      <c r="M90" s="2420"/>
      <c r="N90" s="2420"/>
    </row>
    <row r="91" spans="1:37">
      <c r="A91" s="3509" t="s">
        <v>2388</v>
      </c>
      <c r="B91" s="3509" t="s">
        <v>2389</v>
      </c>
      <c r="C91" s="1407" t="s">
        <v>2390</v>
      </c>
      <c r="D91" s="1408"/>
      <c r="E91" s="1408"/>
      <c r="F91" s="1408"/>
      <c r="G91" s="1408"/>
      <c r="H91" s="1408"/>
      <c r="I91" s="1408"/>
      <c r="J91" s="1409"/>
      <c r="K91" s="1397"/>
      <c r="L91" s="1397"/>
      <c r="M91" s="1397"/>
      <c r="N91" s="1397"/>
    </row>
    <row r="92" spans="1:37">
      <c r="A92" s="3509"/>
      <c r="B92" s="3509"/>
      <c r="C92" s="2419" t="s">
        <v>2391</v>
      </c>
      <c r="D92" s="2419" t="s">
        <v>2392</v>
      </c>
      <c r="E92" s="2419" t="s">
        <v>2393</v>
      </c>
      <c r="F92" s="2419" t="s">
        <v>2394</v>
      </c>
      <c r="G92" s="2419" t="s">
        <v>2395</v>
      </c>
      <c r="H92" s="2419" t="s">
        <v>2396</v>
      </c>
      <c r="I92" s="2419" t="s">
        <v>2397</v>
      </c>
      <c r="J92" s="2419" t="s">
        <v>2398</v>
      </c>
      <c r="K92" s="2419" t="s">
        <v>2399</v>
      </c>
      <c r="L92" s="2419" t="s">
        <v>2400</v>
      </c>
      <c r="M92" s="2419" t="s">
        <v>2401</v>
      </c>
      <c r="N92" s="2419" t="s">
        <v>2402</v>
      </c>
    </row>
    <row r="93" spans="1:37">
      <c r="A93" s="3510" t="s">
        <v>2403</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1"/>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1"/>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1"/>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1"/>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1"/>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1"/>
      <c r="B99" s="1410" t="s">
        <v>2404</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12"/>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0" t="s">
        <v>2405</v>
      </c>
      <c r="B101" s="1414" t="s">
        <v>2406</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1"/>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1"/>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1"/>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1"/>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1"/>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1"/>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1"/>
      <c r="B108" s="3513" t="s">
        <v>2407</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12"/>
      <c r="B109" s="3514"/>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08" t="s">
        <v>2408</v>
      </c>
      <c r="B110" s="3508"/>
      <c r="C110" s="3508"/>
      <c r="D110" s="3508"/>
      <c r="E110" s="3508"/>
      <c r="F110" s="3508"/>
      <c r="G110" s="3508"/>
      <c r="H110" s="3508"/>
      <c r="I110" s="3508"/>
      <c r="J110" s="3508"/>
      <c r="K110" s="2418"/>
      <c r="L110" s="2418"/>
      <c r="M110" s="2418"/>
      <c r="N110" s="2418"/>
    </row>
    <row r="112" spans="1:14" ht="12.75" thickBot="1"/>
    <row r="113" spans="1:13" ht="25.5" thickBot="1">
      <c r="A113" s="1423" t="s">
        <v>2409</v>
      </c>
      <c r="B113" s="2421">
        <f>G3</f>
        <v>0</v>
      </c>
      <c r="C113" s="1424" t="s">
        <v>2410</v>
      </c>
      <c r="D113" s="1425">
        <f>SUMPRODUCT((A115:A118=F113)*(B114:M114=H113)*B115:M118)</f>
        <v>0</v>
      </c>
      <c r="E113" s="1426" t="s">
        <v>2388</v>
      </c>
      <c r="F113" s="1427">
        <f>E2</f>
        <v>0</v>
      </c>
      <c r="G113" s="1426" t="s">
        <v>2411</v>
      </c>
      <c r="H113" s="1427">
        <f>G2</f>
        <v>0</v>
      </c>
      <c r="I113" s="1426"/>
      <c r="J113" s="1418"/>
      <c r="K113" s="1418"/>
      <c r="L113" s="1418"/>
      <c r="M113" s="1418"/>
    </row>
    <row r="114" spans="1:13" ht="12.75">
      <c r="A114" s="1430"/>
      <c r="B114" s="1431" t="s">
        <v>2391</v>
      </c>
      <c r="C114" s="1431" t="s">
        <v>2392</v>
      </c>
      <c r="D114" s="1431" t="s">
        <v>2393</v>
      </c>
      <c r="E114" s="1432" t="s">
        <v>2394</v>
      </c>
      <c r="F114" s="1432" t="s">
        <v>2395</v>
      </c>
      <c r="G114" s="1432" t="s">
        <v>2396</v>
      </c>
      <c r="H114" s="1433" t="s">
        <v>2397</v>
      </c>
      <c r="I114" s="1433" t="s">
        <v>2398</v>
      </c>
      <c r="J114" s="1434" t="s">
        <v>2399</v>
      </c>
      <c r="K114" s="1434" t="s">
        <v>2400</v>
      </c>
      <c r="L114" s="1434" t="s">
        <v>2401</v>
      </c>
      <c r="M114" s="1435" t="s">
        <v>2402</v>
      </c>
    </row>
    <row r="115" spans="1:13" ht="12.75">
      <c r="A115" s="1436" t="s">
        <v>2412</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2413</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2414</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2415</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18" t="s">
        <v>2016</v>
      </c>
      <c r="B1" s="3518"/>
    </row>
    <row r="2" spans="1:6" ht="14.25" thickBot="1">
      <c r="A2" s="1904"/>
      <c r="B2" s="1904"/>
    </row>
    <row r="3" spans="1:6" ht="14.25" thickBot="1">
      <c r="A3" s="1904"/>
      <c r="B3" s="1904"/>
      <c r="C3" s="1907" t="s">
        <v>2017</v>
      </c>
      <c r="D3" s="1907" t="s">
        <v>2018</v>
      </c>
      <c r="E3" s="1907" t="s">
        <v>2019</v>
      </c>
      <c r="F3" s="1907" t="s">
        <v>2020</v>
      </c>
    </row>
    <row r="4" spans="1:6" ht="14.25" thickBot="1">
      <c r="A4" s="1908" t="s">
        <v>2021</v>
      </c>
      <c r="B4" s="1909" t="s">
        <v>2022</v>
      </c>
      <c r="C4" s="1907"/>
      <c r="D4" s="1907"/>
      <c r="E4" s="1907"/>
      <c r="F4" s="1907"/>
    </row>
    <row r="5" spans="1:6" ht="14.25" thickBot="1">
      <c r="A5" s="1342" t="s">
        <v>2023</v>
      </c>
      <c r="B5" s="1343" t="s">
        <v>2024</v>
      </c>
      <c r="C5" s="1910">
        <v>8.8999999999999996E-2</v>
      </c>
      <c r="D5" s="1910">
        <v>7.3999999999999996E-2</v>
      </c>
      <c r="E5" s="1910">
        <v>7.4999999999999997E-2</v>
      </c>
      <c r="F5" s="1911">
        <v>0.1</v>
      </c>
    </row>
    <row r="6" spans="1:6" ht="14.25" thickBot="1">
      <c r="A6" s="1342" t="s">
        <v>1143</v>
      </c>
      <c r="B6" s="1336" t="s">
        <v>2025</v>
      </c>
      <c r="C6" s="1912">
        <v>0.1</v>
      </c>
      <c r="D6" s="1912">
        <v>9.0999999999999998E-2</v>
      </c>
      <c r="E6" s="1912">
        <v>9.0999999999999998E-2</v>
      </c>
      <c r="F6" s="1913">
        <v>0.1</v>
      </c>
    </row>
    <row r="7" spans="1:6" ht="14.25" thickBot="1">
      <c r="A7" s="1342" t="s">
        <v>1143</v>
      </c>
      <c r="B7" s="1350" t="s">
        <v>1132</v>
      </c>
      <c r="C7" s="1912">
        <v>8.5999999999999993E-2</v>
      </c>
      <c r="D7" s="1912">
        <v>9.6000000000000002E-2</v>
      </c>
      <c r="E7" s="1912">
        <v>7.5999999999999998E-2</v>
      </c>
      <c r="F7" s="1913">
        <v>0.1</v>
      </c>
    </row>
    <row r="8" spans="1:6" ht="14.25" thickBot="1">
      <c r="A8" s="1342" t="s">
        <v>1143</v>
      </c>
      <c r="B8" s="1336" t="s">
        <v>1144</v>
      </c>
      <c r="C8" s="1912">
        <v>9.9000000000000005E-2</v>
      </c>
      <c r="D8" s="1912">
        <v>9.8000000000000004E-2</v>
      </c>
      <c r="E8" s="1912">
        <v>9.8000000000000004E-2</v>
      </c>
      <c r="F8" s="1913">
        <v>0.1</v>
      </c>
    </row>
    <row r="9" spans="1:6" ht="14.25" thickBot="1">
      <c r="A9" s="1359" t="s">
        <v>1143</v>
      </c>
      <c r="B9" s="1351" t="s">
        <v>1156</v>
      </c>
      <c r="C9" s="1914">
        <v>0.05</v>
      </c>
      <c r="D9" s="1915"/>
      <c r="E9" s="1915"/>
      <c r="F9" s="1916"/>
    </row>
    <row r="10" spans="1:6" ht="14.25" thickBot="1">
      <c r="A10" s="1342" t="s">
        <v>1203</v>
      </c>
      <c r="B10" s="1343" t="s">
        <v>2026</v>
      </c>
      <c r="C10" s="1910">
        <v>8.8999999999999996E-2</v>
      </c>
      <c r="D10" s="1910">
        <v>7.2999999999999995E-2</v>
      </c>
      <c r="E10" s="1910">
        <v>8.2000000000000003E-2</v>
      </c>
      <c r="F10" s="1911">
        <v>0.1</v>
      </c>
    </row>
    <row r="11" spans="1:6" ht="14.25" thickBot="1">
      <c r="A11" s="1342" t="s">
        <v>1203</v>
      </c>
      <c r="B11" s="1350" t="s">
        <v>1119</v>
      </c>
      <c r="C11" s="1912">
        <v>8.8999999999999996E-2</v>
      </c>
      <c r="D11" s="1912">
        <v>7.2999999999999995E-2</v>
      </c>
      <c r="E11" s="1912">
        <v>8.2000000000000003E-2</v>
      </c>
      <c r="F11" s="1913">
        <v>0.1</v>
      </c>
    </row>
    <row r="12" spans="1:6" ht="14.25" thickBot="1">
      <c r="A12" s="1342" t="s">
        <v>1203</v>
      </c>
      <c r="B12" s="1350" t="s">
        <v>1053</v>
      </c>
      <c r="C12" s="1912">
        <v>6.0999999999999999E-2</v>
      </c>
      <c r="D12" s="1912">
        <v>7.0999999999999994E-2</v>
      </c>
      <c r="E12" s="1912">
        <v>9.6000000000000002E-2</v>
      </c>
      <c r="F12" s="1913">
        <v>0.1</v>
      </c>
    </row>
    <row r="13" spans="1:6" ht="14.25" thickBot="1">
      <c r="A13" s="1342" t="s">
        <v>1203</v>
      </c>
      <c r="B13" s="1350" t="s">
        <v>1145</v>
      </c>
      <c r="C13" s="1912">
        <v>6.9000000000000006E-2</v>
      </c>
      <c r="D13" s="1912">
        <v>6.5000000000000002E-2</v>
      </c>
      <c r="E13" s="1912">
        <v>6.6000000000000003E-2</v>
      </c>
      <c r="F13" s="1913">
        <v>0.1</v>
      </c>
    </row>
    <row r="14" spans="1:6" ht="14.25" thickBot="1">
      <c r="A14" s="1342" t="s">
        <v>1203</v>
      </c>
      <c r="B14" s="1350" t="s">
        <v>1157</v>
      </c>
      <c r="C14" s="1912">
        <v>0.1</v>
      </c>
      <c r="D14" s="1912">
        <v>6.5000000000000002E-2</v>
      </c>
      <c r="E14" s="1912">
        <v>7.0000000000000007E-2</v>
      </c>
      <c r="F14" s="1913">
        <v>0.1</v>
      </c>
    </row>
    <row r="15" spans="1:6" ht="14.25" thickBot="1">
      <c r="A15" s="1342" t="s">
        <v>1203</v>
      </c>
      <c r="B15" s="1350" t="s">
        <v>1169</v>
      </c>
      <c r="C15" s="1912">
        <v>9.8000000000000004E-2</v>
      </c>
      <c r="D15" s="1912">
        <v>8.8999999999999996E-2</v>
      </c>
      <c r="E15" s="1912">
        <v>8.8999999999999996E-2</v>
      </c>
      <c r="F15" s="1913">
        <v>0.1</v>
      </c>
    </row>
    <row r="16" spans="1:6" ht="14.25" thickBot="1">
      <c r="A16" s="1342" t="s">
        <v>1203</v>
      </c>
      <c r="B16" s="1350" t="s">
        <v>1181</v>
      </c>
      <c r="C16" s="1912">
        <v>7.0000000000000007E-2</v>
      </c>
      <c r="D16" s="1912">
        <v>9.2999999999999999E-2</v>
      </c>
      <c r="E16" s="1912">
        <v>9.6000000000000002E-2</v>
      </c>
      <c r="F16" s="1913">
        <v>0.1</v>
      </c>
    </row>
    <row r="17" spans="1:6" ht="14.25" thickBot="1">
      <c r="A17" s="1342" t="s">
        <v>1203</v>
      </c>
      <c r="B17" s="1350" t="s">
        <v>1193</v>
      </c>
      <c r="C17" s="1912">
        <v>9.5000000000000001E-2</v>
      </c>
      <c r="D17" s="1912">
        <v>0.1</v>
      </c>
      <c r="E17" s="1912">
        <v>0.1</v>
      </c>
      <c r="F17" s="1917"/>
    </row>
    <row r="18" spans="1:6" ht="14.25" thickBot="1">
      <c r="A18" s="1342" t="s">
        <v>1203</v>
      </c>
      <c r="B18" s="1350" t="s">
        <v>1206</v>
      </c>
      <c r="C18" s="1912">
        <v>7.3999999999999996E-2</v>
      </c>
      <c r="D18" s="1912">
        <v>9.9000000000000005E-2</v>
      </c>
      <c r="E18" s="1912">
        <v>0.1</v>
      </c>
      <c r="F18" s="1917"/>
    </row>
    <row r="19" spans="1:6" ht="14.25" thickBot="1">
      <c r="A19" s="1342" t="s">
        <v>1203</v>
      </c>
      <c r="B19" s="1350" t="s">
        <v>1217</v>
      </c>
      <c r="C19" s="1912">
        <v>9.9000000000000005E-2</v>
      </c>
      <c r="D19" s="1912">
        <v>7.5999999999999998E-2</v>
      </c>
      <c r="E19" s="1912">
        <v>8.6999999999999994E-2</v>
      </c>
      <c r="F19" s="1917"/>
    </row>
    <row r="20" spans="1:6" ht="14.25" thickBot="1">
      <c r="A20" s="1342" t="s">
        <v>1203</v>
      </c>
      <c r="B20" s="1350" t="s">
        <v>1228</v>
      </c>
      <c r="C20" s="1912">
        <v>9.8000000000000004E-2</v>
      </c>
      <c r="D20" s="1912">
        <v>8.5000000000000006E-2</v>
      </c>
      <c r="E20" s="1912">
        <v>8.2000000000000003E-2</v>
      </c>
      <c r="F20" s="1917"/>
    </row>
    <row r="21" spans="1:6" ht="14.25" thickBot="1">
      <c r="A21" s="1342" t="s">
        <v>1203</v>
      </c>
      <c r="B21" s="1350" t="s">
        <v>1239</v>
      </c>
      <c r="C21" s="1912">
        <v>6.6000000000000003E-2</v>
      </c>
      <c r="D21" s="1912">
        <v>6.4000000000000001E-2</v>
      </c>
      <c r="E21" s="1912">
        <v>6.5000000000000002E-2</v>
      </c>
      <c r="F21" s="1917"/>
    </row>
    <row r="22" spans="1:6" ht="14.25" thickBot="1">
      <c r="A22" s="1342" t="s">
        <v>1203</v>
      </c>
      <c r="B22" s="1350" t="s">
        <v>2027</v>
      </c>
      <c r="C22" s="1912">
        <v>0.08</v>
      </c>
      <c r="D22" s="1912">
        <v>9.8000000000000004E-2</v>
      </c>
      <c r="E22" s="1912">
        <v>9.8000000000000004E-2</v>
      </c>
      <c r="F22" s="1917"/>
    </row>
    <row r="23" spans="1:6" ht="14.25" thickBot="1">
      <c r="A23" s="1342" t="s">
        <v>1203</v>
      </c>
      <c r="B23" s="1350" t="s">
        <v>1261</v>
      </c>
      <c r="C23" s="1912">
        <v>9.9000000000000005E-2</v>
      </c>
      <c r="D23" s="1912">
        <v>9.8000000000000004E-2</v>
      </c>
      <c r="E23" s="1912">
        <v>9.0999999999999998E-2</v>
      </c>
      <c r="F23" s="1917"/>
    </row>
    <row r="24" spans="1:6" ht="14.25" thickBot="1">
      <c r="A24" s="1342" t="s">
        <v>1203</v>
      </c>
      <c r="B24" s="1350" t="s">
        <v>1272</v>
      </c>
      <c r="C24" s="1912">
        <v>8.8999999999999996E-2</v>
      </c>
      <c r="D24" s="1912">
        <v>9.7000000000000003E-2</v>
      </c>
      <c r="E24" s="1912">
        <v>7.0000000000000007E-2</v>
      </c>
      <c r="F24" s="1917"/>
    </row>
    <row r="25" spans="1:6" ht="14.25" thickBot="1">
      <c r="A25" s="1342" t="s">
        <v>1203</v>
      </c>
      <c r="B25" s="1350" t="s">
        <v>1282</v>
      </c>
      <c r="C25" s="1912">
        <v>8.8999999999999996E-2</v>
      </c>
      <c r="D25" s="1912">
        <v>0.1</v>
      </c>
      <c r="E25" s="1912">
        <v>8.1000000000000003E-2</v>
      </c>
      <c r="F25" s="1917"/>
    </row>
    <row r="26" spans="1:6" ht="14.25" thickBot="1">
      <c r="A26" s="1342" t="s">
        <v>1203</v>
      </c>
      <c r="B26" s="1350" t="s">
        <v>1292</v>
      </c>
      <c r="C26" s="1918"/>
      <c r="D26" s="1912">
        <v>9.6000000000000002E-2</v>
      </c>
      <c r="E26" s="1912">
        <v>9.2999999999999999E-2</v>
      </c>
      <c r="F26" s="1917"/>
    </row>
    <row r="27" spans="1:6" ht="14.25" thickBot="1">
      <c r="A27" s="1342" t="s">
        <v>1203</v>
      </c>
      <c r="B27" s="1350" t="s">
        <v>1302</v>
      </c>
      <c r="C27" s="1918"/>
      <c r="D27" s="1912">
        <v>7.5999999999999998E-2</v>
      </c>
      <c r="E27" s="1912">
        <v>9.1999999999999998E-2</v>
      </c>
      <c r="F27" s="1917"/>
    </row>
    <row r="28" spans="1:6" ht="14.25" thickBot="1">
      <c r="A28" s="1359" t="s">
        <v>1203</v>
      </c>
      <c r="B28" s="1351" t="s">
        <v>1312</v>
      </c>
      <c r="C28" s="1915"/>
      <c r="D28" s="1914">
        <v>7.5999999999999998E-2</v>
      </c>
      <c r="E28" s="1914">
        <v>9.1999999999999998E-2</v>
      </c>
      <c r="F28" s="1916"/>
    </row>
    <row r="29" spans="1:6" ht="14.25" thickBot="1">
      <c r="A29" s="1342" t="s">
        <v>1381</v>
      </c>
      <c r="B29" s="1343" t="s">
        <v>2028</v>
      </c>
      <c r="C29" s="1910">
        <v>6.4000000000000001E-2</v>
      </c>
      <c r="D29" s="1910">
        <v>6.5000000000000002E-2</v>
      </c>
      <c r="E29" s="1910">
        <v>6.9000000000000006E-2</v>
      </c>
      <c r="F29" s="1911">
        <v>0.1</v>
      </c>
    </row>
    <row r="30" spans="1:6" ht="14.25" thickBot="1">
      <c r="A30" s="1342" t="s">
        <v>1381</v>
      </c>
      <c r="B30" s="1350" t="s">
        <v>1120</v>
      </c>
      <c r="C30" s="1912">
        <v>6.4000000000000001E-2</v>
      </c>
      <c r="D30" s="1912">
        <v>9.9000000000000005E-2</v>
      </c>
      <c r="E30" s="1912">
        <v>0.1</v>
      </c>
      <c r="F30" s="1913">
        <v>0.1</v>
      </c>
    </row>
    <row r="31" spans="1:6" ht="14.25" thickBot="1">
      <c r="A31" s="1342" t="s">
        <v>1381</v>
      </c>
      <c r="B31" s="1350" t="s">
        <v>1133</v>
      </c>
      <c r="C31" s="1912">
        <v>0.1</v>
      </c>
      <c r="D31" s="1912">
        <v>9.5000000000000001E-2</v>
      </c>
      <c r="E31" s="1912">
        <v>8.8999999999999996E-2</v>
      </c>
      <c r="F31" s="1913">
        <v>0.1</v>
      </c>
    </row>
    <row r="32" spans="1:6" ht="14.25" thickBot="1">
      <c r="A32" s="1342" t="s">
        <v>1381</v>
      </c>
      <c r="B32" s="1350" t="s">
        <v>1146</v>
      </c>
      <c r="C32" s="1912">
        <v>0.05</v>
      </c>
      <c r="D32" s="1912">
        <v>0.05</v>
      </c>
      <c r="E32" s="1912">
        <v>8.7999999999999995E-2</v>
      </c>
      <c r="F32" s="1913">
        <v>0.1</v>
      </c>
    </row>
    <row r="33" spans="1:6" ht="14.25" thickBot="1">
      <c r="A33" s="1342" t="s">
        <v>1381</v>
      </c>
      <c r="B33" s="1350" t="s">
        <v>1158</v>
      </c>
      <c r="C33" s="1912">
        <v>7.4999999999999997E-2</v>
      </c>
      <c r="D33" s="1912">
        <v>9.4E-2</v>
      </c>
      <c r="E33" s="1912">
        <v>9.7000000000000003E-2</v>
      </c>
      <c r="F33" s="1913">
        <v>0.1</v>
      </c>
    </row>
    <row r="34" spans="1:6" ht="14.25" thickBot="1">
      <c r="A34" s="1342" t="s">
        <v>1381</v>
      </c>
      <c r="B34" s="1350" t="s">
        <v>1170</v>
      </c>
      <c r="C34" s="1912">
        <v>9.8000000000000004E-2</v>
      </c>
      <c r="D34" s="1912">
        <v>8.5999999999999993E-2</v>
      </c>
      <c r="E34" s="1912">
        <v>9.7000000000000003E-2</v>
      </c>
      <c r="F34" s="1913">
        <v>0.1</v>
      </c>
    </row>
    <row r="35" spans="1:6" ht="14.25" thickBot="1">
      <c r="A35" s="1342" t="s">
        <v>1381</v>
      </c>
      <c r="B35" s="1350" t="s">
        <v>1182</v>
      </c>
      <c r="C35" s="1912">
        <v>5.8999999999999997E-2</v>
      </c>
      <c r="D35" s="1912">
        <v>6.5000000000000002E-2</v>
      </c>
      <c r="E35" s="1912">
        <v>7.0000000000000007E-2</v>
      </c>
      <c r="F35" s="1913">
        <v>0.1</v>
      </c>
    </row>
    <row r="36" spans="1:6" ht="14.25" thickBot="1">
      <c r="A36" s="1342" t="s">
        <v>1381</v>
      </c>
      <c r="B36" s="1350" t="s">
        <v>1194</v>
      </c>
      <c r="C36" s="1912">
        <v>6.3E-2</v>
      </c>
      <c r="D36" s="1912">
        <v>0.1</v>
      </c>
      <c r="E36" s="1912">
        <v>0.1</v>
      </c>
      <c r="F36" s="1913">
        <v>0.1</v>
      </c>
    </row>
    <row r="37" spans="1:6" ht="14.25" thickBot="1">
      <c r="A37" s="1342" t="s">
        <v>1381</v>
      </c>
      <c r="B37" s="1350" t="s">
        <v>1207</v>
      </c>
      <c r="C37" s="1912">
        <v>7.3999999999999996E-2</v>
      </c>
      <c r="D37" s="1912">
        <v>0.1</v>
      </c>
      <c r="E37" s="1912">
        <v>0.1</v>
      </c>
      <c r="F37" s="1913">
        <v>0.1</v>
      </c>
    </row>
    <row r="38" spans="1:6" ht="14.25" thickBot="1">
      <c r="A38" s="1342" t="s">
        <v>1381</v>
      </c>
      <c r="B38" s="1350" t="s">
        <v>1218</v>
      </c>
      <c r="C38" s="1912">
        <v>0.1</v>
      </c>
      <c r="D38" s="1912">
        <v>9.6000000000000002E-2</v>
      </c>
      <c r="E38" s="1912">
        <v>9.6000000000000002E-2</v>
      </c>
      <c r="F38" s="1917"/>
    </row>
    <row r="39" spans="1:6" ht="14.25" thickBot="1">
      <c r="A39" s="1342" t="s">
        <v>1381</v>
      </c>
      <c r="B39" s="1350" t="s">
        <v>1229</v>
      </c>
      <c r="C39" s="1912">
        <v>0.1</v>
      </c>
      <c r="D39" s="1912">
        <v>9.6000000000000002E-2</v>
      </c>
      <c r="E39" s="1912">
        <v>9.6000000000000002E-2</v>
      </c>
      <c r="F39" s="1917"/>
    </row>
    <row r="40" spans="1:6" ht="14.25" thickBot="1">
      <c r="A40" s="1342" t="s">
        <v>1381</v>
      </c>
      <c r="B40" s="1350" t="s">
        <v>1240</v>
      </c>
      <c r="C40" s="1912">
        <v>9.6000000000000002E-2</v>
      </c>
      <c r="D40" s="1912">
        <v>0.1</v>
      </c>
      <c r="E40" s="1912">
        <v>9.9000000000000005E-2</v>
      </c>
      <c r="F40" s="1917"/>
    </row>
    <row r="41" spans="1:6" ht="14.25" thickBot="1">
      <c r="A41" s="1342" t="s">
        <v>1381</v>
      </c>
      <c r="B41" s="1350" t="s">
        <v>1251</v>
      </c>
      <c r="C41" s="1912">
        <v>9.6000000000000002E-2</v>
      </c>
      <c r="D41" s="1912">
        <v>9.8000000000000004E-2</v>
      </c>
      <c r="E41" s="1912">
        <v>9.8000000000000004E-2</v>
      </c>
      <c r="F41" s="1917"/>
    </row>
    <row r="42" spans="1:6" ht="14.25" thickBot="1">
      <c r="A42" s="1342" t="s">
        <v>1381</v>
      </c>
      <c r="B42" s="1350" t="s">
        <v>1262</v>
      </c>
      <c r="C42" s="1912">
        <v>0.1</v>
      </c>
      <c r="D42" s="1912">
        <v>8.7999999999999995E-2</v>
      </c>
      <c r="E42" s="1912">
        <v>0.1</v>
      </c>
      <c r="F42" s="1917"/>
    </row>
    <row r="43" spans="1:6" ht="14.25" thickBot="1">
      <c r="A43" s="1342" t="s">
        <v>1381</v>
      </c>
      <c r="B43" s="1350" t="s">
        <v>1273</v>
      </c>
      <c r="C43" s="1912">
        <v>9.8000000000000004E-2</v>
      </c>
      <c r="D43" s="1912">
        <v>9.7000000000000003E-2</v>
      </c>
      <c r="E43" s="1912">
        <v>9.6000000000000002E-2</v>
      </c>
      <c r="F43" s="1917"/>
    </row>
    <row r="44" spans="1:6" ht="14.25" thickBot="1">
      <c r="A44" s="1342" t="s">
        <v>1381</v>
      </c>
      <c r="B44" s="1350" t="s">
        <v>1283</v>
      </c>
      <c r="C44" s="1912">
        <v>8.5999999999999993E-2</v>
      </c>
      <c r="D44" s="1912">
        <v>7.9000000000000001E-2</v>
      </c>
      <c r="E44" s="1912">
        <v>7.0999999999999994E-2</v>
      </c>
      <c r="F44" s="1917"/>
    </row>
    <row r="45" spans="1:6" ht="14.25" thickBot="1">
      <c r="A45" s="1342" t="s">
        <v>1381</v>
      </c>
      <c r="B45" s="1350" t="s">
        <v>1293</v>
      </c>
      <c r="C45" s="1912">
        <v>9.8000000000000004E-2</v>
      </c>
      <c r="D45" s="1912">
        <v>9.6000000000000002E-2</v>
      </c>
      <c r="E45" s="1912">
        <v>9.6000000000000002E-2</v>
      </c>
      <c r="F45" s="1917"/>
    </row>
    <row r="46" spans="1:6" ht="14.25" thickBot="1">
      <c r="A46" s="1342" t="s">
        <v>1381</v>
      </c>
      <c r="B46" s="1350" t="s">
        <v>1303</v>
      </c>
      <c r="C46" s="1912">
        <v>8.5999999999999993E-2</v>
      </c>
      <c r="D46" s="1912">
        <v>9.8000000000000004E-2</v>
      </c>
      <c r="E46" s="1912">
        <v>8.7999999999999995E-2</v>
      </c>
      <c r="F46" s="1917"/>
    </row>
    <row r="47" spans="1:6" ht="14.25" thickBot="1">
      <c r="A47" s="1342" t="s">
        <v>1381</v>
      </c>
      <c r="B47" s="1350" t="s">
        <v>1313</v>
      </c>
      <c r="C47" s="1912">
        <v>9.6000000000000002E-2</v>
      </c>
      <c r="D47" s="1918"/>
      <c r="E47" s="1912">
        <v>6.9000000000000006E-2</v>
      </c>
      <c r="F47" s="1917"/>
    </row>
    <row r="48" spans="1:6" ht="14.25" thickBot="1">
      <c r="A48" s="1359" t="s">
        <v>1381</v>
      </c>
      <c r="B48" s="1351" t="s">
        <v>1322</v>
      </c>
      <c r="C48" s="1914">
        <v>9.8000000000000004E-2</v>
      </c>
      <c r="D48" s="1915"/>
      <c r="E48" s="1914">
        <v>9.5000000000000001E-2</v>
      </c>
      <c r="F48" s="1916"/>
    </row>
    <row r="49" spans="1:6" ht="14.25" thickBot="1">
      <c r="A49" s="1342" t="s">
        <v>1052</v>
      </c>
      <c r="B49" s="1343" t="s">
        <v>2029</v>
      </c>
      <c r="C49" s="1910">
        <v>9.7000000000000003E-2</v>
      </c>
      <c r="D49" s="1910">
        <v>9.5000000000000001E-2</v>
      </c>
      <c r="E49" s="1910">
        <v>9.7000000000000003E-2</v>
      </c>
      <c r="F49" s="1911">
        <v>0.1</v>
      </c>
    </row>
    <row r="50" spans="1:6" ht="14.25" thickBot="1">
      <c r="A50" s="1342" t="s">
        <v>1052</v>
      </c>
      <c r="B50" s="1336" t="s">
        <v>1121</v>
      </c>
      <c r="C50" s="1912">
        <v>7.4999999999999997E-2</v>
      </c>
      <c r="D50" s="1912">
        <v>9.5000000000000001E-2</v>
      </c>
      <c r="E50" s="1912">
        <v>0.1</v>
      </c>
      <c r="F50" s="1913">
        <v>0.1</v>
      </c>
    </row>
    <row r="51" spans="1:6" ht="14.25" thickBot="1">
      <c r="A51" s="1342" t="s">
        <v>1052</v>
      </c>
      <c r="B51" s="1336" t="s">
        <v>1134</v>
      </c>
      <c r="C51" s="1912">
        <v>9.8000000000000004E-2</v>
      </c>
      <c r="D51" s="1912">
        <v>8.8999999999999996E-2</v>
      </c>
      <c r="E51" s="1912">
        <v>0.1</v>
      </c>
      <c r="F51" s="1913">
        <v>0.1</v>
      </c>
    </row>
    <row r="52" spans="1:6" ht="14.25" thickBot="1">
      <c r="A52" s="1342" t="s">
        <v>1052</v>
      </c>
      <c r="B52" s="1336" t="s">
        <v>1147</v>
      </c>
      <c r="C52" s="1912">
        <v>9.8000000000000004E-2</v>
      </c>
      <c r="D52" s="1912">
        <v>9.7000000000000003E-2</v>
      </c>
      <c r="E52" s="1912">
        <v>8.1000000000000003E-2</v>
      </c>
      <c r="F52" s="1913">
        <v>0.1</v>
      </c>
    </row>
    <row r="53" spans="1:6" ht="14.25" thickBot="1">
      <c r="A53" s="1342" t="s">
        <v>1052</v>
      </c>
      <c r="B53" s="1336" t="s">
        <v>1159</v>
      </c>
      <c r="C53" s="1912">
        <v>9.7000000000000003E-2</v>
      </c>
      <c r="D53" s="1912">
        <v>7.5999999999999998E-2</v>
      </c>
      <c r="E53" s="1912">
        <v>7.0999999999999994E-2</v>
      </c>
      <c r="F53" s="1913">
        <v>0.1</v>
      </c>
    </row>
    <row r="54" spans="1:6" ht="14.25" thickBot="1">
      <c r="A54" s="1342" t="s">
        <v>1052</v>
      </c>
      <c r="B54" s="1336" t="s">
        <v>1171</v>
      </c>
      <c r="C54" s="1912">
        <v>7.5999999999999998E-2</v>
      </c>
      <c r="D54" s="1912">
        <v>0.1</v>
      </c>
      <c r="E54" s="1912">
        <v>9.9000000000000005E-2</v>
      </c>
      <c r="F54" s="1913">
        <v>0.1</v>
      </c>
    </row>
    <row r="55" spans="1:6" ht="14.25" thickBot="1">
      <c r="A55" s="1342" t="s">
        <v>1052</v>
      </c>
      <c r="B55" s="1336" t="s">
        <v>1183</v>
      </c>
      <c r="C55" s="1912">
        <v>0.1</v>
      </c>
      <c r="D55" s="1912">
        <v>0.1</v>
      </c>
      <c r="E55" s="1912">
        <v>9.6000000000000002E-2</v>
      </c>
      <c r="F55" s="1913">
        <v>0.1</v>
      </c>
    </row>
    <row r="56" spans="1:6" ht="14.25" thickBot="1">
      <c r="A56" s="1342" t="s">
        <v>1052</v>
      </c>
      <c r="B56" s="1336" t="s">
        <v>1195</v>
      </c>
      <c r="C56" s="1912">
        <v>0.1</v>
      </c>
      <c r="D56" s="1912">
        <v>9.6000000000000002E-2</v>
      </c>
      <c r="E56" s="1912">
        <v>5.1999999999999998E-2</v>
      </c>
      <c r="F56" s="1913">
        <v>0.1</v>
      </c>
    </row>
    <row r="57" spans="1:6" ht="14.25" thickBot="1">
      <c r="A57" s="1342" t="s">
        <v>1052</v>
      </c>
      <c r="B57" s="1336" t="s">
        <v>1208</v>
      </c>
      <c r="C57" s="1912">
        <v>9.7000000000000003E-2</v>
      </c>
      <c r="D57" s="1912">
        <v>9.6000000000000002E-2</v>
      </c>
      <c r="E57" s="1912">
        <v>9.6000000000000002E-2</v>
      </c>
      <c r="F57" s="1913">
        <v>0.1</v>
      </c>
    </row>
    <row r="58" spans="1:6" ht="14.25" thickBot="1">
      <c r="A58" s="1342" t="s">
        <v>1052</v>
      </c>
      <c r="B58" s="1336" t="s">
        <v>1219</v>
      </c>
      <c r="C58" s="1912">
        <v>9.6000000000000002E-2</v>
      </c>
      <c r="D58" s="1912">
        <v>9.9000000000000005E-2</v>
      </c>
      <c r="E58" s="1912">
        <v>9.6000000000000002E-2</v>
      </c>
      <c r="F58" s="1913">
        <v>0.1</v>
      </c>
    </row>
    <row r="59" spans="1:6" ht="14.25" thickBot="1">
      <c r="A59" s="1342" t="s">
        <v>1052</v>
      </c>
      <c r="B59" s="1336" t="s">
        <v>1230</v>
      </c>
      <c r="C59" s="1912">
        <v>7.1999999999999995E-2</v>
      </c>
      <c r="D59" s="1912">
        <v>9.6000000000000002E-2</v>
      </c>
      <c r="E59" s="1912">
        <v>7.0999999999999994E-2</v>
      </c>
      <c r="F59" s="1913">
        <v>0.1</v>
      </c>
    </row>
    <row r="60" spans="1:6" ht="14.25" thickBot="1">
      <c r="A60" s="1342" t="s">
        <v>1052</v>
      </c>
      <c r="B60" s="1336" t="s">
        <v>1241</v>
      </c>
      <c r="C60" s="1912">
        <v>9.6000000000000002E-2</v>
      </c>
      <c r="D60" s="1912">
        <v>8.8999999999999996E-2</v>
      </c>
      <c r="E60" s="1912">
        <v>9.6000000000000002E-2</v>
      </c>
      <c r="F60" s="1913">
        <v>0.1</v>
      </c>
    </row>
    <row r="61" spans="1:6" ht="14.25" thickBot="1">
      <c r="A61" s="1342" t="s">
        <v>1052</v>
      </c>
      <c r="B61" s="1336" t="s">
        <v>1252</v>
      </c>
      <c r="C61" s="1912">
        <v>8.8999999999999996E-2</v>
      </c>
      <c r="D61" s="1912">
        <v>9.8000000000000004E-2</v>
      </c>
      <c r="E61" s="1912">
        <v>8.7999999999999995E-2</v>
      </c>
      <c r="F61" s="1917"/>
    </row>
    <row r="62" spans="1:6" ht="14.25" thickBot="1">
      <c r="A62" s="1342" t="s">
        <v>1052</v>
      </c>
      <c r="B62" s="1336" t="s">
        <v>1263</v>
      </c>
      <c r="C62" s="1912">
        <v>9.8000000000000004E-2</v>
      </c>
      <c r="D62" s="1912">
        <v>9.2999999999999999E-2</v>
      </c>
      <c r="E62" s="1912">
        <v>9.7000000000000003E-2</v>
      </c>
      <c r="F62" s="1917"/>
    </row>
    <row r="63" spans="1:6" ht="14.25" thickBot="1">
      <c r="A63" s="1342" t="s">
        <v>1052</v>
      </c>
      <c r="B63" s="1336" t="s">
        <v>1274</v>
      </c>
      <c r="C63" s="1912">
        <v>9.6000000000000002E-2</v>
      </c>
      <c r="D63" s="1912">
        <v>9.8000000000000004E-2</v>
      </c>
      <c r="E63" s="1912">
        <v>0.09</v>
      </c>
      <c r="F63" s="1917"/>
    </row>
    <row r="64" spans="1:6" ht="14.25" thickBot="1">
      <c r="A64" s="1342" t="s">
        <v>1052</v>
      </c>
      <c r="B64" s="1336" t="s">
        <v>1284</v>
      </c>
      <c r="C64" s="1912">
        <v>9.9000000000000005E-2</v>
      </c>
      <c r="D64" s="1912">
        <v>9.7000000000000003E-2</v>
      </c>
      <c r="E64" s="1912">
        <v>9.9000000000000005E-2</v>
      </c>
      <c r="F64" s="1917"/>
    </row>
    <row r="65" spans="1:6" ht="14.25" thickBot="1">
      <c r="A65" s="1342" t="s">
        <v>1052</v>
      </c>
      <c r="B65" s="1336" t="s">
        <v>1294</v>
      </c>
      <c r="C65" s="1912">
        <v>9.8000000000000004E-2</v>
      </c>
      <c r="D65" s="1912">
        <v>9.6000000000000002E-2</v>
      </c>
      <c r="E65" s="1912">
        <v>9.6000000000000002E-2</v>
      </c>
      <c r="F65" s="1917"/>
    </row>
    <row r="66" spans="1:6" ht="14.25" thickBot="1">
      <c r="A66" s="1342" t="s">
        <v>1052</v>
      </c>
      <c r="B66" s="1336" t="s">
        <v>1304</v>
      </c>
      <c r="C66" s="1912">
        <v>9.6000000000000002E-2</v>
      </c>
      <c r="D66" s="1912">
        <v>9.1999999999999998E-2</v>
      </c>
      <c r="E66" s="1912">
        <v>9.6000000000000002E-2</v>
      </c>
      <c r="F66" s="1917"/>
    </row>
    <row r="67" spans="1:6" ht="14.25" thickBot="1">
      <c r="A67" s="1342" t="s">
        <v>1052</v>
      </c>
      <c r="B67" s="1336" t="s">
        <v>1314</v>
      </c>
      <c r="C67" s="1912">
        <v>9.4E-2</v>
      </c>
      <c r="D67" s="1912">
        <v>0.1</v>
      </c>
      <c r="E67" s="1912">
        <v>8.7999999999999995E-2</v>
      </c>
      <c r="F67" s="1917"/>
    </row>
    <row r="68" spans="1:6" ht="14.25" thickBot="1">
      <c r="A68" s="1342" t="s">
        <v>1052</v>
      </c>
      <c r="B68" s="1336" t="s">
        <v>1323</v>
      </c>
      <c r="C68" s="1912">
        <v>0.1</v>
      </c>
      <c r="D68" s="1912">
        <v>8.7999999999999995E-2</v>
      </c>
      <c r="E68" s="1912">
        <v>9.7000000000000003E-2</v>
      </c>
      <c r="F68" s="1917"/>
    </row>
    <row r="69" spans="1:6" ht="14.25" thickBot="1">
      <c r="A69" s="1342" t="s">
        <v>1052</v>
      </c>
      <c r="B69" s="1336" t="s">
        <v>1332</v>
      </c>
      <c r="C69" s="1912">
        <v>6.4000000000000001E-2</v>
      </c>
      <c r="D69" s="1912">
        <v>0.1</v>
      </c>
      <c r="E69" s="1912">
        <v>0.1</v>
      </c>
      <c r="F69" s="1917"/>
    </row>
    <row r="70" spans="1:6" ht="14.25" thickBot="1">
      <c r="A70" s="1342" t="s">
        <v>1052</v>
      </c>
      <c r="B70" s="1336" t="s">
        <v>1340</v>
      </c>
      <c r="C70" s="1912">
        <v>9.0999999999999998E-2</v>
      </c>
      <c r="D70" s="1918"/>
      <c r="E70" s="1918"/>
      <c r="F70" s="1917"/>
    </row>
    <row r="71" spans="1:6" ht="14.25" thickBot="1">
      <c r="A71" s="1342" t="s">
        <v>1052</v>
      </c>
      <c r="B71" s="1336" t="s">
        <v>1347</v>
      </c>
      <c r="C71" s="1912">
        <v>0.1</v>
      </c>
      <c r="D71" s="1918"/>
      <c r="E71" s="1918"/>
      <c r="F71" s="1917"/>
    </row>
    <row r="72" spans="1:6" ht="14.25" thickBot="1">
      <c r="A72" s="1342" t="s">
        <v>1052</v>
      </c>
      <c r="B72" s="1336" t="s">
        <v>2030</v>
      </c>
      <c r="C72" s="1918"/>
      <c r="D72" s="1918"/>
      <c r="E72" s="1918"/>
      <c r="F72" s="1913">
        <v>0.05</v>
      </c>
    </row>
    <row r="73" spans="1:6" ht="14.25" thickBot="1">
      <c r="A73" s="1342" t="s">
        <v>1052</v>
      </c>
      <c r="B73" s="1336" t="s">
        <v>2031</v>
      </c>
      <c r="C73" s="1918"/>
      <c r="D73" s="1918"/>
      <c r="E73" s="1918"/>
      <c r="F73" s="1913">
        <v>0.05</v>
      </c>
    </row>
    <row r="74" spans="1:6" ht="14.25" thickBot="1">
      <c r="A74" s="1342" t="s">
        <v>1052</v>
      </c>
      <c r="B74" s="1336" t="s">
        <v>2032</v>
      </c>
      <c r="C74" s="1918"/>
      <c r="D74" s="1918"/>
      <c r="E74" s="1918"/>
      <c r="F74" s="1913">
        <v>0.05</v>
      </c>
    </row>
    <row r="75" spans="1:6" ht="14.25" thickBot="1">
      <c r="A75" s="1359" t="s">
        <v>1052</v>
      </c>
      <c r="B75" s="1352" t="s">
        <v>2033</v>
      </c>
      <c r="C75" s="1915"/>
      <c r="D75" s="1915"/>
      <c r="E75" s="1915"/>
      <c r="F75" s="1919">
        <v>0.05</v>
      </c>
    </row>
    <row r="76" spans="1:6" ht="14.25" thickBot="1">
      <c r="A76" s="1342" t="s">
        <v>1462</v>
      </c>
      <c r="B76" s="1343" t="s">
        <v>2034</v>
      </c>
      <c r="C76" s="1910">
        <v>0.1</v>
      </c>
      <c r="D76" s="1910">
        <v>0.1</v>
      </c>
      <c r="E76" s="1910">
        <v>0.1</v>
      </c>
      <c r="F76" s="1911">
        <v>0.1</v>
      </c>
    </row>
    <row r="77" spans="1:6" ht="14.25" thickBot="1">
      <c r="A77" s="1342" t="s">
        <v>1462</v>
      </c>
      <c r="B77" s="1336" t="s">
        <v>1122</v>
      </c>
      <c r="C77" s="1912">
        <v>8.7999999999999995E-2</v>
      </c>
      <c r="D77" s="1912">
        <v>8.6999999999999994E-2</v>
      </c>
      <c r="E77" s="1912">
        <v>7.9000000000000001E-2</v>
      </c>
      <c r="F77" s="1913">
        <v>0.1</v>
      </c>
    </row>
    <row r="78" spans="1:6" ht="14.25" thickBot="1">
      <c r="A78" s="1342" t="s">
        <v>1462</v>
      </c>
      <c r="B78" s="1336" t="s">
        <v>1135</v>
      </c>
      <c r="C78" s="1912">
        <v>8.6999999999999994E-2</v>
      </c>
      <c r="D78" s="1912">
        <v>8.4000000000000005E-2</v>
      </c>
      <c r="E78" s="1912">
        <v>9.6000000000000002E-2</v>
      </c>
      <c r="F78" s="1913">
        <v>0.1</v>
      </c>
    </row>
    <row r="79" spans="1:6" ht="14.25" thickBot="1">
      <c r="A79" s="1342" t="s">
        <v>1462</v>
      </c>
      <c r="B79" s="1336" t="s">
        <v>1148</v>
      </c>
      <c r="C79" s="1912">
        <v>9.8000000000000004E-2</v>
      </c>
      <c r="D79" s="1912">
        <v>9.8000000000000004E-2</v>
      </c>
      <c r="E79" s="1912">
        <v>9.0999999999999998E-2</v>
      </c>
      <c r="F79" s="1913">
        <v>0.1</v>
      </c>
    </row>
    <row r="80" spans="1:6" ht="14.25" thickBot="1">
      <c r="A80" s="1342" t="s">
        <v>1462</v>
      </c>
      <c r="B80" s="1336" t="s">
        <v>1160</v>
      </c>
      <c r="C80" s="1912">
        <v>9.6000000000000002E-2</v>
      </c>
      <c r="D80" s="1912">
        <v>9.6000000000000002E-2</v>
      </c>
      <c r="E80" s="1912">
        <v>0.1</v>
      </c>
      <c r="F80" s="1913">
        <v>0.1</v>
      </c>
    </row>
    <row r="81" spans="1:6" ht="14.25" thickBot="1">
      <c r="A81" s="1342" t="s">
        <v>1462</v>
      </c>
      <c r="B81" s="1336" t="s">
        <v>1172</v>
      </c>
      <c r="C81" s="1912">
        <v>9.9000000000000005E-2</v>
      </c>
      <c r="D81" s="1912">
        <v>9.9000000000000005E-2</v>
      </c>
      <c r="E81" s="1912">
        <v>9.8000000000000004E-2</v>
      </c>
      <c r="F81" s="1913">
        <v>0.1</v>
      </c>
    </row>
    <row r="82" spans="1:6" ht="14.25" thickBot="1">
      <c r="A82" s="1342" t="s">
        <v>1462</v>
      </c>
      <c r="B82" s="1336" t="s">
        <v>1184</v>
      </c>
      <c r="C82" s="1912">
        <v>9.9000000000000005E-2</v>
      </c>
      <c r="D82" s="1912">
        <v>9.9000000000000005E-2</v>
      </c>
      <c r="E82" s="1912">
        <v>9.7000000000000003E-2</v>
      </c>
      <c r="F82" s="1913">
        <v>0.1</v>
      </c>
    </row>
    <row r="83" spans="1:6" ht="14.25" thickBot="1">
      <c r="A83" s="1342" t="s">
        <v>1462</v>
      </c>
      <c r="B83" s="1336" t="s">
        <v>1196</v>
      </c>
      <c r="C83" s="1912">
        <v>9.8000000000000004E-2</v>
      </c>
      <c r="D83" s="1912">
        <v>9.8000000000000004E-2</v>
      </c>
      <c r="E83" s="1912">
        <v>9.8000000000000004E-2</v>
      </c>
      <c r="F83" s="1913">
        <v>0.1</v>
      </c>
    </row>
    <row r="84" spans="1:6" ht="14.25" thickBot="1">
      <c r="A84" s="1342" t="s">
        <v>1462</v>
      </c>
      <c r="B84" s="1336" t="s">
        <v>1209</v>
      </c>
      <c r="C84" s="1912">
        <v>9.9000000000000005E-2</v>
      </c>
      <c r="D84" s="1912">
        <v>9.9000000000000005E-2</v>
      </c>
      <c r="E84" s="1912">
        <v>9.9000000000000005E-2</v>
      </c>
      <c r="F84" s="1913">
        <v>0.1</v>
      </c>
    </row>
    <row r="85" spans="1:6" ht="14.25" thickBot="1">
      <c r="A85" s="1342" t="s">
        <v>1462</v>
      </c>
      <c r="B85" s="1336" t="s">
        <v>1220</v>
      </c>
      <c r="C85" s="1912">
        <v>9.9000000000000005E-2</v>
      </c>
      <c r="D85" s="1912">
        <v>9.9000000000000005E-2</v>
      </c>
      <c r="E85" s="1912">
        <v>9.9000000000000005E-2</v>
      </c>
      <c r="F85" s="1913">
        <v>0.1</v>
      </c>
    </row>
    <row r="86" spans="1:6" ht="14.25" thickBot="1">
      <c r="A86" s="1342" t="s">
        <v>1462</v>
      </c>
      <c r="B86" s="1336" t="s">
        <v>1231</v>
      </c>
      <c r="C86" s="1912">
        <v>0.1</v>
      </c>
      <c r="D86" s="1912">
        <v>0.1</v>
      </c>
      <c r="E86" s="1912">
        <v>7.6999999999999999E-2</v>
      </c>
      <c r="F86" s="1913">
        <v>0.1</v>
      </c>
    </row>
    <row r="87" spans="1:6" ht="14.25" thickBot="1">
      <c r="A87" s="1342" t="s">
        <v>1462</v>
      </c>
      <c r="B87" s="1336" t="s">
        <v>1242</v>
      </c>
      <c r="C87" s="1912">
        <v>0.1</v>
      </c>
      <c r="D87" s="1912">
        <v>0.1</v>
      </c>
      <c r="E87" s="1912">
        <v>9.8000000000000004E-2</v>
      </c>
      <c r="F87" s="1917"/>
    </row>
    <row r="88" spans="1:6" ht="14.25" thickBot="1">
      <c r="A88" s="1342" t="s">
        <v>1462</v>
      </c>
      <c r="B88" s="1336" t="s">
        <v>1253</v>
      </c>
      <c r="C88" s="1912">
        <v>9.1999999999999998E-2</v>
      </c>
      <c r="D88" s="1912">
        <v>8.5000000000000006E-2</v>
      </c>
      <c r="E88" s="1912">
        <v>9.6000000000000002E-2</v>
      </c>
      <c r="F88" s="1917"/>
    </row>
    <row r="89" spans="1:6" ht="14.25" thickBot="1">
      <c r="A89" s="1342" t="s">
        <v>1462</v>
      </c>
      <c r="B89" s="1336" t="s">
        <v>1264</v>
      </c>
      <c r="C89" s="1912">
        <v>0.1</v>
      </c>
      <c r="D89" s="1912">
        <v>0.1</v>
      </c>
      <c r="E89" s="1912">
        <v>9.7000000000000003E-2</v>
      </c>
      <c r="F89" s="1917"/>
    </row>
    <row r="90" spans="1:6" ht="14.25" thickBot="1">
      <c r="A90" s="1342" t="s">
        <v>1462</v>
      </c>
      <c r="B90" s="1336" t="s">
        <v>1275</v>
      </c>
      <c r="C90" s="1912">
        <v>9.8000000000000004E-2</v>
      </c>
      <c r="D90" s="1912">
        <v>9.8000000000000004E-2</v>
      </c>
      <c r="E90" s="1912">
        <v>8.7999999999999995E-2</v>
      </c>
      <c r="F90" s="1917"/>
    </row>
    <row r="91" spans="1:6" ht="14.25" thickBot="1">
      <c r="A91" s="1342" t="s">
        <v>1462</v>
      </c>
      <c r="B91" s="1336" t="s">
        <v>1285</v>
      </c>
      <c r="C91" s="1912">
        <v>9.9000000000000005E-2</v>
      </c>
      <c r="D91" s="1912">
        <v>9.9000000000000005E-2</v>
      </c>
      <c r="E91" s="1912">
        <v>9.0999999999999998E-2</v>
      </c>
      <c r="F91" s="1917"/>
    </row>
    <row r="92" spans="1:6" ht="14.25" thickBot="1">
      <c r="A92" s="1342" t="s">
        <v>1462</v>
      </c>
      <c r="B92" s="1336" t="s">
        <v>1295</v>
      </c>
      <c r="C92" s="1912">
        <v>9.6000000000000002E-2</v>
      </c>
      <c r="D92" s="1912">
        <v>9.6000000000000002E-2</v>
      </c>
      <c r="E92" s="1912">
        <v>7.2999999999999995E-2</v>
      </c>
      <c r="F92" s="1917"/>
    </row>
    <row r="93" spans="1:6" ht="14.25" thickBot="1">
      <c r="A93" s="1342" t="s">
        <v>1462</v>
      </c>
      <c r="B93" s="1336" t="s">
        <v>1305</v>
      </c>
      <c r="C93" s="1912">
        <v>9.6000000000000002E-2</v>
      </c>
      <c r="D93" s="1912">
        <v>9.6000000000000002E-2</v>
      </c>
      <c r="E93" s="1912">
        <v>9.9000000000000005E-2</v>
      </c>
      <c r="F93" s="1917"/>
    </row>
    <row r="94" spans="1:6" ht="14.25" thickBot="1">
      <c r="A94" s="1342" t="s">
        <v>1462</v>
      </c>
      <c r="B94" s="1336" t="s">
        <v>1315</v>
      </c>
      <c r="C94" s="1912">
        <v>7.5999999999999998E-2</v>
      </c>
      <c r="D94" s="1912">
        <v>7.3999999999999996E-2</v>
      </c>
      <c r="E94" s="1912">
        <v>9.7000000000000003E-2</v>
      </c>
      <c r="F94" s="1917"/>
    </row>
    <row r="95" spans="1:6" ht="14.25" thickBot="1">
      <c r="A95" s="1342" t="s">
        <v>1462</v>
      </c>
      <c r="B95" s="1336" t="s">
        <v>1324</v>
      </c>
      <c r="C95" s="1912">
        <v>9.9000000000000005E-2</v>
      </c>
      <c r="D95" s="1912">
        <v>9.4E-2</v>
      </c>
      <c r="E95" s="1912">
        <v>9.6000000000000002E-2</v>
      </c>
      <c r="F95" s="1917"/>
    </row>
    <row r="96" spans="1:6" ht="14.25" thickBot="1">
      <c r="A96" s="1342" t="s">
        <v>1462</v>
      </c>
      <c r="B96" s="1336" t="s">
        <v>1333</v>
      </c>
      <c r="C96" s="1912">
        <v>9.9000000000000005E-2</v>
      </c>
      <c r="D96" s="1912">
        <v>9.9000000000000005E-2</v>
      </c>
      <c r="E96" s="1912">
        <v>9.9000000000000005E-2</v>
      </c>
      <c r="F96" s="1917"/>
    </row>
    <row r="97" spans="1:6" ht="14.25" thickBot="1">
      <c r="A97" s="1342" t="s">
        <v>1462</v>
      </c>
      <c r="B97" s="1336" t="s">
        <v>1341</v>
      </c>
      <c r="C97" s="1912">
        <v>9.8000000000000004E-2</v>
      </c>
      <c r="D97" s="1912">
        <v>9.8000000000000004E-2</v>
      </c>
      <c r="E97" s="1912">
        <v>9.7000000000000003E-2</v>
      </c>
      <c r="F97" s="1917"/>
    </row>
    <row r="98" spans="1:6" ht="14.25" thickBot="1">
      <c r="A98" s="1342" t="s">
        <v>1462</v>
      </c>
      <c r="B98" s="1336" t="s">
        <v>1348</v>
      </c>
      <c r="C98" s="1912">
        <v>0.1</v>
      </c>
      <c r="D98" s="1912">
        <v>0.1</v>
      </c>
      <c r="E98" s="1912">
        <v>9.7000000000000003E-2</v>
      </c>
      <c r="F98" s="1917"/>
    </row>
    <row r="99" spans="1:6" ht="14.25" thickBot="1">
      <c r="A99" s="1342" t="s">
        <v>1462</v>
      </c>
      <c r="B99" s="1336" t="s">
        <v>1355</v>
      </c>
      <c r="C99" s="1912">
        <v>0.1</v>
      </c>
      <c r="D99" s="1912">
        <v>0.1</v>
      </c>
      <c r="E99" s="1918"/>
      <c r="F99" s="1917"/>
    </row>
    <row r="100" spans="1:6" ht="14.25" thickBot="1">
      <c r="A100" s="1342" t="s">
        <v>1462</v>
      </c>
      <c r="B100" s="1336" t="s">
        <v>1362</v>
      </c>
      <c r="C100" s="1912">
        <v>0.09</v>
      </c>
      <c r="D100" s="1912">
        <v>8.8999999999999996E-2</v>
      </c>
      <c r="E100" s="1918"/>
      <c r="F100" s="1917"/>
    </row>
    <row r="101" spans="1:6" ht="14.25" thickBot="1">
      <c r="A101" s="1342" t="s">
        <v>1462</v>
      </c>
      <c r="B101" s="1336" t="s">
        <v>1369</v>
      </c>
      <c r="C101" s="1912">
        <v>9.8000000000000004E-2</v>
      </c>
      <c r="D101" s="1912">
        <v>9.7000000000000003E-2</v>
      </c>
      <c r="E101" s="1918"/>
      <c r="F101" s="1917"/>
    </row>
    <row r="102" spans="1:6" ht="14.25" thickBot="1">
      <c r="A102" s="1342" t="s">
        <v>1462</v>
      </c>
      <c r="B102" s="1336" t="s">
        <v>2035</v>
      </c>
      <c r="C102" s="1918"/>
      <c r="D102" s="1918"/>
      <c r="E102" s="1918"/>
      <c r="F102" s="1913">
        <v>0.05</v>
      </c>
    </row>
    <row r="103" spans="1:6" ht="24.75" thickBot="1">
      <c r="A103" s="1342" t="s">
        <v>1462</v>
      </c>
      <c r="B103" s="1336" t="s">
        <v>2036</v>
      </c>
      <c r="C103" s="1918"/>
      <c r="D103" s="1918"/>
      <c r="E103" s="1918"/>
      <c r="F103" s="1913">
        <v>0.05</v>
      </c>
    </row>
    <row r="104" spans="1:6" ht="14.25" thickBot="1">
      <c r="A104" s="1342" t="s">
        <v>1462</v>
      </c>
      <c r="B104" s="1336" t="s">
        <v>2037</v>
      </c>
      <c r="C104" s="1918"/>
      <c r="D104" s="1918"/>
      <c r="E104" s="1918"/>
      <c r="F104" s="1913">
        <v>0.05</v>
      </c>
    </row>
    <row r="105" spans="1:6" ht="14.25" thickBot="1">
      <c r="A105" s="1342" t="s">
        <v>1462</v>
      </c>
      <c r="B105" s="1336" t="s">
        <v>2038</v>
      </c>
      <c r="C105" s="1918"/>
      <c r="D105" s="1918"/>
      <c r="E105" s="1918"/>
      <c r="F105" s="1913">
        <v>0.05</v>
      </c>
    </row>
    <row r="106" spans="1:6" ht="14.25" thickBot="1">
      <c r="A106" s="1342" t="s">
        <v>1462</v>
      </c>
      <c r="B106" s="1336" t="s">
        <v>2039</v>
      </c>
      <c r="C106" s="1918"/>
      <c r="D106" s="1918"/>
      <c r="E106" s="1918"/>
      <c r="F106" s="1913">
        <v>0.05</v>
      </c>
    </row>
    <row r="107" spans="1:6" ht="24.75" thickBot="1">
      <c r="A107" s="1342" t="s">
        <v>1462</v>
      </c>
      <c r="B107" s="1336" t="s">
        <v>2040</v>
      </c>
      <c r="C107" s="1918"/>
      <c r="D107" s="1918"/>
      <c r="E107" s="1918"/>
      <c r="F107" s="1913">
        <v>0.05</v>
      </c>
    </row>
    <row r="108" spans="1:6" ht="24.75" thickBot="1">
      <c r="A108" s="1342" t="s">
        <v>1462</v>
      </c>
      <c r="B108" s="1336" t="s">
        <v>2041</v>
      </c>
      <c r="C108" s="1918"/>
      <c r="D108" s="1918"/>
      <c r="E108" s="1918"/>
      <c r="F108" s="1913">
        <v>0.05</v>
      </c>
    </row>
    <row r="109" spans="1:6" ht="24.75" thickBot="1">
      <c r="A109" s="1359" t="s">
        <v>1462</v>
      </c>
      <c r="B109" s="1352" t="s">
        <v>2042</v>
      </c>
      <c r="C109" s="1915"/>
      <c r="D109" s="1915"/>
      <c r="E109" s="1915"/>
      <c r="F109" s="1919">
        <v>0.05</v>
      </c>
    </row>
    <row r="110" spans="1:6" ht="14.25" thickBot="1">
      <c r="A110" s="1342" t="s">
        <v>210</v>
      </c>
      <c r="B110" s="1343" t="s">
        <v>2043</v>
      </c>
      <c r="C110" s="1910">
        <v>0.129</v>
      </c>
      <c r="D110" s="1910">
        <v>0.129</v>
      </c>
      <c r="E110" s="1910">
        <v>0.126</v>
      </c>
      <c r="F110" s="1911">
        <v>0.13</v>
      </c>
    </row>
    <row r="111" spans="1:6" ht="14.25" thickBot="1">
      <c r="A111" s="1342" t="s">
        <v>210</v>
      </c>
      <c r="B111" s="1336" t="s">
        <v>1123</v>
      </c>
      <c r="C111" s="1912">
        <v>0.11</v>
      </c>
      <c r="D111" s="1912">
        <v>0.11</v>
      </c>
      <c r="E111" s="1912">
        <v>9.9000000000000005E-2</v>
      </c>
      <c r="F111" s="1913">
        <v>0.128</v>
      </c>
    </row>
    <row r="112" spans="1:6" ht="14.25" thickBot="1">
      <c r="A112" s="1342" t="s">
        <v>210</v>
      </c>
      <c r="B112" s="1336" t="s">
        <v>1136</v>
      </c>
      <c r="C112" s="1912">
        <v>0.125</v>
      </c>
      <c r="D112" s="1912">
        <v>0.125</v>
      </c>
      <c r="E112" s="1912">
        <v>0.12</v>
      </c>
      <c r="F112" s="1913">
        <v>0.125</v>
      </c>
    </row>
    <row r="113" spans="1:6" ht="14.25" thickBot="1">
      <c r="A113" s="1342" t="s">
        <v>210</v>
      </c>
      <c r="B113" s="1336" t="s">
        <v>1149</v>
      </c>
      <c r="C113" s="1912">
        <v>0.13</v>
      </c>
      <c r="D113" s="1912">
        <v>0.13</v>
      </c>
      <c r="E113" s="1912">
        <v>0.13</v>
      </c>
      <c r="F113" s="1913">
        <v>0.13</v>
      </c>
    </row>
    <row r="114" spans="1:6" ht="14.25" thickBot="1">
      <c r="A114" s="1342" t="s">
        <v>210</v>
      </c>
      <c r="B114" s="1336" t="s">
        <v>1161</v>
      </c>
      <c r="C114" s="1912">
        <v>0.123</v>
      </c>
      <c r="D114" s="1912">
        <v>0.123</v>
      </c>
      <c r="E114" s="1912">
        <v>0.12</v>
      </c>
      <c r="F114" s="1913">
        <v>0.13</v>
      </c>
    </row>
    <row r="115" spans="1:6" ht="14.25" thickBot="1">
      <c r="A115" s="1342" t="s">
        <v>210</v>
      </c>
      <c r="B115" s="1336" t="s">
        <v>1173</v>
      </c>
      <c r="C115" s="1912">
        <v>0.125</v>
      </c>
      <c r="D115" s="1912">
        <v>0.125</v>
      </c>
      <c r="E115" s="1912">
        <v>0.11700000000000001</v>
      </c>
      <c r="F115" s="1913">
        <v>0.13</v>
      </c>
    </row>
    <row r="116" spans="1:6" ht="14.25" thickBot="1">
      <c r="A116" s="1342" t="s">
        <v>210</v>
      </c>
      <c r="B116" s="1336" t="s">
        <v>1185</v>
      </c>
      <c r="C116" s="1912">
        <v>0.11700000000000001</v>
      </c>
      <c r="D116" s="1912">
        <v>0.11700000000000001</v>
      </c>
      <c r="E116" s="1912">
        <v>8.7999999999999995E-2</v>
      </c>
      <c r="F116" s="1913">
        <v>0.13</v>
      </c>
    </row>
    <row r="117" spans="1:6" ht="14.25" thickBot="1">
      <c r="A117" s="1342" t="s">
        <v>210</v>
      </c>
      <c r="B117" s="1336" t="s">
        <v>1197</v>
      </c>
      <c r="C117" s="1912">
        <v>0.13</v>
      </c>
      <c r="D117" s="1912">
        <v>0.13</v>
      </c>
      <c r="E117" s="1912">
        <v>0.129</v>
      </c>
      <c r="F117" s="1913">
        <v>0.13</v>
      </c>
    </row>
    <row r="118" spans="1:6" ht="14.25" thickBot="1">
      <c r="A118" s="1342" t="s">
        <v>210</v>
      </c>
      <c r="B118" s="1336" t="s">
        <v>1210</v>
      </c>
      <c r="C118" s="1912">
        <v>0.123</v>
      </c>
      <c r="D118" s="1912">
        <v>0.123</v>
      </c>
      <c r="E118" s="1912">
        <v>0.11600000000000001</v>
      </c>
      <c r="F118" s="1913">
        <v>0.13</v>
      </c>
    </row>
    <row r="119" spans="1:6" ht="14.25" thickBot="1">
      <c r="A119" s="1342" t="s">
        <v>210</v>
      </c>
      <c r="B119" s="1336" t="s">
        <v>1221</v>
      </c>
      <c r="C119" s="1912">
        <v>0.127</v>
      </c>
      <c r="D119" s="1912">
        <v>0.127</v>
      </c>
      <c r="E119" s="1912">
        <v>0.124</v>
      </c>
      <c r="F119" s="1913">
        <v>0.13</v>
      </c>
    </row>
    <row r="120" spans="1:6" ht="14.25" thickBot="1">
      <c r="A120" s="1342" t="s">
        <v>210</v>
      </c>
      <c r="B120" s="1336" t="s">
        <v>1232</v>
      </c>
      <c r="C120" s="1912">
        <v>0.125</v>
      </c>
      <c r="D120" s="1912">
        <v>0.125</v>
      </c>
      <c r="E120" s="1912">
        <v>0.122</v>
      </c>
      <c r="F120" s="1913">
        <v>0.13</v>
      </c>
    </row>
    <row r="121" spans="1:6" ht="14.25" thickBot="1">
      <c r="A121" s="1342" t="s">
        <v>210</v>
      </c>
      <c r="B121" s="1336" t="s">
        <v>1243</v>
      </c>
      <c r="C121" s="1912">
        <v>0.13</v>
      </c>
      <c r="D121" s="1912">
        <v>0.13</v>
      </c>
      <c r="E121" s="1912">
        <v>0.13</v>
      </c>
      <c r="F121" s="1913">
        <v>0.13</v>
      </c>
    </row>
    <row r="122" spans="1:6" ht="14.25" thickBot="1">
      <c r="A122" s="1342" t="s">
        <v>210</v>
      </c>
      <c r="B122" s="1336" t="s">
        <v>1254</v>
      </c>
      <c r="C122" s="1912">
        <v>0.13</v>
      </c>
      <c r="D122" s="1912">
        <v>0.13</v>
      </c>
      <c r="E122" s="1912">
        <v>0.125</v>
      </c>
      <c r="F122" s="1913">
        <v>0.13</v>
      </c>
    </row>
    <row r="123" spans="1:6" ht="14.25" thickBot="1">
      <c r="A123" s="1342" t="s">
        <v>210</v>
      </c>
      <c r="B123" s="1336" t="s">
        <v>1265</v>
      </c>
      <c r="C123" s="1912">
        <v>0.129</v>
      </c>
      <c r="D123" s="1912">
        <v>0.129</v>
      </c>
      <c r="E123" s="1912">
        <v>0.123</v>
      </c>
      <c r="F123" s="1913">
        <v>0.13</v>
      </c>
    </row>
    <row r="124" spans="1:6" ht="14.25" thickBot="1">
      <c r="A124" s="1342" t="s">
        <v>210</v>
      </c>
      <c r="B124" s="1336" t="s">
        <v>1276</v>
      </c>
      <c r="C124" s="1912">
        <v>0.10199999999999999</v>
      </c>
      <c r="D124" s="1912">
        <v>0.10100000000000001</v>
      </c>
      <c r="E124" s="1912">
        <v>0.08</v>
      </c>
      <c r="F124" s="1917"/>
    </row>
    <row r="125" spans="1:6" ht="14.25" thickBot="1">
      <c r="A125" s="1342" t="s">
        <v>210</v>
      </c>
      <c r="B125" s="1336" t="s">
        <v>1286</v>
      </c>
      <c r="C125" s="1912">
        <v>0.13</v>
      </c>
      <c r="D125" s="1912">
        <v>0.13</v>
      </c>
      <c r="E125" s="1912">
        <v>0.129</v>
      </c>
      <c r="F125" s="1917"/>
    </row>
    <row r="126" spans="1:6" ht="14.25" thickBot="1">
      <c r="A126" s="1342" t="s">
        <v>210</v>
      </c>
      <c r="B126" s="1336" t="s">
        <v>1296</v>
      </c>
      <c r="C126" s="1912">
        <v>0.13</v>
      </c>
      <c r="D126" s="1912">
        <v>0.13</v>
      </c>
      <c r="E126" s="1912">
        <v>0.126</v>
      </c>
      <c r="F126" s="1917"/>
    </row>
    <row r="127" spans="1:6" ht="14.25" thickBot="1">
      <c r="A127" s="1342" t="s">
        <v>210</v>
      </c>
      <c r="B127" s="1336" t="s">
        <v>1306</v>
      </c>
      <c r="C127" s="1912">
        <v>0.125</v>
      </c>
      <c r="D127" s="1912">
        <v>0.125</v>
      </c>
      <c r="E127" s="1912">
        <v>0.121</v>
      </c>
      <c r="F127" s="1917"/>
    </row>
    <row r="128" spans="1:6" ht="14.25" thickBot="1">
      <c r="A128" s="1342" t="s">
        <v>210</v>
      </c>
      <c r="B128" s="1336" t="s">
        <v>1316</v>
      </c>
      <c r="C128" s="1912">
        <v>0.12</v>
      </c>
      <c r="D128" s="1912">
        <v>0.12</v>
      </c>
      <c r="E128" s="1912">
        <v>0.105</v>
      </c>
      <c r="F128" s="1917"/>
    </row>
    <row r="129" spans="1:6" ht="14.25" thickBot="1">
      <c r="A129" s="1342" t="s">
        <v>210</v>
      </c>
      <c r="B129" s="1336" t="s">
        <v>1325</v>
      </c>
      <c r="C129" s="1912">
        <v>0.13</v>
      </c>
      <c r="D129" s="1912">
        <v>0.13</v>
      </c>
      <c r="E129" s="1912">
        <v>0.126</v>
      </c>
      <c r="F129" s="1917"/>
    </row>
    <row r="130" spans="1:6" ht="14.25" thickBot="1">
      <c r="A130" s="1342" t="s">
        <v>210</v>
      </c>
      <c r="B130" s="1336" t="s">
        <v>1334</v>
      </c>
      <c r="C130" s="1912">
        <v>0.125</v>
      </c>
      <c r="D130" s="1912">
        <v>0.125</v>
      </c>
      <c r="E130" s="1912">
        <v>0.122</v>
      </c>
      <c r="F130" s="1917"/>
    </row>
    <row r="131" spans="1:6" ht="14.25" thickBot="1">
      <c r="A131" s="1342" t="s">
        <v>210</v>
      </c>
      <c r="B131" s="1336" t="s">
        <v>1342</v>
      </c>
      <c r="C131" s="1912">
        <v>0.127</v>
      </c>
      <c r="D131" s="1912">
        <v>0.126</v>
      </c>
      <c r="E131" s="1912">
        <v>0.123</v>
      </c>
      <c r="F131" s="1917"/>
    </row>
    <row r="132" spans="1:6" ht="14.25" thickBot="1">
      <c r="A132" s="1342" t="s">
        <v>210</v>
      </c>
      <c r="B132" s="1336" t="s">
        <v>1349</v>
      </c>
      <c r="C132" s="1912">
        <v>9.0999999999999998E-2</v>
      </c>
      <c r="D132" s="1912">
        <v>0.121</v>
      </c>
      <c r="E132" s="1912">
        <v>9.9000000000000005E-2</v>
      </c>
      <c r="F132" s="1917"/>
    </row>
    <row r="133" spans="1:6" ht="14.25" thickBot="1">
      <c r="A133" s="1342" t="s">
        <v>210</v>
      </c>
      <c r="B133" s="1336" t="s">
        <v>1356</v>
      </c>
      <c r="C133" s="1912">
        <v>0.13</v>
      </c>
      <c r="D133" s="1912">
        <v>0.13</v>
      </c>
      <c r="E133" s="1912">
        <v>0.129</v>
      </c>
      <c r="F133" s="1917"/>
    </row>
    <row r="134" spans="1:6" ht="14.25" thickBot="1">
      <c r="A134" s="1342" t="s">
        <v>210</v>
      </c>
      <c r="B134" s="1336" t="s">
        <v>2044</v>
      </c>
      <c r="C134" s="1912">
        <v>6.8000000000000005E-2</v>
      </c>
      <c r="D134" s="1912">
        <v>6.5000000000000002E-2</v>
      </c>
      <c r="E134" s="1912">
        <v>6.5000000000000002E-2</v>
      </c>
      <c r="F134" s="1913">
        <v>0.13</v>
      </c>
    </row>
    <row r="135" spans="1:6" ht="14.25" thickBot="1">
      <c r="A135" s="1342" t="s">
        <v>210</v>
      </c>
      <c r="B135" s="1336" t="s">
        <v>1370</v>
      </c>
      <c r="C135" s="1912">
        <v>0.123</v>
      </c>
      <c r="D135" s="1912">
        <v>0.123</v>
      </c>
      <c r="E135" s="1912">
        <v>0.11</v>
      </c>
      <c r="F135" s="1917"/>
    </row>
    <row r="136" spans="1:6" ht="14.25" thickBot="1">
      <c r="A136" s="1342" t="s">
        <v>210</v>
      </c>
      <c r="B136" s="1336" t="s">
        <v>1377</v>
      </c>
      <c r="C136" s="1912">
        <v>0.13</v>
      </c>
      <c r="D136" s="1912">
        <v>0.13</v>
      </c>
      <c r="E136" s="1912">
        <v>0.125</v>
      </c>
      <c r="F136" s="1917"/>
    </row>
    <row r="137" spans="1:6" ht="14.25" thickBot="1">
      <c r="A137" s="1342" t="s">
        <v>210</v>
      </c>
      <c r="B137" s="1336" t="s">
        <v>1384</v>
      </c>
      <c r="C137" s="1912">
        <v>0.121</v>
      </c>
      <c r="D137" s="1912">
        <v>0.122</v>
      </c>
      <c r="E137" s="1912">
        <v>0.115</v>
      </c>
      <c r="F137" s="1917"/>
    </row>
    <row r="138" spans="1:6" ht="14.25" thickBot="1">
      <c r="A138" s="1342" t="s">
        <v>210</v>
      </c>
      <c r="B138" s="1336" t="s">
        <v>2045</v>
      </c>
      <c r="C138" s="1912">
        <v>0.105</v>
      </c>
      <c r="D138" s="1912">
        <v>0.125</v>
      </c>
      <c r="E138" s="1912">
        <v>0.112</v>
      </c>
      <c r="F138" s="1917"/>
    </row>
    <row r="139" spans="1:6" ht="14.25" thickBot="1">
      <c r="A139" s="1342" t="s">
        <v>210</v>
      </c>
      <c r="B139" s="1336" t="s">
        <v>2046</v>
      </c>
      <c r="C139" s="1912">
        <v>0.127</v>
      </c>
      <c r="D139" s="1912">
        <v>0.127</v>
      </c>
      <c r="E139" s="1912">
        <v>0.122</v>
      </c>
      <c r="F139" s="1913">
        <v>0.13</v>
      </c>
    </row>
    <row r="140" spans="1:6" ht="14.25" thickBot="1">
      <c r="A140" s="1342" t="s">
        <v>210</v>
      </c>
      <c r="B140" s="1336" t="s">
        <v>2047</v>
      </c>
      <c r="C140" s="1912">
        <v>0.125</v>
      </c>
      <c r="D140" s="1912">
        <v>0.125</v>
      </c>
      <c r="E140" s="1912">
        <v>0.11899999999999999</v>
      </c>
      <c r="F140" s="1913">
        <v>0.13</v>
      </c>
    </row>
    <row r="141" spans="1:6" ht="14.25" thickBot="1">
      <c r="A141" s="1342" t="s">
        <v>210</v>
      </c>
      <c r="B141" s="1336" t="s">
        <v>1403</v>
      </c>
      <c r="C141" s="1912">
        <v>0.125</v>
      </c>
      <c r="D141" s="1912">
        <v>0.125</v>
      </c>
      <c r="E141" s="1912">
        <v>0.11700000000000001</v>
      </c>
      <c r="F141" s="1917"/>
    </row>
    <row r="142" spans="1:6" ht="14.25" thickBot="1">
      <c r="A142" s="1342" t="s">
        <v>210</v>
      </c>
      <c r="B142" s="1336" t="s">
        <v>1408</v>
      </c>
      <c r="C142" s="1912">
        <v>0.125</v>
      </c>
      <c r="D142" s="1912">
        <v>0.125</v>
      </c>
      <c r="E142" s="1912">
        <v>0.115</v>
      </c>
      <c r="F142" s="1917"/>
    </row>
    <row r="143" spans="1:6" ht="14.25" thickBot="1">
      <c r="A143" s="1342" t="s">
        <v>210</v>
      </c>
      <c r="B143" s="1336" t="s">
        <v>1413</v>
      </c>
      <c r="C143" s="1912">
        <v>0.121</v>
      </c>
      <c r="D143" s="1912">
        <v>0.121</v>
      </c>
      <c r="E143" s="1912">
        <v>0.108</v>
      </c>
      <c r="F143" s="1917"/>
    </row>
    <row r="144" spans="1:6" ht="14.25" thickBot="1">
      <c r="A144" s="1342" t="s">
        <v>210</v>
      </c>
      <c r="B144" s="1920" t="s">
        <v>2048</v>
      </c>
      <c r="C144" s="1921">
        <v>0.126</v>
      </c>
      <c r="D144" s="1921">
        <v>0.126</v>
      </c>
      <c r="E144" s="1921">
        <v>0.121</v>
      </c>
      <c r="F144" s="1917"/>
    </row>
    <row r="145" spans="1:6" ht="14.25" thickBot="1">
      <c r="A145" s="1359" t="s">
        <v>210</v>
      </c>
      <c r="B145" s="1922" t="s">
        <v>2049</v>
      </c>
      <c r="C145" s="1923"/>
      <c r="D145" s="1923"/>
      <c r="E145" s="1923"/>
      <c r="F145" s="1924">
        <v>0.05</v>
      </c>
    </row>
    <row r="146" spans="1:6" ht="24.75" thickBot="1">
      <c r="A146" s="1925" t="s">
        <v>210</v>
      </c>
      <c r="B146" s="1350" t="s">
        <v>2050</v>
      </c>
      <c r="C146" s="1918"/>
      <c r="D146" s="1918"/>
      <c r="E146" s="1918"/>
      <c r="F146" s="1926">
        <v>0.05</v>
      </c>
    </row>
    <row r="147" spans="1:6" ht="24.75" thickBot="1">
      <c r="A147" s="1342" t="s">
        <v>210</v>
      </c>
      <c r="B147" s="1336" t="s">
        <v>2051</v>
      </c>
      <c r="C147" s="1918"/>
      <c r="D147" s="1918"/>
      <c r="E147" s="1918"/>
      <c r="F147" s="1913">
        <v>0.05</v>
      </c>
    </row>
    <row r="148" spans="1:6" ht="24.75" thickBot="1">
      <c r="A148" s="1342" t="s">
        <v>210</v>
      </c>
      <c r="B148" s="1336" t="s">
        <v>2052</v>
      </c>
      <c r="C148" s="1918"/>
      <c r="D148" s="1918"/>
      <c r="E148" s="1918"/>
      <c r="F148" s="1913">
        <v>0.05</v>
      </c>
    </row>
    <row r="149" spans="1:6" ht="24.75" thickBot="1">
      <c r="A149" s="1342" t="s">
        <v>210</v>
      </c>
      <c r="B149" s="1336" t="s">
        <v>2053</v>
      </c>
      <c r="C149" s="1918"/>
      <c r="D149" s="1918"/>
      <c r="E149" s="1918"/>
      <c r="F149" s="1913">
        <v>0.05</v>
      </c>
    </row>
    <row r="150" spans="1:6" ht="24.75" thickBot="1">
      <c r="A150" s="1342" t="s">
        <v>210</v>
      </c>
      <c r="B150" s="1336" t="s">
        <v>2054</v>
      </c>
      <c r="C150" s="1918"/>
      <c r="D150" s="1918"/>
      <c r="E150" s="1918"/>
      <c r="F150" s="1913">
        <v>0.05</v>
      </c>
    </row>
    <row r="151" spans="1:6" ht="24.75" thickBot="1">
      <c r="A151" s="1342" t="s">
        <v>210</v>
      </c>
      <c r="B151" s="1336" t="s">
        <v>2055</v>
      </c>
      <c r="C151" s="1918"/>
      <c r="D151" s="1918"/>
      <c r="E151" s="1918"/>
      <c r="F151" s="1913">
        <v>0.05</v>
      </c>
    </row>
    <row r="152" spans="1:6" ht="24.75" thickBot="1">
      <c r="A152" s="1342" t="s">
        <v>210</v>
      </c>
      <c r="B152" s="1336" t="s">
        <v>1446</v>
      </c>
      <c r="C152" s="1918"/>
      <c r="D152" s="1918"/>
      <c r="E152" s="1918"/>
      <c r="F152" s="1913">
        <v>0.05</v>
      </c>
    </row>
    <row r="153" spans="1:6" ht="14.25" thickBot="1">
      <c r="A153" s="1342" t="s">
        <v>210</v>
      </c>
      <c r="B153" s="1336" t="s">
        <v>2056</v>
      </c>
      <c r="C153" s="1918"/>
      <c r="D153" s="1918"/>
      <c r="E153" s="1918"/>
      <c r="F153" s="1913">
        <v>0.05</v>
      </c>
    </row>
    <row r="154" spans="1:6" ht="14.25" thickBot="1">
      <c r="A154" s="1342" t="s">
        <v>210</v>
      </c>
      <c r="B154" s="1336" t="s">
        <v>2057</v>
      </c>
      <c r="C154" s="1918"/>
      <c r="D154" s="1918"/>
      <c r="E154" s="1918"/>
      <c r="F154" s="1913">
        <v>0.05</v>
      </c>
    </row>
    <row r="155" spans="1:6" ht="24.75" thickBot="1">
      <c r="A155" s="1342" t="s">
        <v>210</v>
      </c>
      <c r="B155" s="1336" t="s">
        <v>2058</v>
      </c>
      <c r="C155" s="1918"/>
      <c r="D155" s="1918"/>
      <c r="E155" s="1918"/>
      <c r="F155" s="1913">
        <v>0.05</v>
      </c>
    </row>
    <row r="156" spans="1:6" ht="24.75" thickBot="1">
      <c r="A156" s="1342" t="s">
        <v>210</v>
      </c>
      <c r="B156" s="1336" t="s">
        <v>2059</v>
      </c>
      <c r="C156" s="1918"/>
      <c r="D156" s="1918"/>
      <c r="E156" s="1918"/>
      <c r="F156" s="1913">
        <v>0.05</v>
      </c>
    </row>
    <row r="157" spans="1:6" ht="14.25" thickBot="1">
      <c r="A157" s="1359" t="s">
        <v>210</v>
      </c>
      <c r="B157" s="1352" t="s">
        <v>2060</v>
      </c>
      <c r="C157" s="1915"/>
      <c r="D157" s="1915"/>
      <c r="E157" s="1915"/>
      <c r="F157" s="1919">
        <v>0.05</v>
      </c>
    </row>
    <row r="158" spans="1:6" ht="14.25" thickBot="1">
      <c r="A158" s="1342" t="s">
        <v>1465</v>
      </c>
      <c r="B158" s="1343" t="s">
        <v>2061</v>
      </c>
      <c r="C158" s="1910">
        <v>0.13</v>
      </c>
      <c r="D158" s="1910">
        <v>0.13</v>
      </c>
      <c r="E158" s="1910">
        <v>0.13</v>
      </c>
      <c r="F158" s="1911">
        <v>0.13</v>
      </c>
    </row>
    <row r="159" spans="1:6" ht="14.25" thickBot="1">
      <c r="A159" s="1342" t="s">
        <v>1465</v>
      </c>
      <c r="B159" s="1336" t="s">
        <v>1124</v>
      </c>
      <c r="C159" s="1912">
        <v>0.13</v>
      </c>
      <c r="D159" s="1912">
        <v>0.13</v>
      </c>
      <c r="E159" s="1912">
        <v>0.13</v>
      </c>
      <c r="F159" s="1913">
        <v>0.13</v>
      </c>
    </row>
    <row r="160" spans="1:6" ht="14.25" thickBot="1">
      <c r="A160" s="1342" t="s">
        <v>1465</v>
      </c>
      <c r="B160" s="1336" t="s">
        <v>1137</v>
      </c>
      <c r="C160" s="1912">
        <v>0.13</v>
      </c>
      <c r="D160" s="1912">
        <v>0.13</v>
      </c>
      <c r="E160" s="1912">
        <v>0.129</v>
      </c>
      <c r="F160" s="1913">
        <v>0.13</v>
      </c>
    </row>
    <row r="161" spans="1:6" ht="14.25" thickBot="1">
      <c r="A161" s="1342" t="s">
        <v>1465</v>
      </c>
      <c r="B161" s="1336" t="s">
        <v>1150</v>
      </c>
      <c r="C161" s="1912">
        <v>0.128</v>
      </c>
      <c r="D161" s="1912">
        <v>0.128</v>
      </c>
      <c r="E161" s="1912">
        <v>0.125</v>
      </c>
      <c r="F161" s="1913">
        <v>0.13</v>
      </c>
    </row>
    <row r="162" spans="1:6" ht="14.25" thickBot="1">
      <c r="A162" s="1342" t="s">
        <v>1465</v>
      </c>
      <c r="B162" s="1336" t="s">
        <v>1162</v>
      </c>
      <c r="C162" s="1912">
        <v>0.122</v>
      </c>
      <c r="D162" s="1912">
        <v>0.122</v>
      </c>
      <c r="E162" s="1912">
        <v>0.126</v>
      </c>
      <c r="F162" s="1913">
        <v>0.122</v>
      </c>
    </row>
    <row r="163" spans="1:6" ht="14.25" thickBot="1">
      <c r="A163" s="1342" t="s">
        <v>1465</v>
      </c>
      <c r="B163" s="1336" t="s">
        <v>1174</v>
      </c>
      <c r="C163" s="1912">
        <v>0.13</v>
      </c>
      <c r="D163" s="1912">
        <v>0.13</v>
      </c>
      <c r="E163" s="1912">
        <v>0.125</v>
      </c>
      <c r="F163" s="1913">
        <v>0.13</v>
      </c>
    </row>
    <row r="164" spans="1:6" ht="14.25" thickBot="1">
      <c r="A164" s="1342" t="s">
        <v>1465</v>
      </c>
      <c r="B164" s="1336" t="s">
        <v>1186</v>
      </c>
      <c r="C164" s="1912">
        <v>0.13</v>
      </c>
      <c r="D164" s="1912">
        <v>0.13</v>
      </c>
      <c r="E164" s="1912">
        <v>0.13</v>
      </c>
      <c r="F164" s="1913">
        <v>0.13</v>
      </c>
    </row>
    <row r="165" spans="1:6" ht="14.25" thickBot="1">
      <c r="A165" s="1342" t="s">
        <v>1465</v>
      </c>
      <c r="B165" s="1336" t="s">
        <v>1198</v>
      </c>
      <c r="C165" s="1912">
        <v>0.13</v>
      </c>
      <c r="D165" s="1912">
        <v>0.13</v>
      </c>
      <c r="E165" s="1912">
        <v>0.124</v>
      </c>
      <c r="F165" s="1913">
        <v>0.13</v>
      </c>
    </row>
    <row r="166" spans="1:6" ht="14.25" thickBot="1">
      <c r="A166" s="1342" t="s">
        <v>1465</v>
      </c>
      <c r="B166" s="1336" t="s">
        <v>1211</v>
      </c>
      <c r="C166" s="1912">
        <v>0.13</v>
      </c>
      <c r="D166" s="1912">
        <v>0.13</v>
      </c>
      <c r="E166" s="1912">
        <v>0.13</v>
      </c>
      <c r="F166" s="1913">
        <v>0.13</v>
      </c>
    </row>
    <row r="167" spans="1:6" ht="14.25" thickBot="1">
      <c r="A167" s="1342" t="s">
        <v>1465</v>
      </c>
      <c r="B167" s="1336" t="s">
        <v>1222</v>
      </c>
      <c r="C167" s="1912">
        <v>0.125</v>
      </c>
      <c r="D167" s="1912">
        <v>0.125</v>
      </c>
      <c r="E167" s="1912">
        <v>0.121</v>
      </c>
      <c r="F167" s="1917"/>
    </row>
    <row r="168" spans="1:6" ht="14.25" thickBot="1">
      <c r="A168" s="1342" t="s">
        <v>1465</v>
      </c>
      <c r="B168" s="1336" t="s">
        <v>1233</v>
      </c>
      <c r="C168" s="1912">
        <v>0.13</v>
      </c>
      <c r="D168" s="1912">
        <v>0.13</v>
      </c>
      <c r="E168" s="1912">
        <v>0.126</v>
      </c>
      <c r="F168" s="1917"/>
    </row>
    <row r="169" spans="1:6" ht="14.25" thickBot="1">
      <c r="A169" s="1342" t="s">
        <v>1465</v>
      </c>
      <c r="B169" s="1336" t="s">
        <v>1244</v>
      </c>
      <c r="C169" s="1912">
        <v>0.128</v>
      </c>
      <c r="D169" s="1912">
        <v>0.129</v>
      </c>
      <c r="E169" s="1912">
        <v>0.13</v>
      </c>
      <c r="F169" s="1917"/>
    </row>
    <row r="170" spans="1:6" ht="14.25" thickBot="1">
      <c r="A170" s="1342" t="s">
        <v>1465</v>
      </c>
      <c r="B170" s="1336" t="s">
        <v>1255</v>
      </c>
      <c r="C170" s="1912">
        <v>0.14099999999999999</v>
      </c>
      <c r="D170" s="1912">
        <v>0.13</v>
      </c>
      <c r="E170" s="1912">
        <v>0.125</v>
      </c>
      <c r="F170" s="1917"/>
    </row>
    <row r="171" spans="1:6" ht="14.25" thickBot="1">
      <c r="A171" s="1342" t="s">
        <v>1465</v>
      </c>
      <c r="B171" s="1336" t="s">
        <v>2062</v>
      </c>
      <c r="C171" s="1912">
        <v>0.127</v>
      </c>
      <c r="D171" s="1912">
        <v>0.126</v>
      </c>
      <c r="E171" s="1912">
        <v>0.126</v>
      </c>
      <c r="F171" s="1913">
        <v>0.11799999999999999</v>
      </c>
    </row>
    <row r="172" spans="1:6" ht="14.25" thickBot="1">
      <c r="A172" s="1342" t="s">
        <v>1465</v>
      </c>
      <c r="B172" s="1336" t="s">
        <v>2063</v>
      </c>
      <c r="C172" s="1912">
        <v>0.13</v>
      </c>
      <c r="D172" s="1912">
        <v>0.13</v>
      </c>
      <c r="E172" s="1912">
        <v>0.13</v>
      </c>
      <c r="F172" s="1917"/>
    </row>
    <row r="173" spans="1:6" ht="14.25" thickBot="1">
      <c r="A173" s="1342" t="s">
        <v>1465</v>
      </c>
      <c r="B173" s="1336" t="s">
        <v>1287</v>
      </c>
      <c r="C173" s="1912">
        <v>0.13</v>
      </c>
      <c r="D173" s="1912">
        <v>0.13</v>
      </c>
      <c r="E173" s="1912">
        <v>0.13</v>
      </c>
      <c r="F173" s="1917"/>
    </row>
    <row r="174" spans="1:6" ht="14.25" thickBot="1">
      <c r="A174" s="1342" t="s">
        <v>1465</v>
      </c>
      <c r="B174" s="1336" t="s">
        <v>2064</v>
      </c>
      <c r="C174" s="1912">
        <v>0.13</v>
      </c>
      <c r="D174" s="1912">
        <v>0.13</v>
      </c>
      <c r="E174" s="1912">
        <v>0.13</v>
      </c>
      <c r="F174" s="1913">
        <v>0.13</v>
      </c>
    </row>
    <row r="175" spans="1:6" ht="14.25" thickBot="1">
      <c r="A175" s="1342" t="s">
        <v>1465</v>
      </c>
      <c r="B175" s="1336" t="s">
        <v>2065</v>
      </c>
      <c r="C175" s="1912">
        <v>0.13</v>
      </c>
      <c r="D175" s="1912">
        <v>0.13</v>
      </c>
      <c r="E175" s="1912">
        <v>0.13</v>
      </c>
      <c r="F175" s="1913">
        <v>0.13</v>
      </c>
    </row>
    <row r="176" spans="1:6" ht="14.25" thickBot="1">
      <c r="A176" s="1342" t="s">
        <v>1465</v>
      </c>
      <c r="B176" s="1336" t="s">
        <v>1317</v>
      </c>
      <c r="C176" s="1912">
        <v>0.13</v>
      </c>
      <c r="D176" s="1912">
        <v>0.13</v>
      </c>
      <c r="E176" s="1912">
        <v>0.13</v>
      </c>
      <c r="F176" s="1913">
        <v>0.13</v>
      </c>
    </row>
    <row r="177" spans="1:6" ht="14.25" thickBot="1">
      <c r="A177" s="1342" t="s">
        <v>1465</v>
      </c>
      <c r="B177" s="1336" t="s">
        <v>2066</v>
      </c>
      <c r="C177" s="1912">
        <v>0.13</v>
      </c>
      <c r="D177" s="1912">
        <v>0.13</v>
      </c>
      <c r="E177" s="1912">
        <v>0.13</v>
      </c>
      <c r="F177" s="1913">
        <v>0.13</v>
      </c>
    </row>
    <row r="178" spans="1:6" ht="14.25" thickBot="1">
      <c r="A178" s="1342" t="s">
        <v>1465</v>
      </c>
      <c r="B178" s="1336" t="s">
        <v>1335</v>
      </c>
      <c r="C178" s="1912">
        <v>0.13</v>
      </c>
      <c r="D178" s="1912">
        <v>0.13</v>
      </c>
      <c r="E178" s="1912">
        <v>0.13</v>
      </c>
      <c r="F178" s="1913">
        <v>0.127</v>
      </c>
    </row>
    <row r="179" spans="1:6" ht="14.25" thickBot="1">
      <c r="A179" s="1342" t="s">
        <v>1465</v>
      </c>
      <c r="B179" s="1336" t="s">
        <v>1343</v>
      </c>
      <c r="C179" s="1912">
        <v>0.13</v>
      </c>
      <c r="D179" s="1912">
        <v>0.13</v>
      </c>
      <c r="E179" s="1912">
        <v>0.13</v>
      </c>
      <c r="F179" s="1917"/>
    </row>
    <row r="180" spans="1:6" ht="14.25" thickBot="1">
      <c r="A180" s="1342" t="s">
        <v>1465</v>
      </c>
      <c r="B180" s="1336" t="s">
        <v>2067</v>
      </c>
      <c r="C180" s="1912">
        <v>0.13</v>
      </c>
      <c r="D180" s="1912">
        <v>0.13</v>
      </c>
      <c r="E180" s="1912">
        <v>0.125</v>
      </c>
      <c r="F180" s="1913">
        <v>0.13</v>
      </c>
    </row>
    <row r="181" spans="1:6" ht="14.25" thickBot="1">
      <c r="A181" s="1342" t="s">
        <v>1465</v>
      </c>
      <c r="B181" s="1336" t="s">
        <v>1357</v>
      </c>
      <c r="C181" s="1912">
        <v>0.122</v>
      </c>
      <c r="D181" s="1912">
        <v>0.123</v>
      </c>
      <c r="E181" s="1912">
        <v>0.126</v>
      </c>
      <c r="F181" s="1913">
        <v>0.121</v>
      </c>
    </row>
    <row r="182" spans="1:6" ht="14.25" thickBot="1">
      <c r="A182" s="1342" t="s">
        <v>1465</v>
      </c>
      <c r="B182" s="1336" t="s">
        <v>1364</v>
      </c>
      <c r="C182" s="1912">
        <v>0.125</v>
      </c>
      <c r="D182" s="1912">
        <v>0.125</v>
      </c>
      <c r="E182" s="1912">
        <v>0.11700000000000001</v>
      </c>
      <c r="F182" s="1913">
        <v>0.13</v>
      </c>
    </row>
    <row r="183" spans="1:6" ht="14.25" thickBot="1">
      <c r="A183" s="1342" t="s">
        <v>1465</v>
      </c>
      <c r="B183" s="1336" t="s">
        <v>1371</v>
      </c>
      <c r="C183" s="1912">
        <v>0.127</v>
      </c>
      <c r="D183" s="1912">
        <v>0.127</v>
      </c>
      <c r="E183" s="1912">
        <v>0.128</v>
      </c>
      <c r="F183" s="1917"/>
    </row>
    <row r="184" spans="1:6" ht="14.25" thickBot="1">
      <c r="A184" s="1342" t="s">
        <v>1465</v>
      </c>
      <c r="B184" s="1336" t="s">
        <v>1378</v>
      </c>
      <c r="C184" s="1912">
        <v>0.125</v>
      </c>
      <c r="D184" s="1912">
        <v>0.125</v>
      </c>
      <c r="E184" s="1912">
        <v>0.127</v>
      </c>
      <c r="F184" s="1917"/>
    </row>
    <row r="185" spans="1:6" ht="14.25" thickBot="1">
      <c r="A185" s="1342" t="s">
        <v>1465</v>
      </c>
      <c r="B185" s="1336" t="s">
        <v>2068</v>
      </c>
      <c r="C185" s="1912">
        <v>0.127</v>
      </c>
      <c r="D185" s="1912">
        <v>0.127</v>
      </c>
      <c r="E185" s="1912">
        <v>0.128</v>
      </c>
      <c r="F185" s="1913">
        <v>0.13</v>
      </c>
    </row>
    <row r="186" spans="1:6" ht="24.75" thickBot="1">
      <c r="A186" s="1342" t="s">
        <v>1465</v>
      </c>
      <c r="B186" s="1336" t="s">
        <v>2069</v>
      </c>
      <c r="C186" s="1918"/>
      <c r="D186" s="1918"/>
      <c r="E186" s="1918"/>
      <c r="F186" s="1913">
        <v>0.05</v>
      </c>
    </row>
    <row r="187" spans="1:6" ht="14.25" thickBot="1">
      <c r="A187" s="1342" t="s">
        <v>1465</v>
      </c>
      <c r="B187" s="1336" t="s">
        <v>2070</v>
      </c>
      <c r="C187" s="1918"/>
      <c r="D187" s="1918"/>
      <c r="E187" s="1918"/>
      <c r="F187" s="1913">
        <v>0.05</v>
      </c>
    </row>
    <row r="188" spans="1:6" ht="14.25" thickBot="1">
      <c r="A188" s="1342" t="s">
        <v>1465</v>
      </c>
      <c r="B188" s="1336" t="s">
        <v>2071</v>
      </c>
      <c r="C188" s="1918"/>
      <c r="D188" s="1918"/>
      <c r="E188" s="1918"/>
      <c r="F188" s="1913">
        <v>0.05</v>
      </c>
    </row>
    <row r="189" spans="1:6" ht="24.75" thickBot="1">
      <c r="A189" s="1342" t="s">
        <v>1465</v>
      </c>
      <c r="B189" s="1336" t="s">
        <v>2072</v>
      </c>
      <c r="C189" s="1918"/>
      <c r="D189" s="1918"/>
      <c r="E189" s="1918"/>
      <c r="F189" s="1913">
        <v>0.05</v>
      </c>
    </row>
    <row r="190" spans="1:6" ht="24.75" thickBot="1">
      <c r="A190" s="1342" t="s">
        <v>1465</v>
      </c>
      <c r="B190" s="1336" t="s">
        <v>2073</v>
      </c>
      <c r="C190" s="1918"/>
      <c r="D190" s="1918"/>
      <c r="E190" s="1918"/>
      <c r="F190" s="1913">
        <v>0.05</v>
      </c>
    </row>
    <row r="191" spans="1:6" ht="24.75" thickBot="1">
      <c r="A191" s="1342" t="s">
        <v>1465</v>
      </c>
      <c r="B191" s="1336" t="s">
        <v>2074</v>
      </c>
      <c r="C191" s="1918"/>
      <c r="D191" s="1918"/>
      <c r="E191" s="1918"/>
      <c r="F191" s="1913">
        <v>0.05</v>
      </c>
    </row>
    <row r="192" spans="1:6" ht="24.75" thickBot="1">
      <c r="A192" s="1342" t="s">
        <v>1465</v>
      </c>
      <c r="B192" s="1336" t="s">
        <v>2075</v>
      </c>
      <c r="C192" s="1918"/>
      <c r="D192" s="1918"/>
      <c r="E192" s="1918"/>
      <c r="F192" s="1913">
        <v>0.05</v>
      </c>
    </row>
    <row r="193" spans="1:6" ht="24.75" thickBot="1">
      <c r="A193" s="1342" t="s">
        <v>1465</v>
      </c>
      <c r="B193" s="1336" t="s">
        <v>2076</v>
      </c>
      <c r="C193" s="1918"/>
      <c r="D193" s="1918"/>
      <c r="E193" s="1918"/>
      <c r="F193" s="1913">
        <v>0.05</v>
      </c>
    </row>
    <row r="194" spans="1:6" ht="24.75" thickBot="1">
      <c r="A194" s="1342" t="s">
        <v>1465</v>
      </c>
      <c r="B194" s="1336" t="s">
        <v>2077</v>
      </c>
      <c r="C194" s="1918"/>
      <c r="D194" s="1918"/>
      <c r="E194" s="1918"/>
      <c r="F194" s="1913">
        <v>0.05</v>
      </c>
    </row>
    <row r="195" spans="1:6" ht="14.25" thickBot="1">
      <c r="A195" s="1342" t="s">
        <v>1465</v>
      </c>
      <c r="B195" s="1336" t="s">
        <v>2078</v>
      </c>
      <c r="C195" s="1918"/>
      <c r="D195" s="1918"/>
      <c r="E195" s="1918"/>
      <c r="F195" s="1913">
        <v>0.05</v>
      </c>
    </row>
    <row r="196" spans="1:6" ht="24.75" thickBot="1">
      <c r="A196" s="1342" t="s">
        <v>1465</v>
      </c>
      <c r="B196" s="1336" t="s">
        <v>2079</v>
      </c>
      <c r="C196" s="1918"/>
      <c r="D196" s="1918"/>
      <c r="E196" s="1918"/>
      <c r="F196" s="1913">
        <v>0.05</v>
      </c>
    </row>
    <row r="197" spans="1:6" ht="24.75" thickBot="1">
      <c r="A197" s="1342" t="s">
        <v>1465</v>
      </c>
      <c r="B197" s="1336" t="s">
        <v>2080</v>
      </c>
      <c r="C197" s="1918"/>
      <c r="D197" s="1918"/>
      <c r="E197" s="1918"/>
      <c r="F197" s="1913">
        <v>0.05</v>
      </c>
    </row>
    <row r="198" spans="1:6" ht="24.75" thickBot="1">
      <c r="A198" s="1342" t="s">
        <v>1465</v>
      </c>
      <c r="B198" s="1336" t="s">
        <v>2081</v>
      </c>
      <c r="C198" s="1918"/>
      <c r="D198" s="1918"/>
      <c r="E198" s="1918"/>
      <c r="F198" s="1913">
        <v>0.05</v>
      </c>
    </row>
    <row r="199" spans="1:6" ht="24.75" thickBot="1">
      <c r="A199" s="1342" t="s">
        <v>1465</v>
      </c>
      <c r="B199" s="1336" t="s">
        <v>2082</v>
      </c>
      <c r="C199" s="1918"/>
      <c r="D199" s="1918"/>
      <c r="E199" s="1918"/>
      <c r="F199" s="1913">
        <v>0.05</v>
      </c>
    </row>
    <row r="200" spans="1:6" ht="24.75" thickBot="1">
      <c r="A200" s="1342" t="s">
        <v>1465</v>
      </c>
      <c r="B200" s="1336" t="s">
        <v>2083</v>
      </c>
      <c r="C200" s="1918"/>
      <c r="D200" s="1918"/>
      <c r="E200" s="1918"/>
      <c r="F200" s="1913">
        <v>0.05</v>
      </c>
    </row>
    <row r="201" spans="1:6" ht="24.75" thickBot="1">
      <c r="A201" s="1342" t="s">
        <v>1465</v>
      </c>
      <c r="B201" s="1336" t="s">
        <v>2084</v>
      </c>
      <c r="C201" s="1918"/>
      <c r="D201" s="1918"/>
      <c r="E201" s="1918"/>
      <c r="F201" s="1913">
        <v>0.05</v>
      </c>
    </row>
    <row r="202" spans="1:6" ht="24.75" thickBot="1">
      <c r="A202" s="1342" t="s">
        <v>1465</v>
      </c>
      <c r="B202" s="1336" t="s">
        <v>2085</v>
      </c>
      <c r="C202" s="1918"/>
      <c r="D202" s="1918"/>
      <c r="E202" s="1918"/>
      <c r="F202" s="1913">
        <v>0.05</v>
      </c>
    </row>
    <row r="203" spans="1:6" ht="24.75" thickBot="1">
      <c r="A203" s="1342" t="s">
        <v>1465</v>
      </c>
      <c r="B203" s="1336" t="s">
        <v>2086</v>
      </c>
      <c r="C203" s="1918"/>
      <c r="D203" s="1918"/>
      <c r="E203" s="1918"/>
      <c r="F203" s="1913">
        <v>0.05</v>
      </c>
    </row>
    <row r="204" spans="1:6" ht="14.25" thickBot="1">
      <c r="A204" s="1342" t="s">
        <v>1465</v>
      </c>
      <c r="B204" s="1336" t="s">
        <v>2087</v>
      </c>
      <c r="C204" s="1918"/>
      <c r="D204" s="1918"/>
      <c r="E204" s="1918"/>
      <c r="F204" s="1913">
        <v>0.05</v>
      </c>
    </row>
    <row r="205" spans="1:6" ht="14.25" thickBot="1">
      <c r="A205" s="1359" t="s">
        <v>1465</v>
      </c>
      <c r="B205" s="1352" t="s">
        <v>2088</v>
      </c>
      <c r="C205" s="1915"/>
      <c r="D205" s="1915"/>
      <c r="E205" s="1915"/>
      <c r="F205" s="1919">
        <v>0.05</v>
      </c>
    </row>
    <row r="206" spans="1:6" ht="14.25" thickBot="1">
      <c r="A206" s="1342" t="s">
        <v>1467</v>
      </c>
      <c r="B206" s="1343" t="s">
        <v>2089</v>
      </c>
      <c r="C206" s="1910">
        <v>0.15</v>
      </c>
      <c r="D206" s="1910">
        <v>0.15</v>
      </c>
      <c r="E206" s="1910">
        <v>0.15</v>
      </c>
      <c r="F206" s="1911">
        <v>0.15</v>
      </c>
    </row>
    <row r="207" spans="1:6" ht="14.25" thickBot="1">
      <c r="A207" s="1342" t="s">
        <v>1467</v>
      </c>
      <c r="B207" s="1336" t="s">
        <v>1125</v>
      </c>
      <c r="C207" s="1912">
        <v>0.15</v>
      </c>
      <c r="D207" s="1912">
        <v>0.15</v>
      </c>
      <c r="E207" s="1912">
        <v>0.15</v>
      </c>
      <c r="F207" s="1913">
        <v>0.14399999999999999</v>
      </c>
    </row>
    <row r="208" spans="1:6" ht="14.25" thickBot="1">
      <c r="A208" s="1342" t="s">
        <v>1467</v>
      </c>
      <c r="B208" s="1336" t="s">
        <v>1138</v>
      </c>
      <c r="C208" s="1912">
        <v>0.15</v>
      </c>
      <c r="D208" s="1912">
        <v>0.15</v>
      </c>
      <c r="E208" s="1912">
        <v>0.15</v>
      </c>
      <c r="F208" s="1913">
        <v>0.15</v>
      </c>
    </row>
    <row r="209" spans="1:6" ht="14.25" thickBot="1">
      <c r="A209" s="1342" t="s">
        <v>1467</v>
      </c>
      <c r="B209" s="1336" t="s">
        <v>1151</v>
      </c>
      <c r="C209" s="1912">
        <v>0.13700000000000001</v>
      </c>
      <c r="D209" s="1912">
        <v>0.13700000000000001</v>
      </c>
      <c r="E209" s="1912">
        <v>0.14000000000000001</v>
      </c>
      <c r="F209" s="1913">
        <v>0.11700000000000001</v>
      </c>
    </row>
    <row r="210" spans="1:6" ht="14.25" thickBot="1">
      <c r="A210" s="1342" t="s">
        <v>1467</v>
      </c>
      <c r="B210" s="1336" t="s">
        <v>2090</v>
      </c>
      <c r="C210" s="1912">
        <v>0.15</v>
      </c>
      <c r="D210" s="1912">
        <v>0.15</v>
      </c>
      <c r="E210" s="1912">
        <v>0.15</v>
      </c>
      <c r="F210" s="1913">
        <v>0.13800000000000001</v>
      </c>
    </row>
    <row r="211" spans="1:6" ht="14.25" thickBot="1">
      <c r="A211" s="1342" t="s">
        <v>1467</v>
      </c>
      <c r="B211" s="1336" t="s">
        <v>2091</v>
      </c>
      <c r="C211" s="1912">
        <v>0.13700000000000001</v>
      </c>
      <c r="D211" s="1912">
        <v>0.13500000000000001</v>
      </c>
      <c r="E211" s="1912">
        <v>0.13600000000000001</v>
      </c>
      <c r="F211" s="1913">
        <v>0.1</v>
      </c>
    </row>
    <row r="212" spans="1:6" ht="14.25" thickBot="1">
      <c r="A212" s="1342" t="s">
        <v>1467</v>
      </c>
      <c r="B212" s="1336" t="s">
        <v>2092</v>
      </c>
      <c r="C212" s="1912">
        <v>0.15</v>
      </c>
      <c r="D212" s="1912">
        <v>0.15</v>
      </c>
      <c r="E212" s="1912">
        <v>0.14799999999999999</v>
      </c>
      <c r="F212" s="1913">
        <v>0.13600000000000001</v>
      </c>
    </row>
    <row r="213" spans="1:6" ht="14.25" thickBot="1">
      <c r="A213" s="1342" t="s">
        <v>1467</v>
      </c>
      <c r="B213" s="1336" t="s">
        <v>1199</v>
      </c>
      <c r="C213" s="1912">
        <v>0.15</v>
      </c>
      <c r="D213" s="1912">
        <v>0.15</v>
      </c>
      <c r="E213" s="1912">
        <v>0.15</v>
      </c>
      <c r="F213" s="1913">
        <v>0.13800000000000001</v>
      </c>
    </row>
    <row r="214" spans="1:6" ht="14.25" thickBot="1">
      <c r="A214" s="1342" t="s">
        <v>1467</v>
      </c>
      <c r="B214" s="1336" t="s">
        <v>1212</v>
      </c>
      <c r="C214" s="1912">
        <v>9.0999999999999998E-2</v>
      </c>
      <c r="D214" s="1912">
        <v>0.09</v>
      </c>
      <c r="E214" s="1912">
        <v>9.1999999999999998E-2</v>
      </c>
      <c r="F214" s="1917"/>
    </row>
    <row r="215" spans="1:6" ht="14.25" thickBot="1">
      <c r="A215" s="1342" t="s">
        <v>1467</v>
      </c>
      <c r="B215" s="1336" t="s">
        <v>2093</v>
      </c>
      <c r="C215" s="1912">
        <v>0.15</v>
      </c>
      <c r="D215" s="1912">
        <v>0.15</v>
      </c>
      <c r="E215" s="1912">
        <v>0.15</v>
      </c>
      <c r="F215" s="1913">
        <v>0.15</v>
      </c>
    </row>
    <row r="216" spans="1:6" ht="14.25" thickBot="1">
      <c r="A216" s="1342" t="s">
        <v>1467</v>
      </c>
      <c r="B216" s="1336" t="s">
        <v>1234</v>
      </c>
      <c r="C216" s="1912">
        <v>0.14699999999999999</v>
      </c>
      <c r="D216" s="1912">
        <v>0.14699999999999999</v>
      </c>
      <c r="E216" s="1912">
        <v>0.15</v>
      </c>
      <c r="F216" s="1913">
        <v>0.14000000000000001</v>
      </c>
    </row>
    <row r="217" spans="1:6" ht="14.25" thickBot="1">
      <c r="A217" s="1342" t="s">
        <v>1467</v>
      </c>
      <c r="B217" s="1336" t="s">
        <v>1245</v>
      </c>
      <c r="C217" s="1912">
        <v>0.15</v>
      </c>
      <c r="D217" s="1912">
        <v>0.15</v>
      </c>
      <c r="E217" s="1912">
        <v>0.15</v>
      </c>
      <c r="F217" s="1913">
        <v>0.15</v>
      </c>
    </row>
    <row r="218" spans="1:6" ht="14.25" thickBot="1">
      <c r="A218" s="1342" t="s">
        <v>1467</v>
      </c>
      <c r="B218" s="1336" t="s">
        <v>2094</v>
      </c>
      <c r="C218" s="1912">
        <v>0.15</v>
      </c>
      <c r="D218" s="1912">
        <v>0.15</v>
      </c>
      <c r="E218" s="1912">
        <v>0.15</v>
      </c>
      <c r="F218" s="1913">
        <v>0.15</v>
      </c>
    </row>
    <row r="219" spans="1:6" ht="14.25" thickBot="1">
      <c r="A219" s="1342" t="s">
        <v>1467</v>
      </c>
      <c r="B219" s="1336" t="s">
        <v>1267</v>
      </c>
      <c r="C219" s="1912">
        <v>0.15</v>
      </c>
      <c r="D219" s="1912">
        <v>0.15</v>
      </c>
      <c r="E219" s="1912">
        <v>0.15</v>
      </c>
      <c r="F219" s="1913">
        <v>0.14799999999999999</v>
      </c>
    </row>
    <row r="220" spans="1:6" ht="14.25" thickBot="1">
      <c r="A220" s="1342" t="s">
        <v>1467</v>
      </c>
      <c r="B220" s="1336" t="s">
        <v>2095</v>
      </c>
      <c r="C220" s="1912">
        <v>0.15</v>
      </c>
      <c r="D220" s="1912">
        <v>0.15</v>
      </c>
      <c r="E220" s="1912">
        <v>0.15</v>
      </c>
      <c r="F220" s="1913">
        <v>0.15</v>
      </c>
    </row>
    <row r="221" spans="1:6" ht="14.25" thickBot="1">
      <c r="A221" s="1342" t="s">
        <v>1467</v>
      </c>
      <c r="B221" s="1336" t="s">
        <v>1288</v>
      </c>
      <c r="C221" s="1912"/>
      <c r="D221" s="1918"/>
      <c r="E221" s="1918"/>
      <c r="F221" s="1913">
        <v>0.14799999999999999</v>
      </c>
    </row>
    <row r="222" spans="1:6" ht="14.25" thickBot="1">
      <c r="A222" s="1342" t="s">
        <v>1467</v>
      </c>
      <c r="B222" s="1336" t="s">
        <v>1298</v>
      </c>
      <c r="C222" s="1912"/>
      <c r="D222" s="1918"/>
      <c r="E222" s="1918"/>
      <c r="F222" s="1913">
        <v>0.1</v>
      </c>
    </row>
    <row r="223" spans="1:6" ht="14.25" thickBot="1">
      <c r="A223" s="1342" t="s">
        <v>1467</v>
      </c>
      <c r="B223" s="1336" t="s">
        <v>1308</v>
      </c>
      <c r="C223" s="1912"/>
      <c r="D223" s="1918"/>
      <c r="E223" s="1918"/>
      <c r="F223" s="1913">
        <v>0.15</v>
      </c>
    </row>
    <row r="224" spans="1:6" ht="14.25" thickBot="1">
      <c r="A224" s="1342" t="s">
        <v>1467</v>
      </c>
      <c r="B224" s="1336" t="s">
        <v>1318</v>
      </c>
      <c r="C224" s="1912"/>
      <c r="D224" s="1918"/>
      <c r="E224" s="1918"/>
      <c r="F224" s="1913">
        <v>0.15</v>
      </c>
    </row>
    <row r="225" spans="1:6" ht="14.25" thickBot="1">
      <c r="A225" s="1342" t="s">
        <v>1467</v>
      </c>
      <c r="B225" s="1336" t="s">
        <v>2096</v>
      </c>
      <c r="C225" s="1912">
        <v>0.15</v>
      </c>
      <c r="D225" s="1912">
        <v>0.15</v>
      </c>
      <c r="E225" s="1912">
        <v>0.15</v>
      </c>
      <c r="F225" s="1913">
        <v>0.15</v>
      </c>
    </row>
    <row r="226" spans="1:6" ht="14.25" thickBot="1">
      <c r="A226" s="1342" t="s">
        <v>1467</v>
      </c>
      <c r="B226" s="1336" t="s">
        <v>1336</v>
      </c>
      <c r="C226" s="1912">
        <v>0.15</v>
      </c>
      <c r="D226" s="1912">
        <v>0.15</v>
      </c>
      <c r="E226" s="1912">
        <v>0.15</v>
      </c>
      <c r="F226" s="1913">
        <v>0.14799999999999999</v>
      </c>
    </row>
    <row r="227" spans="1:6" ht="14.25" thickBot="1">
      <c r="A227" s="1342" t="s">
        <v>1467</v>
      </c>
      <c r="B227" s="1336" t="s">
        <v>2097</v>
      </c>
      <c r="C227" s="1912">
        <v>0.15</v>
      </c>
      <c r="D227" s="1912">
        <v>0.15</v>
      </c>
      <c r="E227" s="1912">
        <v>0.15</v>
      </c>
      <c r="F227" s="1913">
        <v>0.15</v>
      </c>
    </row>
    <row r="228" spans="1:6" ht="14.25" thickBot="1">
      <c r="A228" s="1342" t="s">
        <v>1467</v>
      </c>
      <c r="B228" s="1336" t="s">
        <v>1351</v>
      </c>
      <c r="C228" s="1912">
        <v>0.15</v>
      </c>
      <c r="D228" s="1912">
        <v>0.15</v>
      </c>
      <c r="E228" s="1912">
        <v>0.15</v>
      </c>
      <c r="F228" s="1913">
        <v>0.15</v>
      </c>
    </row>
    <row r="229" spans="1:6" ht="14.25" thickBot="1">
      <c r="A229" s="1342" t="s">
        <v>1467</v>
      </c>
      <c r="B229" s="1336" t="s">
        <v>1358</v>
      </c>
      <c r="C229" s="1912">
        <v>0.15</v>
      </c>
      <c r="D229" s="1912">
        <v>0.15</v>
      </c>
      <c r="E229" s="1912">
        <v>0.15</v>
      </c>
      <c r="F229" s="1917"/>
    </row>
    <row r="230" spans="1:6" ht="14.25" thickBot="1">
      <c r="A230" s="1342" t="s">
        <v>1467</v>
      </c>
      <c r="B230" s="1336" t="s">
        <v>1365</v>
      </c>
      <c r="C230" s="1912">
        <v>0.14499999999999999</v>
      </c>
      <c r="D230" s="1912">
        <v>0.14499999999999999</v>
      </c>
      <c r="E230" s="1912">
        <v>0.14399999999999999</v>
      </c>
      <c r="F230" s="1917"/>
    </row>
    <row r="231" spans="1:6" ht="14.25" thickBot="1">
      <c r="A231" s="1342" t="s">
        <v>1467</v>
      </c>
      <c r="B231" s="1336" t="s">
        <v>2098</v>
      </c>
      <c r="C231" s="1912">
        <v>0.128</v>
      </c>
      <c r="D231" s="1912">
        <v>0.125</v>
      </c>
      <c r="E231" s="1912">
        <v>0.13200000000000001</v>
      </c>
      <c r="F231" s="1917"/>
    </row>
    <row r="232" spans="1:6" ht="14.25" thickBot="1">
      <c r="A232" s="1342" t="s">
        <v>1467</v>
      </c>
      <c r="B232" s="1336" t="s">
        <v>2099</v>
      </c>
      <c r="C232" s="1912">
        <v>0.14499999999999999</v>
      </c>
      <c r="D232" s="1912">
        <v>0.14399999999999999</v>
      </c>
      <c r="E232" s="1912">
        <v>0.14599999999999999</v>
      </c>
      <c r="F232" s="1913">
        <v>0.13800000000000001</v>
      </c>
    </row>
    <row r="233" spans="1:6" ht="14.25" thickBot="1">
      <c r="A233" s="1342" t="s">
        <v>1467</v>
      </c>
      <c r="B233" s="1336" t="s">
        <v>2100</v>
      </c>
      <c r="C233" s="1912">
        <v>0.14499999999999999</v>
      </c>
      <c r="D233" s="1912">
        <v>0.14299999999999999</v>
      </c>
      <c r="E233" s="1912">
        <v>0.14199999999999999</v>
      </c>
      <c r="F233" s="1917"/>
    </row>
    <row r="234" spans="1:6" ht="14.25" thickBot="1">
      <c r="A234" s="1342" t="s">
        <v>1467</v>
      </c>
      <c r="B234" s="1336" t="s">
        <v>2101</v>
      </c>
      <c r="C234" s="1912">
        <v>0.14000000000000001</v>
      </c>
      <c r="D234" s="1912">
        <v>0.14000000000000001</v>
      </c>
      <c r="E234" s="1912">
        <v>0.14399999999999999</v>
      </c>
      <c r="F234" s="1917"/>
    </row>
    <row r="235" spans="1:6" ht="14.25" thickBot="1">
      <c r="A235" s="1342" t="s">
        <v>1467</v>
      </c>
      <c r="B235" s="1336" t="s">
        <v>2102</v>
      </c>
      <c r="C235" s="1912">
        <v>0.14099999999999999</v>
      </c>
      <c r="D235" s="1912">
        <v>0.14199999999999999</v>
      </c>
      <c r="E235" s="1912">
        <v>0.14499999999999999</v>
      </c>
      <c r="F235" s="1913">
        <v>0.15</v>
      </c>
    </row>
    <row r="236" spans="1:6" ht="14.25" thickBot="1">
      <c r="A236" s="1342" t="s">
        <v>1467</v>
      </c>
      <c r="B236" s="1336" t="s">
        <v>1400</v>
      </c>
      <c r="C236" s="1918"/>
      <c r="D236" s="1918"/>
      <c r="E236" s="1918"/>
      <c r="F236" s="1913">
        <v>0.14299999999999999</v>
      </c>
    </row>
    <row r="237" spans="1:6" ht="24.75" thickBot="1">
      <c r="A237" s="1342" t="s">
        <v>1467</v>
      </c>
      <c r="B237" s="1336" t="s">
        <v>2103</v>
      </c>
      <c r="C237" s="1918"/>
      <c r="D237" s="1918"/>
      <c r="E237" s="1918"/>
      <c r="F237" s="1913">
        <v>0.05</v>
      </c>
    </row>
    <row r="238" spans="1:6" ht="24.75" thickBot="1">
      <c r="A238" s="1342" t="s">
        <v>1467</v>
      </c>
      <c r="B238" s="1336" t="s">
        <v>2104</v>
      </c>
      <c r="C238" s="1918"/>
      <c r="D238" s="1918"/>
      <c r="E238" s="1918"/>
      <c r="F238" s="1913">
        <v>0.05</v>
      </c>
    </row>
    <row r="239" spans="1:6" ht="24.75" thickBot="1">
      <c r="A239" s="1342" t="s">
        <v>1467</v>
      </c>
      <c r="B239" s="1336" t="s">
        <v>2105</v>
      </c>
      <c r="C239" s="1918"/>
      <c r="D239" s="1918"/>
      <c r="E239" s="1918"/>
      <c r="F239" s="1913">
        <v>0.05</v>
      </c>
    </row>
    <row r="240" spans="1:6" ht="24.75" thickBot="1">
      <c r="A240" s="1342" t="s">
        <v>1467</v>
      </c>
      <c r="B240" s="1336" t="s">
        <v>2106</v>
      </c>
      <c r="C240" s="1918"/>
      <c r="D240" s="1918"/>
      <c r="E240" s="1918"/>
      <c r="F240" s="1913">
        <v>0.05</v>
      </c>
    </row>
    <row r="241" spans="1:6" ht="24.75" thickBot="1">
      <c r="A241" s="1342" t="s">
        <v>1467</v>
      </c>
      <c r="B241" s="1336" t="s">
        <v>2107</v>
      </c>
      <c r="C241" s="1918"/>
      <c r="D241" s="1918"/>
      <c r="E241" s="1918"/>
      <c r="F241" s="1913">
        <v>0.05</v>
      </c>
    </row>
    <row r="242" spans="1:6" ht="24.75" thickBot="1">
      <c r="A242" s="1342" t="s">
        <v>1467</v>
      </c>
      <c r="B242" s="1336" t="s">
        <v>2108</v>
      </c>
      <c r="C242" s="1918"/>
      <c r="D242" s="1918"/>
      <c r="E242" s="1918"/>
      <c r="F242" s="1913">
        <v>0.05</v>
      </c>
    </row>
    <row r="243" spans="1:6" ht="24.75" thickBot="1">
      <c r="A243" s="1342" t="s">
        <v>1467</v>
      </c>
      <c r="B243" s="1336" t="s">
        <v>2109</v>
      </c>
      <c r="C243" s="1918"/>
      <c r="D243" s="1918"/>
      <c r="E243" s="1918"/>
      <c r="F243" s="1913">
        <v>0.05</v>
      </c>
    </row>
    <row r="244" spans="1:6" ht="24.75" thickBot="1">
      <c r="A244" s="1359" t="s">
        <v>1467</v>
      </c>
      <c r="B244" s="1352" t="s">
        <v>2110</v>
      </c>
      <c r="C244" s="1915"/>
      <c r="D244" s="1915"/>
      <c r="E244" s="1915"/>
      <c r="F244" s="1919">
        <v>0.05</v>
      </c>
    </row>
    <row r="245" spans="1:6" ht="14.25" thickBot="1">
      <c r="A245" s="1342" t="s">
        <v>1469</v>
      </c>
      <c r="B245" s="1343" t="s">
        <v>2111</v>
      </c>
      <c r="C245" s="1910">
        <v>0.15</v>
      </c>
      <c r="D245" s="1910">
        <v>0.15</v>
      </c>
      <c r="E245" s="1910">
        <v>0.15</v>
      </c>
      <c r="F245" s="1911">
        <v>0.14299999999999999</v>
      </c>
    </row>
    <row r="246" spans="1:6" ht="14.25" thickBot="1">
      <c r="A246" s="1342" t="s">
        <v>1469</v>
      </c>
      <c r="B246" s="1336" t="s">
        <v>1126</v>
      </c>
      <c r="C246" s="1912">
        <v>0.15</v>
      </c>
      <c r="D246" s="1912">
        <v>0.15</v>
      </c>
      <c r="E246" s="1912">
        <v>0.15</v>
      </c>
      <c r="F246" s="1913">
        <v>0.114</v>
      </c>
    </row>
    <row r="247" spans="1:6" ht="14.25" thickBot="1">
      <c r="A247" s="1342" t="s">
        <v>1469</v>
      </c>
      <c r="B247" s="1336" t="s">
        <v>2112</v>
      </c>
      <c r="C247" s="1912">
        <v>0.15</v>
      </c>
      <c r="D247" s="1912">
        <v>0.15</v>
      </c>
      <c r="E247" s="1912">
        <v>0.15</v>
      </c>
      <c r="F247" s="1913">
        <v>0.15</v>
      </c>
    </row>
    <row r="248" spans="1:6" ht="14.25" thickBot="1">
      <c r="A248" s="1342" t="s">
        <v>1469</v>
      </c>
      <c r="B248" s="1336" t="s">
        <v>2113</v>
      </c>
      <c r="C248" s="1912">
        <v>0.15</v>
      </c>
      <c r="D248" s="1912">
        <v>0.15</v>
      </c>
      <c r="E248" s="1912">
        <v>0.15</v>
      </c>
      <c r="F248" s="1913">
        <v>0.14000000000000001</v>
      </c>
    </row>
    <row r="249" spans="1:6" ht="14.25" thickBot="1">
      <c r="A249" s="1342" t="s">
        <v>1469</v>
      </c>
      <c r="B249" s="1336" t="s">
        <v>2114</v>
      </c>
      <c r="C249" s="1912">
        <v>0.15</v>
      </c>
      <c r="D249" s="1912">
        <v>0.14899999999999999</v>
      </c>
      <c r="E249" s="1912">
        <v>0.15</v>
      </c>
      <c r="F249" s="1913">
        <v>0.1</v>
      </c>
    </row>
    <row r="250" spans="1:6" ht="14.25" thickBot="1">
      <c r="A250" s="1342" t="s">
        <v>1469</v>
      </c>
      <c r="B250" s="1336" t="s">
        <v>2115</v>
      </c>
      <c r="C250" s="1912">
        <v>0.15</v>
      </c>
      <c r="D250" s="1912">
        <v>0.15</v>
      </c>
      <c r="E250" s="1912">
        <v>0.15</v>
      </c>
      <c r="F250" s="1913">
        <v>0.14399999999999999</v>
      </c>
    </row>
    <row r="251" spans="1:6" ht="14.25" thickBot="1">
      <c r="A251" s="1342" t="s">
        <v>1469</v>
      </c>
      <c r="B251" s="1336" t="s">
        <v>1188</v>
      </c>
      <c r="C251" s="1912">
        <v>0.15</v>
      </c>
      <c r="D251" s="1912">
        <v>0.15</v>
      </c>
      <c r="E251" s="1912">
        <v>0.15</v>
      </c>
      <c r="F251" s="1913">
        <v>0.14299999999999999</v>
      </c>
    </row>
    <row r="252" spans="1:6" ht="14.25" thickBot="1">
      <c r="A252" s="1342" t="s">
        <v>1469</v>
      </c>
      <c r="B252" s="1336" t="s">
        <v>1200</v>
      </c>
      <c r="C252" s="1912">
        <v>0.15</v>
      </c>
      <c r="D252" s="1912">
        <v>0.15</v>
      </c>
      <c r="E252" s="1912">
        <v>0.15</v>
      </c>
      <c r="F252" s="1913">
        <v>0.1</v>
      </c>
    </row>
    <row r="253" spans="1:6" ht="14.25" thickBot="1">
      <c r="A253" s="1342" t="s">
        <v>1469</v>
      </c>
      <c r="B253" s="1336" t="s">
        <v>1213</v>
      </c>
      <c r="C253" s="1912">
        <v>0.15</v>
      </c>
      <c r="D253" s="1912">
        <v>0.15</v>
      </c>
      <c r="E253" s="1912">
        <v>0.15</v>
      </c>
      <c r="F253" s="1913">
        <v>0.1</v>
      </c>
    </row>
    <row r="254" spans="1:6" ht="14.25" thickBot="1">
      <c r="A254" s="1342" t="s">
        <v>1469</v>
      </c>
      <c r="B254" s="1336" t="s">
        <v>1224</v>
      </c>
      <c r="C254" s="1918"/>
      <c r="D254" s="1918"/>
      <c r="E254" s="1918"/>
      <c r="F254" s="1913">
        <v>0.15</v>
      </c>
    </row>
    <row r="255" spans="1:6" ht="14.25" thickBot="1">
      <c r="A255" s="1342" t="s">
        <v>1469</v>
      </c>
      <c r="B255" s="1336" t="s">
        <v>1235</v>
      </c>
      <c r="C255" s="1918"/>
      <c r="D255" s="1918"/>
      <c r="E255" s="1918"/>
      <c r="F255" s="1913">
        <v>0.14299999999999999</v>
      </c>
    </row>
    <row r="256" spans="1:6" ht="14.25" thickBot="1">
      <c r="A256" s="1342" t="s">
        <v>1469</v>
      </c>
      <c r="B256" s="1336" t="s">
        <v>2116</v>
      </c>
      <c r="C256" s="1912">
        <v>0.14599999999999999</v>
      </c>
      <c r="D256" s="1912">
        <v>0.14699999999999999</v>
      </c>
      <c r="E256" s="1912">
        <v>0.15</v>
      </c>
      <c r="F256" s="1913">
        <v>0.13200000000000001</v>
      </c>
    </row>
    <row r="257" spans="1:6" ht="14.25" thickBot="1">
      <c r="A257" s="1342" t="s">
        <v>1469</v>
      </c>
      <c r="B257" s="1336" t="s">
        <v>1257</v>
      </c>
      <c r="C257" s="1912">
        <v>0.15</v>
      </c>
      <c r="D257" s="1912">
        <v>0.15</v>
      </c>
      <c r="E257" s="1912">
        <v>0.15</v>
      </c>
      <c r="F257" s="1913">
        <v>0.13900000000000001</v>
      </c>
    </row>
    <row r="258" spans="1:6" ht="14.25" thickBot="1">
      <c r="A258" s="1342" t="s">
        <v>1469</v>
      </c>
      <c r="B258" s="1336" t="s">
        <v>1268</v>
      </c>
      <c r="C258" s="1912">
        <v>0.15</v>
      </c>
      <c r="D258" s="1912">
        <v>0.15</v>
      </c>
      <c r="E258" s="1912">
        <v>0.15</v>
      </c>
      <c r="F258" s="1913">
        <v>0.13</v>
      </c>
    </row>
    <row r="259" spans="1:6" ht="14.25" thickBot="1">
      <c r="A259" s="1342" t="s">
        <v>1469</v>
      </c>
      <c r="B259" s="1336" t="s">
        <v>2117</v>
      </c>
      <c r="C259" s="1912">
        <v>0.14799999999999999</v>
      </c>
      <c r="D259" s="1912">
        <v>0.14899999999999999</v>
      </c>
      <c r="E259" s="1912">
        <v>0.15</v>
      </c>
      <c r="F259" s="1913">
        <v>0.13700000000000001</v>
      </c>
    </row>
    <row r="260" spans="1:6" ht="14.25" thickBot="1">
      <c r="A260" s="1342" t="s">
        <v>1469</v>
      </c>
      <c r="B260" s="1336" t="s">
        <v>1289</v>
      </c>
      <c r="C260" s="1912">
        <v>0.15</v>
      </c>
      <c r="D260" s="1912">
        <v>0.15</v>
      </c>
      <c r="E260" s="1912">
        <v>0.15</v>
      </c>
      <c r="F260" s="1913">
        <v>0.14199999999999999</v>
      </c>
    </row>
    <row r="261" spans="1:6" ht="14.25" thickBot="1">
      <c r="A261" s="1342" t="s">
        <v>1469</v>
      </c>
      <c r="B261" s="1336" t="s">
        <v>1299</v>
      </c>
      <c r="C261" s="1912">
        <v>0.15</v>
      </c>
      <c r="D261" s="1912">
        <v>0.15</v>
      </c>
      <c r="E261" s="1912">
        <v>0.14899999999999999</v>
      </c>
      <c r="F261" s="1913">
        <v>0.14799999999999999</v>
      </c>
    </row>
    <row r="262" spans="1:6" ht="14.25" thickBot="1">
      <c r="A262" s="1342" t="s">
        <v>1469</v>
      </c>
      <c r="B262" s="1336" t="s">
        <v>1309</v>
      </c>
      <c r="C262" s="1912">
        <v>0.15</v>
      </c>
      <c r="D262" s="1912">
        <v>0.15</v>
      </c>
      <c r="E262" s="1912">
        <v>0.15</v>
      </c>
      <c r="F262" s="1917"/>
    </row>
    <row r="263" spans="1:6" ht="14.25" thickBot="1">
      <c r="A263" s="1342" t="s">
        <v>1469</v>
      </c>
      <c r="B263" s="1336" t="s">
        <v>2118</v>
      </c>
      <c r="C263" s="1912">
        <v>0.14899999999999999</v>
      </c>
      <c r="D263" s="1912">
        <v>0.14899999999999999</v>
      </c>
      <c r="E263" s="1912">
        <v>0.15</v>
      </c>
      <c r="F263" s="1913">
        <v>0.13</v>
      </c>
    </row>
    <row r="264" spans="1:6" ht="14.25" thickBot="1">
      <c r="A264" s="1342" t="s">
        <v>1469</v>
      </c>
      <c r="B264" s="1336" t="s">
        <v>1328</v>
      </c>
      <c r="C264" s="1912">
        <v>0.14799999999999999</v>
      </c>
      <c r="D264" s="1912">
        <v>0.14699999999999999</v>
      </c>
      <c r="E264" s="1912">
        <v>0.15</v>
      </c>
      <c r="F264" s="1913">
        <v>7.8E-2</v>
      </c>
    </row>
    <row r="265" spans="1:6" ht="14.25" thickBot="1">
      <c r="A265" s="1342" t="s">
        <v>1469</v>
      </c>
      <c r="B265" s="1336" t="s">
        <v>1337</v>
      </c>
      <c r="C265" s="1912">
        <v>0.15</v>
      </c>
      <c r="D265" s="1912">
        <v>0.15</v>
      </c>
      <c r="E265" s="1912">
        <v>0.15</v>
      </c>
      <c r="F265" s="1913">
        <v>7.3999999999999996E-2</v>
      </c>
    </row>
    <row r="266" spans="1:6" ht="14.25" thickBot="1">
      <c r="A266" s="1342" t="s">
        <v>1469</v>
      </c>
      <c r="B266" s="1336" t="s">
        <v>1345</v>
      </c>
      <c r="C266" s="1912">
        <v>0.14699999999999999</v>
      </c>
      <c r="D266" s="1912">
        <v>0.14699999999999999</v>
      </c>
      <c r="E266" s="1912">
        <v>0.15</v>
      </c>
      <c r="F266" s="1913">
        <v>0.14299999999999999</v>
      </c>
    </row>
    <row r="267" spans="1:6" ht="14.25" thickBot="1">
      <c r="A267" s="1342" t="s">
        <v>1469</v>
      </c>
      <c r="B267" s="1336" t="s">
        <v>1352</v>
      </c>
      <c r="C267" s="1912">
        <v>0.14199999999999999</v>
      </c>
      <c r="D267" s="1912">
        <v>0.14299999999999999</v>
      </c>
      <c r="E267" s="1912">
        <v>0.15</v>
      </c>
      <c r="F267" s="1917"/>
    </row>
    <row r="268" spans="1:6" ht="14.25" thickBot="1">
      <c r="A268" s="1342" t="s">
        <v>1469</v>
      </c>
      <c r="B268" s="1336" t="s">
        <v>2119</v>
      </c>
      <c r="C268" s="1912">
        <v>0.15</v>
      </c>
      <c r="D268" s="1912">
        <v>0.15</v>
      </c>
      <c r="E268" s="1912">
        <v>0.15</v>
      </c>
      <c r="F268" s="1913">
        <v>0.13</v>
      </c>
    </row>
    <row r="269" spans="1:6" ht="14.25" thickBot="1">
      <c r="A269" s="1342" t="s">
        <v>1469</v>
      </c>
      <c r="B269" s="1336" t="s">
        <v>1366</v>
      </c>
      <c r="C269" s="1912">
        <v>0.15</v>
      </c>
      <c r="D269" s="1912">
        <v>0.15</v>
      </c>
      <c r="E269" s="1912">
        <v>0.15</v>
      </c>
      <c r="F269" s="1913">
        <v>0.14299999999999999</v>
      </c>
    </row>
    <row r="270" spans="1:6" ht="14.25" thickBot="1">
      <c r="A270" s="1342" t="s">
        <v>1469</v>
      </c>
      <c r="B270" s="1336" t="s">
        <v>1373</v>
      </c>
      <c r="C270" s="1912">
        <v>0.14499999999999999</v>
      </c>
      <c r="D270" s="1912">
        <v>0.14499999999999999</v>
      </c>
      <c r="E270" s="1912">
        <v>0.15</v>
      </c>
      <c r="F270" s="1913">
        <v>0.14699999999999999</v>
      </c>
    </row>
    <row r="271" spans="1:6" ht="14.25" thickBot="1">
      <c r="A271" s="1342" t="s">
        <v>1469</v>
      </c>
      <c r="B271" s="1336" t="s">
        <v>1380</v>
      </c>
      <c r="C271" s="1912">
        <v>0.15</v>
      </c>
      <c r="D271" s="1912">
        <v>0.15</v>
      </c>
      <c r="E271" s="1912">
        <v>0.15</v>
      </c>
      <c r="F271" s="1913">
        <v>0.13800000000000001</v>
      </c>
    </row>
    <row r="272" spans="1:6" ht="14.25" thickBot="1">
      <c r="A272" s="1342" t="s">
        <v>1469</v>
      </c>
      <c r="B272" s="1336" t="s">
        <v>1387</v>
      </c>
      <c r="C272" s="1918"/>
      <c r="D272" s="1918"/>
      <c r="E272" s="1918"/>
      <c r="F272" s="1913">
        <v>0.14000000000000001</v>
      </c>
    </row>
    <row r="273" spans="1:6" ht="14.25" thickBot="1">
      <c r="A273" s="1342" t="s">
        <v>1469</v>
      </c>
      <c r="B273" s="1336" t="s">
        <v>2120</v>
      </c>
      <c r="C273" s="1912">
        <v>0.14199999999999999</v>
      </c>
      <c r="D273" s="1912">
        <v>0.14299999999999999</v>
      </c>
      <c r="E273" s="1912">
        <v>0.15</v>
      </c>
      <c r="F273" s="1913">
        <v>0.1</v>
      </c>
    </row>
    <row r="274" spans="1:6" ht="14.25" thickBot="1">
      <c r="A274" s="1342" t="s">
        <v>1469</v>
      </c>
      <c r="B274" s="1336" t="s">
        <v>2121</v>
      </c>
      <c r="C274" s="1912">
        <v>0.14799999999999999</v>
      </c>
      <c r="D274" s="1912">
        <v>0.14799999999999999</v>
      </c>
      <c r="E274" s="1912">
        <v>0.15</v>
      </c>
      <c r="F274" s="1913">
        <v>6.7000000000000004E-2</v>
      </c>
    </row>
    <row r="275" spans="1:6" ht="14.25" thickBot="1">
      <c r="A275" s="1342" t="s">
        <v>1469</v>
      </c>
      <c r="B275" s="1336" t="s">
        <v>2122</v>
      </c>
      <c r="C275" s="1912">
        <v>0.15</v>
      </c>
      <c r="D275" s="1912">
        <v>0.15</v>
      </c>
      <c r="E275" s="1912">
        <v>0.15</v>
      </c>
      <c r="F275" s="1913">
        <v>0.15</v>
      </c>
    </row>
    <row r="276" spans="1:6" ht="14.25" thickBot="1">
      <c r="A276" s="1342" t="s">
        <v>1469</v>
      </c>
      <c r="B276" s="1336" t="s">
        <v>2123</v>
      </c>
      <c r="C276" s="1912">
        <v>0.14499999999999999</v>
      </c>
      <c r="D276" s="1912">
        <v>0.14299999999999999</v>
      </c>
      <c r="E276" s="1912">
        <v>0.15</v>
      </c>
      <c r="F276" s="1913">
        <v>5.8999999999999997E-2</v>
      </c>
    </row>
    <row r="277" spans="1:6" ht="14.25" thickBot="1">
      <c r="A277" s="1342" t="s">
        <v>1469</v>
      </c>
      <c r="B277" s="1336" t="s">
        <v>2124</v>
      </c>
      <c r="C277" s="1912">
        <v>0.15</v>
      </c>
      <c r="D277" s="1912">
        <v>0.15</v>
      </c>
      <c r="E277" s="1912">
        <v>0.15</v>
      </c>
      <c r="F277" s="1913">
        <v>0.121</v>
      </c>
    </row>
    <row r="278" spans="1:6" ht="14.25" thickBot="1">
      <c r="A278" s="1342" t="s">
        <v>1469</v>
      </c>
      <c r="B278" s="1336" t="s">
        <v>2125</v>
      </c>
      <c r="C278" s="1912">
        <v>0.15</v>
      </c>
      <c r="D278" s="1912">
        <v>0.15</v>
      </c>
      <c r="E278" s="1912">
        <v>0.15</v>
      </c>
      <c r="F278" s="1913">
        <v>0.13800000000000001</v>
      </c>
    </row>
    <row r="279" spans="1:6" ht="24.75" thickBot="1">
      <c r="A279" s="1342" t="s">
        <v>1469</v>
      </c>
      <c r="B279" s="1336" t="s">
        <v>2126</v>
      </c>
      <c r="C279" s="1918"/>
      <c r="D279" s="1918"/>
      <c r="E279" s="1918"/>
      <c r="F279" s="1913">
        <v>0.05</v>
      </c>
    </row>
    <row r="280" spans="1:6" ht="24.75" thickBot="1">
      <c r="A280" s="1342" t="s">
        <v>1469</v>
      </c>
      <c r="B280" s="1336" t="s">
        <v>2127</v>
      </c>
      <c r="C280" s="1918"/>
      <c r="D280" s="1918"/>
      <c r="E280" s="1918"/>
      <c r="F280" s="1913">
        <v>0.05</v>
      </c>
    </row>
    <row r="281" spans="1:6" ht="24.75" thickBot="1">
      <c r="A281" s="1342" t="s">
        <v>1469</v>
      </c>
      <c r="B281" s="1336" t="s">
        <v>2128</v>
      </c>
      <c r="C281" s="1918"/>
      <c r="D281" s="1918"/>
      <c r="E281" s="1918"/>
      <c r="F281" s="1913">
        <v>0.05</v>
      </c>
    </row>
    <row r="282" spans="1:6" ht="24.75" thickBot="1">
      <c r="A282" s="1342" t="s">
        <v>1469</v>
      </c>
      <c r="B282" s="1336" t="s">
        <v>2129</v>
      </c>
      <c r="C282" s="1918"/>
      <c r="D282" s="1918"/>
      <c r="E282" s="1918"/>
      <c r="F282" s="1913">
        <v>0.05</v>
      </c>
    </row>
    <row r="283" spans="1:6" ht="24.75" thickBot="1">
      <c r="A283" s="1342" t="s">
        <v>1469</v>
      </c>
      <c r="B283" s="1336" t="s">
        <v>2130</v>
      </c>
      <c r="C283" s="1918"/>
      <c r="D283" s="1918"/>
      <c r="E283" s="1918"/>
      <c r="F283" s="1913">
        <v>0.05</v>
      </c>
    </row>
    <row r="284" spans="1:6" ht="24.75" thickBot="1">
      <c r="A284" s="1342" t="s">
        <v>1469</v>
      </c>
      <c r="B284" s="1336" t="s">
        <v>2131</v>
      </c>
      <c r="C284" s="1918"/>
      <c r="D284" s="1918"/>
      <c r="E284" s="1918"/>
      <c r="F284" s="1913">
        <v>0.05</v>
      </c>
    </row>
    <row r="285" spans="1:6" ht="24.75" thickBot="1">
      <c r="A285" s="1342" t="s">
        <v>1469</v>
      </c>
      <c r="B285" s="1336" t="s">
        <v>2132</v>
      </c>
      <c r="C285" s="1918"/>
      <c r="D285" s="1918"/>
      <c r="E285" s="1918"/>
      <c r="F285" s="1913">
        <v>0.05</v>
      </c>
    </row>
    <row r="286" spans="1:6" ht="24.75" thickBot="1">
      <c r="A286" s="1342" t="s">
        <v>1469</v>
      </c>
      <c r="B286" s="1336" t="s">
        <v>2133</v>
      </c>
      <c r="C286" s="1918"/>
      <c r="D286" s="1918"/>
      <c r="E286" s="1918"/>
      <c r="F286" s="1913">
        <v>0.05</v>
      </c>
    </row>
    <row r="287" spans="1:6" ht="24.75" thickBot="1">
      <c r="A287" s="1342" t="s">
        <v>1469</v>
      </c>
      <c r="B287" s="1336" t="s">
        <v>2134</v>
      </c>
      <c r="C287" s="1918"/>
      <c r="D287" s="1918"/>
      <c r="E287" s="1918"/>
      <c r="F287" s="1913">
        <v>0.05</v>
      </c>
    </row>
    <row r="288" spans="1:6" ht="24.75" thickBot="1">
      <c r="A288" s="1342" t="s">
        <v>1469</v>
      </c>
      <c r="B288" s="1336" t="s">
        <v>2135</v>
      </c>
      <c r="C288" s="1918"/>
      <c r="D288" s="1918"/>
      <c r="E288" s="1918"/>
      <c r="F288" s="1913">
        <v>0.05</v>
      </c>
    </row>
    <row r="289" spans="1:6" ht="24.75" thickBot="1">
      <c r="A289" s="1359" t="s">
        <v>1469</v>
      </c>
      <c r="B289" s="1352" t="s">
        <v>2136</v>
      </c>
      <c r="C289" s="1915"/>
      <c r="D289" s="1915"/>
      <c r="E289" s="1915"/>
      <c r="F289" s="1919">
        <v>0.05</v>
      </c>
    </row>
    <row r="290" spans="1:6" ht="14.25" thickBot="1">
      <c r="A290" s="1342" t="s">
        <v>1473</v>
      </c>
      <c r="B290" s="1343" t="s">
        <v>2137</v>
      </c>
      <c r="C290" s="1910">
        <v>0.15</v>
      </c>
      <c r="D290" s="1910">
        <v>0.15</v>
      </c>
      <c r="E290" s="1910">
        <v>0.15</v>
      </c>
      <c r="F290" s="1927"/>
    </row>
    <row r="291" spans="1:6" ht="14.25" thickBot="1">
      <c r="A291" s="1342" t="s">
        <v>1473</v>
      </c>
      <c r="B291" s="1336" t="s">
        <v>1127</v>
      </c>
      <c r="C291" s="1912">
        <v>0.15</v>
      </c>
      <c r="D291" s="1912">
        <v>0.15</v>
      </c>
      <c r="E291" s="1912">
        <v>0.15</v>
      </c>
      <c r="F291" s="1917"/>
    </row>
    <row r="292" spans="1:6" ht="14.25" thickBot="1">
      <c r="A292" s="1342" t="s">
        <v>1473</v>
      </c>
      <c r="B292" s="1336" t="s">
        <v>2138</v>
      </c>
      <c r="C292" s="1912">
        <v>0.15</v>
      </c>
      <c r="D292" s="1912">
        <v>0.15</v>
      </c>
      <c r="E292" s="1912">
        <v>0.15</v>
      </c>
      <c r="F292" s="1913">
        <v>0.14699999999999999</v>
      </c>
    </row>
    <row r="293" spans="1:6" ht="14.25" thickBot="1">
      <c r="A293" s="1342" t="s">
        <v>1473</v>
      </c>
      <c r="B293" s="1336" t="s">
        <v>2139</v>
      </c>
      <c r="C293" s="1918"/>
      <c r="D293" s="1918"/>
      <c r="E293" s="1918"/>
      <c r="F293" s="1913">
        <v>0.1</v>
      </c>
    </row>
    <row r="294" spans="1:6" ht="14.25" thickBot="1">
      <c r="A294" s="1342" t="s">
        <v>1473</v>
      </c>
      <c r="B294" s="1336" t="s">
        <v>2140</v>
      </c>
      <c r="C294" s="1912">
        <v>0.15</v>
      </c>
      <c r="D294" s="1912">
        <v>0.15</v>
      </c>
      <c r="E294" s="1912">
        <v>0.15</v>
      </c>
      <c r="F294" s="1913">
        <v>0.15</v>
      </c>
    </row>
    <row r="295" spans="1:6" ht="14.25" thickBot="1">
      <c r="A295" s="1342" t="s">
        <v>1473</v>
      </c>
      <c r="B295" s="1336" t="s">
        <v>1165</v>
      </c>
      <c r="C295" s="1912">
        <v>0.15</v>
      </c>
      <c r="D295" s="1912">
        <v>0.15</v>
      </c>
      <c r="E295" s="1912">
        <v>0.15</v>
      </c>
      <c r="F295" s="1913">
        <v>0.15</v>
      </c>
    </row>
    <row r="296" spans="1:6" ht="14.25" thickBot="1">
      <c r="A296" s="1342" t="s">
        <v>1473</v>
      </c>
      <c r="B296" s="1336" t="s">
        <v>2141</v>
      </c>
      <c r="C296" s="1912">
        <v>0.15</v>
      </c>
      <c r="D296" s="1912">
        <v>0.15</v>
      </c>
      <c r="E296" s="1912">
        <v>0.15</v>
      </c>
      <c r="F296" s="1913">
        <v>0.15</v>
      </c>
    </row>
    <row r="297" spans="1:6" ht="14.25" thickBot="1">
      <c r="A297" s="1342" t="s">
        <v>1473</v>
      </c>
      <c r="B297" s="1336" t="s">
        <v>2142</v>
      </c>
      <c r="C297" s="1912">
        <v>0.14799999999999999</v>
      </c>
      <c r="D297" s="1912">
        <v>0.14899999999999999</v>
      </c>
      <c r="E297" s="1912">
        <v>0.15</v>
      </c>
      <c r="F297" s="1913">
        <v>0.13700000000000001</v>
      </c>
    </row>
    <row r="298" spans="1:6" ht="14.25" thickBot="1">
      <c r="A298" s="1342" t="s">
        <v>1473</v>
      </c>
      <c r="B298" s="1336" t="s">
        <v>1201</v>
      </c>
      <c r="C298" s="1912">
        <v>0.13400000000000001</v>
      </c>
      <c r="D298" s="1912">
        <v>0.13400000000000001</v>
      </c>
      <c r="E298" s="1912">
        <v>0.14499999999999999</v>
      </c>
      <c r="F298" s="1913">
        <v>0.14799999999999999</v>
      </c>
    </row>
    <row r="299" spans="1:6" ht="14.25" thickBot="1">
      <c r="A299" s="1342" t="s">
        <v>1473</v>
      </c>
      <c r="B299" s="1336" t="s">
        <v>1214</v>
      </c>
      <c r="C299" s="1912">
        <v>0.15</v>
      </c>
      <c r="D299" s="1912">
        <v>0.15</v>
      </c>
      <c r="E299" s="1912">
        <v>0.15</v>
      </c>
      <c r="F299" s="1917"/>
    </row>
    <row r="300" spans="1:6" ht="14.25" thickBot="1">
      <c r="A300" s="1342" t="s">
        <v>1473</v>
      </c>
      <c r="B300" s="1336" t="s">
        <v>2143</v>
      </c>
      <c r="C300" s="1912">
        <v>0.15</v>
      </c>
      <c r="D300" s="1912">
        <v>0.15</v>
      </c>
      <c r="E300" s="1912">
        <v>0.15</v>
      </c>
      <c r="F300" s="1913">
        <v>0.15</v>
      </c>
    </row>
    <row r="301" spans="1:6" ht="14.25" thickBot="1">
      <c r="A301" s="1342" t="s">
        <v>1473</v>
      </c>
      <c r="B301" s="1336" t="s">
        <v>1236</v>
      </c>
      <c r="C301" s="1912">
        <v>0.15</v>
      </c>
      <c r="D301" s="1912">
        <v>0.15</v>
      </c>
      <c r="E301" s="1912">
        <v>0.15</v>
      </c>
      <c r="F301" s="1917"/>
    </row>
    <row r="302" spans="1:6" ht="14.25" thickBot="1">
      <c r="A302" s="1342" t="s">
        <v>1473</v>
      </c>
      <c r="B302" s="1336" t="s">
        <v>2144</v>
      </c>
      <c r="C302" s="1912">
        <v>0.15</v>
      </c>
      <c r="D302" s="1912">
        <v>0.15</v>
      </c>
      <c r="E302" s="1912">
        <v>0.15</v>
      </c>
      <c r="F302" s="1913">
        <v>0.15</v>
      </c>
    </row>
    <row r="303" spans="1:6" ht="14.25" thickBot="1">
      <c r="A303" s="1342" t="s">
        <v>1473</v>
      </c>
      <c r="B303" s="1336" t="s">
        <v>1258</v>
      </c>
      <c r="C303" s="1912">
        <v>0.15</v>
      </c>
      <c r="D303" s="1912">
        <v>0.15</v>
      </c>
      <c r="E303" s="1912">
        <v>0.15</v>
      </c>
      <c r="F303" s="1913">
        <v>0.15</v>
      </c>
    </row>
    <row r="304" spans="1:6" ht="14.25" thickBot="1">
      <c r="A304" s="1342" t="s">
        <v>1473</v>
      </c>
      <c r="B304" s="1336" t="s">
        <v>1269</v>
      </c>
      <c r="C304" s="1912">
        <v>0.15</v>
      </c>
      <c r="D304" s="1912">
        <v>0.15</v>
      </c>
      <c r="E304" s="1912">
        <v>0.15</v>
      </c>
      <c r="F304" s="1917"/>
    </row>
    <row r="305" spans="1:6" ht="14.25" thickBot="1">
      <c r="A305" s="1342" t="s">
        <v>1473</v>
      </c>
      <c r="B305" s="1336" t="s">
        <v>2145</v>
      </c>
      <c r="C305" s="1912">
        <v>0.15</v>
      </c>
      <c r="D305" s="1912">
        <v>0.15</v>
      </c>
      <c r="E305" s="1912">
        <v>0.15</v>
      </c>
      <c r="F305" s="1913">
        <v>0.14000000000000001</v>
      </c>
    </row>
    <row r="306" spans="1:6" ht="14.25" thickBot="1">
      <c r="A306" s="1342" t="s">
        <v>1473</v>
      </c>
      <c r="B306" s="1336" t="s">
        <v>1290</v>
      </c>
      <c r="C306" s="1912">
        <v>0.15</v>
      </c>
      <c r="D306" s="1912">
        <v>0.15</v>
      </c>
      <c r="E306" s="1912">
        <v>0.15</v>
      </c>
      <c r="F306" s="1917"/>
    </row>
    <row r="307" spans="1:6" ht="14.25" thickBot="1">
      <c r="A307" s="1342" t="s">
        <v>1473</v>
      </c>
      <c r="B307" s="1336" t="s">
        <v>2146</v>
      </c>
      <c r="C307" s="1912">
        <v>0.15</v>
      </c>
      <c r="D307" s="1912">
        <v>0.15</v>
      </c>
      <c r="E307" s="1912">
        <v>0.15</v>
      </c>
      <c r="F307" s="1913">
        <v>0.14299999999999999</v>
      </c>
    </row>
    <row r="308" spans="1:6" ht="14.25" thickBot="1">
      <c r="A308" s="1342" t="s">
        <v>1473</v>
      </c>
      <c r="B308" s="1336" t="s">
        <v>1310</v>
      </c>
      <c r="C308" s="1912">
        <v>0.15</v>
      </c>
      <c r="D308" s="1912">
        <v>0.15</v>
      </c>
      <c r="E308" s="1912">
        <v>0.15</v>
      </c>
      <c r="F308" s="1913">
        <v>0.15</v>
      </c>
    </row>
    <row r="309" spans="1:6" ht="14.25" thickBot="1">
      <c r="A309" s="1342" t="s">
        <v>1473</v>
      </c>
      <c r="B309" s="1336" t="s">
        <v>1320</v>
      </c>
      <c r="C309" s="1912">
        <v>0.15</v>
      </c>
      <c r="D309" s="1912">
        <v>0.15</v>
      </c>
      <c r="E309" s="1912">
        <v>0.15</v>
      </c>
      <c r="F309" s="1917"/>
    </row>
    <row r="310" spans="1:6" ht="14.25" thickBot="1">
      <c r="A310" s="1342" t="s">
        <v>1473</v>
      </c>
      <c r="B310" s="1336" t="s">
        <v>2147</v>
      </c>
      <c r="C310" s="1912">
        <v>0.15</v>
      </c>
      <c r="D310" s="1912">
        <v>0.15</v>
      </c>
      <c r="E310" s="1912">
        <v>0.15</v>
      </c>
      <c r="F310" s="1913">
        <v>0.13700000000000001</v>
      </c>
    </row>
    <row r="311" spans="1:6" ht="14.25" thickBot="1">
      <c r="A311" s="1342" t="s">
        <v>1473</v>
      </c>
      <c r="B311" s="1336" t="s">
        <v>2148</v>
      </c>
      <c r="C311" s="1912">
        <v>0.15</v>
      </c>
      <c r="D311" s="1912">
        <v>0.15</v>
      </c>
      <c r="E311" s="1912">
        <v>0.15</v>
      </c>
      <c r="F311" s="1913">
        <v>0.15</v>
      </c>
    </row>
    <row r="312" spans="1:6" ht="14.25" thickBot="1">
      <c r="A312" s="1342" t="s">
        <v>1473</v>
      </c>
      <c r="B312" s="1336" t="s">
        <v>1346</v>
      </c>
      <c r="C312" s="1912">
        <v>0.15</v>
      </c>
      <c r="D312" s="1912">
        <v>0.15</v>
      </c>
      <c r="E312" s="1912">
        <v>0.15</v>
      </c>
      <c r="F312" s="1913">
        <v>0.1</v>
      </c>
    </row>
    <row r="313" spans="1:6" ht="14.25" thickBot="1">
      <c r="A313" s="1342" t="s">
        <v>1473</v>
      </c>
      <c r="B313" s="1336" t="s">
        <v>2149</v>
      </c>
      <c r="C313" s="1912">
        <v>0.15</v>
      </c>
      <c r="D313" s="1912">
        <v>0.15</v>
      </c>
      <c r="E313" s="1912">
        <v>0.15</v>
      </c>
      <c r="F313" s="1913">
        <v>0.15</v>
      </c>
    </row>
    <row r="314" spans="1:6" ht="24.75" thickBot="1">
      <c r="A314" s="1342" t="s">
        <v>1473</v>
      </c>
      <c r="B314" s="1336" t="s">
        <v>2150</v>
      </c>
      <c r="C314" s="1918"/>
      <c r="D314" s="1918"/>
      <c r="E314" s="1918"/>
      <c r="F314" s="1913">
        <v>0.05</v>
      </c>
    </row>
    <row r="315" spans="1:6" ht="24.75" thickBot="1">
      <c r="A315" s="1342" t="s">
        <v>1473</v>
      </c>
      <c r="B315" s="1336" t="s">
        <v>2151</v>
      </c>
      <c r="C315" s="1918"/>
      <c r="D315" s="1918"/>
      <c r="E315" s="1918"/>
      <c r="F315" s="1913">
        <v>0.05</v>
      </c>
    </row>
    <row r="316" spans="1:6" ht="24.75" thickBot="1">
      <c r="A316" s="1359" t="s">
        <v>1473</v>
      </c>
      <c r="B316" s="1352" t="s">
        <v>2152</v>
      </c>
      <c r="C316" s="1915"/>
      <c r="D316" s="1915"/>
      <c r="E316" s="1915"/>
      <c r="F316" s="1919">
        <v>0.05</v>
      </c>
    </row>
    <row r="317" spans="1:6" ht="14.25" thickBot="1">
      <c r="A317" s="1342" t="s">
        <v>2153</v>
      </c>
      <c r="B317" s="1343" t="s">
        <v>2154</v>
      </c>
      <c r="C317" s="1910">
        <v>0.15</v>
      </c>
      <c r="D317" s="1910">
        <v>0.15</v>
      </c>
      <c r="E317" s="1910">
        <v>0.15</v>
      </c>
      <c r="F317" s="1911">
        <v>0.15</v>
      </c>
    </row>
    <row r="318" spans="1:6" ht="14.25" thickBot="1">
      <c r="A318" s="1342" t="s">
        <v>2153</v>
      </c>
      <c r="B318" s="1336" t="s">
        <v>2155</v>
      </c>
      <c r="C318" s="1912">
        <v>0.107</v>
      </c>
      <c r="D318" s="1912">
        <v>0.11</v>
      </c>
      <c r="E318" s="1912">
        <v>0.112</v>
      </c>
      <c r="F318" s="1917"/>
    </row>
    <row r="319" spans="1:6" ht="14.25" thickBot="1">
      <c r="A319" s="1342" t="s">
        <v>2153</v>
      </c>
      <c r="B319" s="1336" t="s">
        <v>2156</v>
      </c>
      <c r="C319" s="1912">
        <v>0.15</v>
      </c>
      <c r="D319" s="1912">
        <v>0.15</v>
      </c>
      <c r="E319" s="1912">
        <v>0.15</v>
      </c>
      <c r="F319" s="1913">
        <v>0.15</v>
      </c>
    </row>
    <row r="320" spans="1:6" ht="14.25" thickBot="1">
      <c r="A320" s="1342" t="s">
        <v>2153</v>
      </c>
      <c r="B320" s="1336" t="s">
        <v>1154</v>
      </c>
      <c r="C320" s="1912">
        <v>0.15</v>
      </c>
      <c r="D320" s="1912">
        <v>0.15</v>
      </c>
      <c r="E320" s="1912">
        <v>0.15</v>
      </c>
      <c r="F320" s="1917"/>
    </row>
    <row r="321" spans="1:6" ht="14.25" thickBot="1">
      <c r="A321" s="1342" t="s">
        <v>2153</v>
      </c>
      <c r="B321" s="1336" t="s">
        <v>2157</v>
      </c>
      <c r="C321" s="1912">
        <v>0.15</v>
      </c>
      <c r="D321" s="1912">
        <v>0.15</v>
      </c>
      <c r="E321" s="1912">
        <v>0.15</v>
      </c>
      <c r="F321" s="1917"/>
    </row>
    <row r="322" spans="1:6" ht="14.25" thickBot="1">
      <c r="A322" s="1342" t="s">
        <v>2153</v>
      </c>
      <c r="B322" s="1336" t="s">
        <v>2158</v>
      </c>
      <c r="C322" s="1912">
        <v>0.15</v>
      </c>
      <c r="D322" s="1912">
        <v>0.15</v>
      </c>
      <c r="E322" s="1912">
        <v>0.15</v>
      </c>
      <c r="F322" s="1913">
        <v>0.15</v>
      </c>
    </row>
    <row r="323" spans="1:6" ht="14.25" thickBot="1">
      <c r="A323" s="1342" t="s">
        <v>2153</v>
      </c>
      <c r="B323" s="1336" t="s">
        <v>2159</v>
      </c>
      <c r="C323" s="1912">
        <v>0.15</v>
      </c>
      <c r="D323" s="1912">
        <v>0.15</v>
      </c>
      <c r="E323" s="1912">
        <v>0.15</v>
      </c>
      <c r="F323" s="1917"/>
    </row>
    <row r="324" spans="1:6" ht="14.25" thickBot="1">
      <c r="A324" s="1342" t="s">
        <v>2153</v>
      </c>
      <c r="B324" s="1336" t="s">
        <v>2160</v>
      </c>
      <c r="C324" s="1912">
        <v>0.15</v>
      </c>
      <c r="D324" s="1912">
        <v>0.15</v>
      </c>
      <c r="E324" s="1912">
        <v>0.15</v>
      </c>
      <c r="F324" s="1917"/>
    </row>
    <row r="325" spans="1:6" ht="14.25" thickBot="1">
      <c r="A325" s="1342" t="s">
        <v>2153</v>
      </c>
      <c r="B325" s="1336" t="s">
        <v>2161</v>
      </c>
      <c r="C325" s="1912">
        <v>0.15</v>
      </c>
      <c r="D325" s="1912">
        <v>0.15</v>
      </c>
      <c r="E325" s="1912">
        <v>0.15</v>
      </c>
      <c r="F325" s="1913">
        <v>0.14699999999999999</v>
      </c>
    </row>
    <row r="326" spans="1:6" ht="14.25" thickBot="1">
      <c r="A326" s="1342" t="s">
        <v>2153</v>
      </c>
      <c r="B326" s="1336" t="s">
        <v>1226</v>
      </c>
      <c r="C326" s="1912">
        <v>0.15</v>
      </c>
      <c r="D326" s="1912">
        <v>0.15</v>
      </c>
      <c r="E326" s="1912">
        <v>0.15</v>
      </c>
      <c r="F326" s="1917"/>
    </row>
    <row r="327" spans="1:6" ht="14.25" thickBot="1">
      <c r="A327" s="1342" t="s">
        <v>2153</v>
      </c>
      <c r="B327" s="1336" t="s">
        <v>2162</v>
      </c>
      <c r="C327" s="1912">
        <v>0.15</v>
      </c>
      <c r="D327" s="1912">
        <v>0.15</v>
      </c>
      <c r="E327" s="1912">
        <v>0.15</v>
      </c>
      <c r="F327" s="1913">
        <v>0.15</v>
      </c>
    </row>
    <row r="328" spans="1:6" ht="14.25" thickBot="1">
      <c r="A328" s="1342" t="s">
        <v>2153</v>
      </c>
      <c r="B328" s="1336" t="s">
        <v>1248</v>
      </c>
      <c r="C328" s="1912">
        <v>0.15</v>
      </c>
      <c r="D328" s="1912">
        <v>0.15</v>
      </c>
      <c r="E328" s="1912">
        <v>0.15</v>
      </c>
      <c r="F328" s="1913">
        <v>0.14099999999999999</v>
      </c>
    </row>
    <row r="329" spans="1:6" ht="14.25" thickBot="1">
      <c r="A329" s="1342" t="s">
        <v>2153</v>
      </c>
      <c r="B329" s="1336" t="s">
        <v>1259</v>
      </c>
      <c r="C329" s="1912">
        <v>0.15</v>
      </c>
      <c r="D329" s="1912">
        <v>0.15</v>
      </c>
      <c r="E329" s="1912">
        <v>0.15</v>
      </c>
      <c r="F329" s="1913">
        <v>0.15</v>
      </c>
    </row>
    <row r="330" spans="1:6" ht="14.25" thickBot="1">
      <c r="A330" s="1342" t="s">
        <v>2153</v>
      </c>
      <c r="B330" s="1336" t="s">
        <v>1270</v>
      </c>
      <c r="C330" s="1912">
        <v>0.15</v>
      </c>
      <c r="D330" s="1912">
        <v>0.15</v>
      </c>
      <c r="E330" s="1912">
        <v>0.15</v>
      </c>
      <c r="F330" s="1917"/>
    </row>
    <row r="331" spans="1:6" ht="14.25" thickBot="1">
      <c r="A331" s="1342" t="s">
        <v>2153</v>
      </c>
      <c r="B331" s="1336" t="s">
        <v>2163</v>
      </c>
      <c r="C331" s="1912">
        <v>0.15</v>
      </c>
      <c r="D331" s="1912">
        <v>0.15</v>
      </c>
      <c r="E331" s="1912">
        <v>0.15</v>
      </c>
      <c r="F331" s="1913">
        <v>0.15</v>
      </c>
    </row>
    <row r="332" spans="1:6" ht="14.25" thickBot="1">
      <c r="A332" s="1342" t="s">
        <v>2153</v>
      </c>
      <c r="B332" s="1336" t="s">
        <v>1291</v>
      </c>
      <c r="C332" s="1912">
        <v>0.15</v>
      </c>
      <c r="D332" s="1912">
        <v>0.15</v>
      </c>
      <c r="E332" s="1912">
        <v>0.15</v>
      </c>
      <c r="F332" s="1913">
        <v>0.15</v>
      </c>
    </row>
    <row r="333" spans="1:6" ht="14.25" thickBot="1">
      <c r="A333" s="1342" t="s">
        <v>2153</v>
      </c>
      <c r="B333" s="1336" t="s">
        <v>2164</v>
      </c>
      <c r="C333" s="1912">
        <v>0.15</v>
      </c>
      <c r="D333" s="1912">
        <v>0.15</v>
      </c>
      <c r="E333" s="1912">
        <v>0.15</v>
      </c>
      <c r="F333" s="1913">
        <v>0.14099999999999999</v>
      </c>
    </row>
    <row r="334" spans="1:6" ht="14.25" thickBot="1">
      <c r="A334" s="1342" t="s">
        <v>2153</v>
      </c>
      <c r="B334" s="1336" t="s">
        <v>1311</v>
      </c>
      <c r="C334" s="1912">
        <v>0.15</v>
      </c>
      <c r="D334" s="1912">
        <v>0.15</v>
      </c>
      <c r="E334" s="1912">
        <v>0.15</v>
      </c>
      <c r="F334" s="1913">
        <v>0.15</v>
      </c>
    </row>
    <row r="335" spans="1:6" ht="14.25" thickBot="1">
      <c r="A335" s="1342" t="s">
        <v>2153</v>
      </c>
      <c r="B335" s="1336" t="s">
        <v>1321</v>
      </c>
      <c r="C335" s="1912">
        <v>0.15</v>
      </c>
      <c r="D335" s="1912">
        <v>0.15</v>
      </c>
      <c r="E335" s="1912">
        <v>0.15</v>
      </c>
      <c r="F335" s="1917"/>
    </row>
    <row r="336" spans="1:6" ht="14.25" thickBot="1">
      <c r="A336" s="1342" t="s">
        <v>2153</v>
      </c>
      <c r="B336" s="1336" t="s">
        <v>2165</v>
      </c>
      <c r="C336" s="1912">
        <v>0.15</v>
      </c>
      <c r="D336" s="1912">
        <v>0.15</v>
      </c>
      <c r="E336" s="1912">
        <v>0.15</v>
      </c>
      <c r="F336" s="1913">
        <v>0.11799999999999999</v>
      </c>
    </row>
    <row r="337" spans="1:6" ht="14.25" thickBot="1">
      <c r="A337" s="1359" t="s">
        <v>2153</v>
      </c>
      <c r="B337" s="1352" t="s">
        <v>1339</v>
      </c>
      <c r="C337" s="1915"/>
      <c r="D337" s="1915"/>
      <c r="E337" s="1915"/>
      <c r="F337" s="1919">
        <v>0.14299999999999999</v>
      </c>
    </row>
    <row r="338" spans="1:6" ht="14.25" thickBot="1">
      <c r="A338" s="1342" t="s">
        <v>2166</v>
      </c>
      <c r="B338" s="1343" t="s">
        <v>2167</v>
      </c>
      <c r="C338" s="1910">
        <v>0.15</v>
      </c>
      <c r="D338" s="1910">
        <v>0.15</v>
      </c>
      <c r="E338" s="1910">
        <v>0.15</v>
      </c>
      <c r="F338" s="1927"/>
    </row>
    <row r="339" spans="1:6" ht="14.25" thickBot="1">
      <c r="A339" s="1342" t="s">
        <v>2166</v>
      </c>
      <c r="B339" s="1336" t="s">
        <v>2168</v>
      </c>
      <c r="C339" s="1912">
        <v>0.15</v>
      </c>
      <c r="D339" s="1912">
        <v>0.15</v>
      </c>
      <c r="E339" s="1912">
        <v>0.15</v>
      </c>
      <c r="F339" s="1917"/>
    </row>
    <row r="340" spans="1:6" ht="14.25" thickBot="1">
      <c r="A340" s="1342" t="s">
        <v>2166</v>
      </c>
      <c r="B340" s="1336" t="s">
        <v>2169</v>
      </c>
      <c r="C340" s="1912">
        <v>0.15</v>
      </c>
      <c r="D340" s="1912">
        <v>0.15</v>
      </c>
      <c r="E340" s="1912">
        <v>0.15</v>
      </c>
      <c r="F340" s="1917"/>
    </row>
    <row r="341" spans="1:6" ht="14.25" thickBot="1">
      <c r="A341" s="1342" t="s">
        <v>2166</v>
      </c>
      <c r="B341" s="1336" t="s">
        <v>2170</v>
      </c>
      <c r="C341" s="1912">
        <v>0.15</v>
      </c>
      <c r="D341" s="1912">
        <v>0.15</v>
      </c>
      <c r="E341" s="1912">
        <v>0.15</v>
      </c>
      <c r="F341" s="1913">
        <v>0.15</v>
      </c>
    </row>
    <row r="342" spans="1:6" ht="14.25" thickBot="1">
      <c r="A342" s="1342" t="s">
        <v>2166</v>
      </c>
      <c r="B342" s="1336" t="s">
        <v>2171</v>
      </c>
      <c r="C342" s="1912">
        <v>0.15</v>
      </c>
      <c r="D342" s="1912">
        <v>0.15</v>
      </c>
      <c r="E342" s="1912">
        <v>0.15</v>
      </c>
      <c r="F342" s="1913">
        <v>0.15</v>
      </c>
    </row>
    <row r="343" spans="1:6" ht="14.25" thickBot="1">
      <c r="A343" s="1342" t="s">
        <v>2166</v>
      </c>
      <c r="B343" s="1336" t="s">
        <v>2172</v>
      </c>
      <c r="C343" s="1912">
        <v>0.15</v>
      </c>
      <c r="D343" s="1912">
        <v>0.15</v>
      </c>
      <c r="E343" s="1912">
        <v>0.15</v>
      </c>
      <c r="F343" s="1913">
        <v>0.15</v>
      </c>
    </row>
    <row r="344" spans="1:6" ht="14.25" thickBot="1">
      <c r="A344" s="1359" t="s">
        <v>2166</v>
      </c>
      <c r="B344" s="1352" t="s">
        <v>2173</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59" customWidth="1"/>
    <col min="3" max="3" width="9" style="2260"/>
    <col min="4" max="5" width="9" style="2261"/>
    <col min="6" max="6" width="9" style="2262"/>
    <col min="7" max="7" width="11.875" style="1865" customWidth="1"/>
    <col min="8" max="8" width="9" style="2262"/>
    <col min="9" max="13" width="9" style="1865"/>
    <col min="14" max="20" width="9" style="2250"/>
    <col min="21" max="16384" width="9" style="1865"/>
  </cols>
  <sheetData>
    <row r="1" spans="1:20" s="2251" customFormat="1" ht="18" customHeight="1" thickBot="1">
      <c r="A1" s="1297" t="s">
        <v>1690</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1114</v>
      </c>
      <c r="B2" s="1301">
        <f>1+F4</f>
        <v>1.0128999999999999</v>
      </c>
      <c r="C2" s="1302"/>
      <c r="D2" s="1303"/>
      <c r="E2" s="1303"/>
      <c r="F2" s="1304"/>
      <c r="G2" s="2252"/>
      <c r="H2" s="2248"/>
      <c r="I2" s="2249"/>
      <c r="J2" s="2249"/>
      <c r="K2" s="2249"/>
      <c r="L2" s="2249"/>
      <c r="M2" s="2249"/>
    </row>
    <row r="3" spans="1:20" ht="13.5">
      <c r="A3" s="1306" t="s">
        <v>1691</v>
      </c>
      <c r="B3" s="1307" t="s">
        <v>1692</v>
      </c>
      <c r="C3" s="1308" t="s">
        <v>1693</v>
      </c>
      <c r="D3" s="1309" t="s">
        <v>1776</v>
      </c>
      <c r="E3" s="1309" t="s">
        <v>1777</v>
      </c>
      <c r="F3" s="1310" t="s">
        <v>1778</v>
      </c>
      <c r="G3" s="1311" t="s">
        <v>2174</v>
      </c>
      <c r="H3" s="1309" t="s">
        <v>1771</v>
      </c>
      <c r="I3" s="805" t="s">
        <v>439</v>
      </c>
      <c r="J3" s="805" t="s">
        <v>440</v>
      </c>
      <c r="K3" s="805" t="s">
        <v>441</v>
      </c>
      <c r="L3" s="805" t="s">
        <v>442</v>
      </c>
      <c r="M3" s="805" t="s">
        <v>443</v>
      </c>
    </row>
    <row r="4" spans="1:20" ht="24">
      <c r="A4" s="1306" t="s">
        <v>1694</v>
      </c>
      <c r="B4" s="1312" t="str">
        <f>估价对象房地状况!C4</f>
        <v>估价对象位于XX商圈，周边商业氛围成熟，人流量大，商业繁华度好</v>
      </c>
      <c r="C4" s="1293" t="s">
        <v>1695</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24">
      <c r="A5" s="1306" t="s">
        <v>1696</v>
      </c>
      <c r="B5" s="1317" t="str">
        <f>估价对象房地状况!C6</f>
        <v>估价对象周边道路状况、公共交通通达情况、停车便捷程度，综合评价交通便捷度较好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1697</v>
      </c>
      <c r="B6" s="1307">
        <f>估价对象房地状况!C19</f>
        <v>0</v>
      </c>
      <c r="C6" s="1293" t="s">
        <v>1695</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1698</v>
      </c>
      <c r="B7" s="1294" t="s">
        <v>1779</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1699</v>
      </c>
      <c r="B8" s="1307">
        <f>估价对象房地状况!C10</f>
        <v>0</v>
      </c>
      <c r="C8" s="1293" t="s">
        <v>1695</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1700</v>
      </c>
      <c r="B9" s="1295" t="s">
        <v>1780</v>
      </c>
      <c r="C9" s="1293" t="s">
        <v>1695</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1701</v>
      </c>
      <c r="B10" s="2072" t="str">
        <f>估价对象房地状况!C7</f>
        <v>估价对象所在区域公共配套设施齐备情况</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1702</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15" thickBot="1">
      <c r="A12" s="1321" t="s">
        <v>1703</v>
      </c>
      <c r="B12" s="1322" t="str">
        <f>估价对象房地状况!C9</f>
        <v>区域自然环境：；人文环境；综合评价环境状况一般</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1115</v>
      </c>
      <c r="B13" s="1301">
        <f>1+F15</f>
        <v>1.0148999999999999</v>
      </c>
      <c r="C13" s="2254"/>
      <c r="D13" s="1303"/>
      <c r="E13" s="1303"/>
      <c r="F13" s="1304"/>
      <c r="G13" s="2252"/>
      <c r="H13" s="2248"/>
      <c r="I13" s="1299"/>
      <c r="J13" s="1299"/>
      <c r="K13" s="1299"/>
      <c r="L13" s="1299"/>
      <c r="M13" s="1299"/>
    </row>
    <row r="14" spans="1:20" ht="18" customHeight="1">
      <c r="A14" s="1306" t="s">
        <v>1691</v>
      </c>
      <c r="B14" s="1307"/>
      <c r="C14" s="1308" t="s">
        <v>1693</v>
      </c>
      <c r="D14" s="1309" t="s">
        <v>1773</v>
      </c>
      <c r="E14" s="1309" t="s">
        <v>1774</v>
      </c>
      <c r="F14" s="1310" t="s">
        <v>1775</v>
      </c>
      <c r="G14" s="1311" t="s">
        <v>2174</v>
      </c>
      <c r="H14" s="1309" t="s">
        <v>1771</v>
      </c>
      <c r="I14" s="805" t="s">
        <v>439</v>
      </c>
      <c r="J14" s="805" t="s">
        <v>440</v>
      </c>
      <c r="K14" s="805" t="s">
        <v>441</v>
      </c>
      <c r="L14" s="805" t="s">
        <v>442</v>
      </c>
      <c r="M14" s="805" t="s">
        <v>443</v>
      </c>
    </row>
    <row r="15" spans="1:20" ht="24">
      <c r="A15" s="1306" t="s">
        <v>1704</v>
      </c>
      <c r="B15" s="1312" t="str">
        <f>估价对象房地状况!C5</f>
        <v>估价对象位于XX商圈，周边办公楼项目较多，入驻率高，办公集聚程度较好</v>
      </c>
      <c r="C15" s="1293" t="s">
        <v>1695</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24">
      <c r="A16" s="1306" t="s">
        <v>1696</v>
      </c>
      <c r="B16" s="1307" t="str">
        <f>估价对象房地状况!C6</f>
        <v>估价对象周边道路状况、公共交通通达情况、停车便捷程度，综合评价交通便捷度较好</v>
      </c>
      <c r="C16" s="1293" t="s">
        <v>1695</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1697</v>
      </c>
      <c r="B17" s="1307">
        <f>估价对象房地状况!C19</f>
        <v>0</v>
      </c>
      <c r="C17" s="1293" t="s">
        <v>1695</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1698</v>
      </c>
      <c r="B18" s="1294" t="s">
        <v>1779</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1699</v>
      </c>
      <c r="B19" s="1307">
        <f>估价对象房地状况!C10</f>
        <v>0</v>
      </c>
      <c r="C19" s="1293" t="s">
        <v>1695</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1700</v>
      </c>
      <c r="B20" s="1295" t="s">
        <v>1780</v>
      </c>
      <c r="C20" s="1293" t="s">
        <v>1695</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1701</v>
      </c>
      <c r="B21" s="2072" t="str">
        <f>估价对象房地状况!C7</f>
        <v>估价对象所在区域公共配套设施齐备情况</v>
      </c>
      <c r="C21" s="1293" t="s">
        <v>1695</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1702</v>
      </c>
      <c r="B22" s="2073"/>
      <c r="C22" s="1293" t="s">
        <v>1695</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15" thickBot="1">
      <c r="A23" s="1321" t="s">
        <v>1703</v>
      </c>
      <c r="B23" s="1325" t="str">
        <f>估价对象房地状况!C9</f>
        <v>区域自然环境：；人文环境；综合评价环境状况一般</v>
      </c>
      <c r="C23" s="1293" t="s">
        <v>1695</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1766</v>
      </c>
      <c r="B24" s="1301">
        <f>1+F26</f>
        <v>1.0597000000000001</v>
      </c>
      <c r="C24" s="2254"/>
      <c r="D24" s="1303"/>
      <c r="E24" s="1303"/>
      <c r="F24" s="1304"/>
      <c r="G24" s="2252"/>
      <c r="H24" s="2248"/>
      <c r="I24" s="1299"/>
      <c r="J24" s="1299"/>
      <c r="K24" s="1299"/>
      <c r="L24" s="1299"/>
      <c r="M24" s="1299"/>
    </row>
    <row r="25" spans="1:20" ht="13.5">
      <c r="A25" s="1306" t="s">
        <v>1691</v>
      </c>
      <c r="B25" s="1307"/>
      <c r="C25" s="1308" t="s">
        <v>1693</v>
      </c>
      <c r="D25" s="1309" t="s">
        <v>1773</v>
      </c>
      <c r="E25" s="1309" t="s">
        <v>1774</v>
      </c>
      <c r="F25" s="1310" t="s">
        <v>1775</v>
      </c>
      <c r="G25" s="1311" t="s">
        <v>2174</v>
      </c>
      <c r="H25" s="1309" t="s">
        <v>1771</v>
      </c>
      <c r="I25" s="805" t="s">
        <v>439</v>
      </c>
      <c r="J25" s="805" t="s">
        <v>440</v>
      </c>
      <c r="K25" s="805" t="s">
        <v>441</v>
      </c>
      <c r="L25" s="805" t="s">
        <v>442</v>
      </c>
      <c r="M25" s="805" t="s">
        <v>443</v>
      </c>
    </row>
    <row r="26" spans="1:20" ht="24">
      <c r="A26" s="1306" t="s">
        <v>1705</v>
      </c>
      <c r="B26" s="1312" t="str">
        <f>估价对象房地状况!C3</f>
        <v>估价对象周边居住用地比例、居住小区规模和社区发展完善程度，综合评价居住社区成熟度一般</v>
      </c>
      <c r="C26" s="1293" t="s">
        <v>1695</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24">
      <c r="A27" s="1306" t="s">
        <v>1696</v>
      </c>
      <c r="B27" s="1307" t="str">
        <f>估价对象房地状况!C6</f>
        <v>估价对象周边道路状况、公共交通通达情况、停车便捷程度，综合评价交通便捷度较好</v>
      </c>
      <c r="C27" s="1293" t="s">
        <v>1695</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1697</v>
      </c>
      <c r="B28" s="1307">
        <f>估价对象房地状况!C19</f>
        <v>0</v>
      </c>
      <c r="C28" s="1293" t="s">
        <v>1695</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1706</v>
      </c>
      <c r="B29" s="1307">
        <f>估价对象房地状况!C10</f>
        <v>0</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1701</v>
      </c>
      <c r="B30" s="2072" t="str">
        <f>估价对象房地状况!C7</f>
        <v>估价对象所在区域公共配套设施齐备情况</v>
      </c>
      <c r="C30" s="1293" t="s">
        <v>1695</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1702</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1700</v>
      </c>
      <c r="B32" s="1295" t="s">
        <v>1780</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14.25">
      <c r="A33" s="1306" t="s">
        <v>1703</v>
      </c>
      <c r="B33" s="1312" t="str">
        <f>估价对象房地状况!C9</f>
        <v>区域自然环境：；人文环境；综合评价环境状况一般</v>
      </c>
      <c r="C33" s="1293" t="s">
        <v>1695</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1707</v>
      </c>
      <c r="B34" s="1296" t="s">
        <v>1781</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1117</v>
      </c>
      <c r="B35" s="1301">
        <f>1+F37</f>
        <v>1.0127999999999999</v>
      </c>
      <c r="C35" s="2254"/>
      <c r="D35" s="1303"/>
      <c r="E35" s="1303"/>
      <c r="F35" s="1304"/>
      <c r="G35" s="2252"/>
      <c r="H35" s="2248"/>
      <c r="I35" s="1299"/>
      <c r="J35" s="1299"/>
      <c r="K35" s="1299"/>
      <c r="L35" s="1299"/>
      <c r="M35" s="1299"/>
    </row>
    <row r="36" spans="1:13" ht="13.5">
      <c r="A36" s="1306" t="s">
        <v>1691</v>
      </c>
      <c r="B36" s="1307"/>
      <c r="C36" s="1308" t="s">
        <v>1693</v>
      </c>
      <c r="D36" s="1309" t="s">
        <v>1773</v>
      </c>
      <c r="E36" s="1309" t="s">
        <v>1774</v>
      </c>
      <c r="F36" s="1310" t="s">
        <v>1775</v>
      </c>
      <c r="G36" s="1311" t="s">
        <v>2175</v>
      </c>
      <c r="H36" s="1309" t="s">
        <v>1771</v>
      </c>
      <c r="I36" s="805" t="s">
        <v>439</v>
      </c>
      <c r="J36" s="805" t="s">
        <v>440</v>
      </c>
      <c r="K36" s="805" t="s">
        <v>441</v>
      </c>
      <c r="L36" s="805" t="s">
        <v>442</v>
      </c>
      <c r="M36" s="805" t="s">
        <v>443</v>
      </c>
    </row>
    <row r="37" spans="1:13" ht="24">
      <c r="A37" s="1306" t="s">
        <v>1708</v>
      </c>
      <c r="B37" s="1307" t="str">
        <f>估价对象房地状况!G3</f>
        <v>估价对象位于XX开发区，园区建设成熟度XX，产业集聚程度XX</v>
      </c>
      <c r="C37" s="1293" t="s">
        <v>1695</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1696</v>
      </c>
      <c r="B38" s="1307" t="str">
        <f>估价对象房地状况!G4</f>
        <v>估价对象周边道路状况、公共交通通达情况、停车便捷程度，综合评价交通便捷度较好</v>
      </c>
      <c r="C38" s="1293" t="s">
        <v>1695</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1697</v>
      </c>
      <c r="B39" s="1307">
        <f>估价对象房地状况!G17</f>
        <v>0</v>
      </c>
      <c r="C39" s="1293" t="s">
        <v>1695</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1706</v>
      </c>
      <c r="B40" s="1307">
        <f>估价对象房地状况!G22</f>
        <v>0</v>
      </c>
      <c r="C40" s="1293" t="s">
        <v>1695</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1701</v>
      </c>
      <c r="B41" s="2072" t="str">
        <f>估价对象房地状况!G19</f>
        <v>估价对象所在区域公共配套设施齐备情况</v>
      </c>
      <c r="C41" s="1293" t="s">
        <v>1695</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1702</v>
      </c>
      <c r="B42" s="2073"/>
      <c r="C42" s="1293" t="s">
        <v>1695</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1700</v>
      </c>
      <c r="B43" s="1295" t="s">
        <v>1780</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1709</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18" t="s">
        <v>1087</v>
      </c>
      <c r="B1" s="3518"/>
      <c r="C1" s="3518"/>
      <c r="D1" s="3518"/>
      <c r="E1" s="3518"/>
      <c r="F1" s="3518"/>
      <c r="H1" s="1331"/>
      <c r="I1" s="1332" t="s">
        <v>1088</v>
      </c>
      <c r="J1" s="1333" t="s">
        <v>1089</v>
      </c>
      <c r="K1" s="1333" t="s">
        <v>1090</v>
      </c>
      <c r="L1" s="1333" t="s">
        <v>1091</v>
      </c>
      <c r="M1" s="1333" t="s">
        <v>1092</v>
      </c>
      <c r="N1" s="1333" t="s">
        <v>1093</v>
      </c>
      <c r="O1" s="1333" t="s">
        <v>1094</v>
      </c>
      <c r="P1" s="1333" t="s">
        <v>1095</v>
      </c>
      <c r="Q1" s="1333" t="s">
        <v>1096</v>
      </c>
      <c r="R1" s="1333" t="s">
        <v>1097</v>
      </c>
      <c r="S1" s="1333" t="s">
        <v>1098</v>
      </c>
      <c r="T1" s="1334" t="s">
        <v>1099</v>
      </c>
    </row>
    <row r="2" spans="1:20" ht="14.25" thickBot="1">
      <c r="A2" s="3519" t="s">
        <v>1100</v>
      </c>
      <c r="B2" s="3519"/>
      <c r="C2" s="3519"/>
      <c r="D2" s="3519"/>
      <c r="E2" s="3519"/>
      <c r="F2" s="3519"/>
      <c r="I2" s="1335" t="s">
        <v>1101</v>
      </c>
      <c r="J2" s="1336" t="s">
        <v>1102</v>
      </c>
      <c r="K2" s="1336" t="s">
        <v>1103</v>
      </c>
      <c r="L2" s="1336" t="s">
        <v>1104</v>
      </c>
      <c r="M2" s="1336" t="s">
        <v>1105</v>
      </c>
      <c r="N2" s="1336" t="s">
        <v>1106</v>
      </c>
      <c r="O2" s="1336" t="s">
        <v>1107</v>
      </c>
      <c r="P2" s="1336" t="s">
        <v>1108</v>
      </c>
      <c r="Q2" s="1336" t="s">
        <v>1109</v>
      </c>
      <c r="R2" s="1336" t="s">
        <v>1110</v>
      </c>
      <c r="S2" s="1336" t="s">
        <v>1111</v>
      </c>
      <c r="T2" s="1336" t="s">
        <v>1112</v>
      </c>
    </row>
    <row r="3" spans="1:20" s="1331" customFormat="1" ht="19.5" customHeight="1">
      <c r="A3" s="3520" t="s">
        <v>1113</v>
      </c>
      <c r="B3" s="1337"/>
      <c r="C3" s="1338" t="s">
        <v>1114</v>
      </c>
      <c r="D3" s="1338" t="s">
        <v>1115</v>
      </c>
      <c r="E3" s="1338" t="s">
        <v>1766</v>
      </c>
      <c r="F3" s="1338" t="s">
        <v>1117</v>
      </c>
      <c r="G3" s="1339"/>
      <c r="I3" s="1335" t="s">
        <v>1118</v>
      </c>
      <c r="J3" s="1336" t="s">
        <v>1119</v>
      </c>
      <c r="K3" s="1336" t="s">
        <v>1120</v>
      </c>
      <c r="L3" s="1336" t="s">
        <v>1121</v>
      </c>
      <c r="M3" s="1336" t="s">
        <v>1122</v>
      </c>
      <c r="N3" s="1336" t="s">
        <v>1123</v>
      </c>
      <c r="O3" s="1336" t="s">
        <v>1124</v>
      </c>
      <c r="P3" s="1336" t="s">
        <v>1125</v>
      </c>
      <c r="Q3" s="1336" t="s">
        <v>1126</v>
      </c>
      <c r="R3" s="1336" t="s">
        <v>1127</v>
      </c>
      <c r="S3" s="1336" t="s">
        <v>1128</v>
      </c>
      <c r="T3" s="1336" t="s">
        <v>1129</v>
      </c>
    </row>
    <row r="4" spans="1:20" s="1331" customFormat="1" ht="19.5" customHeight="1" thickBot="1">
      <c r="A4" s="3521"/>
      <c r="B4" s="1340" t="s">
        <v>1130</v>
      </c>
      <c r="C4" s="1340" t="s">
        <v>1131</v>
      </c>
      <c r="D4" s="1340" t="s">
        <v>1131</v>
      </c>
      <c r="E4" s="1340" t="s">
        <v>1131</v>
      </c>
      <c r="F4" s="1341" t="s">
        <v>1131</v>
      </c>
      <c r="G4" s="1339"/>
      <c r="I4" s="1335" t="s">
        <v>1132</v>
      </c>
      <c r="J4" s="1336" t="s">
        <v>1053</v>
      </c>
      <c r="K4" s="1336" t="s">
        <v>1133</v>
      </c>
      <c r="L4" s="1336" t="s">
        <v>1134</v>
      </c>
      <c r="M4" s="1336" t="s">
        <v>1135</v>
      </c>
      <c r="N4" s="1336" t="s">
        <v>1136</v>
      </c>
      <c r="O4" s="1336" t="s">
        <v>1137</v>
      </c>
      <c r="P4" s="1336" t="s">
        <v>1138</v>
      </c>
      <c r="Q4" s="1336" t="s">
        <v>1139</v>
      </c>
      <c r="R4" s="1336" t="s">
        <v>1140</v>
      </c>
      <c r="S4" s="1336" t="s">
        <v>1141</v>
      </c>
      <c r="T4" s="1336" t="s">
        <v>1142</v>
      </c>
    </row>
    <row r="5" spans="1:20" ht="14.25" customHeight="1" thickBot="1">
      <c r="A5" s="1342" t="s">
        <v>1143</v>
      </c>
      <c r="B5" s="1343" t="s">
        <v>1101</v>
      </c>
      <c r="C5" s="1343">
        <v>29530</v>
      </c>
      <c r="D5" s="1343">
        <v>28130</v>
      </c>
      <c r="E5" s="1343">
        <v>27930</v>
      </c>
      <c r="F5" s="1344">
        <v>11300</v>
      </c>
      <c r="G5" s="1345" t="s">
        <v>1088</v>
      </c>
      <c r="H5" s="1346">
        <f>SUMPRODUCT((B5:B9=基准地价修正!I2)*(C3:F3=基准地价修正!E2)*(C5:F9))</f>
        <v>0</v>
      </c>
      <c r="I5" s="1335" t="s">
        <v>1144</v>
      </c>
      <c r="J5" s="1336" t="s">
        <v>1145</v>
      </c>
      <c r="K5" s="1336" t="s">
        <v>1146</v>
      </c>
      <c r="L5" s="1336" t="s">
        <v>1147</v>
      </c>
      <c r="M5" s="1336" t="s">
        <v>1148</v>
      </c>
      <c r="N5" s="1336" t="s">
        <v>1149</v>
      </c>
      <c r="O5" s="1336" t="s">
        <v>1150</v>
      </c>
      <c r="P5" s="1336" t="s">
        <v>1151</v>
      </c>
      <c r="Q5" s="1336" t="s">
        <v>1152</v>
      </c>
      <c r="R5" s="1336" t="s">
        <v>1153</v>
      </c>
      <c r="S5" s="1336" t="s">
        <v>1154</v>
      </c>
      <c r="T5" s="1336" t="s">
        <v>1155</v>
      </c>
    </row>
    <row r="6" spans="1:20" ht="14.25" customHeight="1" thickBot="1">
      <c r="A6" s="1342" t="s">
        <v>1143</v>
      </c>
      <c r="B6" s="1336" t="s">
        <v>1118</v>
      </c>
      <c r="C6" s="1336">
        <v>30290</v>
      </c>
      <c r="D6" s="1336">
        <v>29210</v>
      </c>
      <c r="E6" s="1336">
        <v>28860</v>
      </c>
      <c r="F6" s="1347">
        <v>12600</v>
      </c>
      <c r="G6" s="1348" t="s">
        <v>1089</v>
      </c>
      <c r="H6" s="1349">
        <f>SUMPRODUCT((B10:B28=基准地价修正!I2)*(C3:F3=基准地价修正!E2)*(C10:F28))</f>
        <v>0</v>
      </c>
      <c r="I6" s="1335" t="s">
        <v>1156</v>
      </c>
      <c r="J6" s="1336" t="s">
        <v>1157</v>
      </c>
      <c r="K6" s="1336" t="s">
        <v>1158</v>
      </c>
      <c r="L6" s="1336" t="s">
        <v>1159</v>
      </c>
      <c r="M6" s="1336" t="s">
        <v>1160</v>
      </c>
      <c r="N6" s="1336" t="s">
        <v>1161</v>
      </c>
      <c r="O6" s="1336" t="s">
        <v>1162</v>
      </c>
      <c r="P6" s="1336" t="s">
        <v>1163</v>
      </c>
      <c r="Q6" s="1336" t="s">
        <v>1164</v>
      </c>
      <c r="R6" s="1336" t="s">
        <v>1165</v>
      </c>
      <c r="S6" s="1336" t="s">
        <v>1166</v>
      </c>
      <c r="T6" s="1336" t="s">
        <v>1167</v>
      </c>
    </row>
    <row r="7" spans="1:20" ht="14.25" customHeight="1" thickBot="1">
      <c r="A7" s="1342" t="s">
        <v>1143</v>
      </c>
      <c r="B7" s="1350" t="s">
        <v>1132</v>
      </c>
      <c r="C7" s="1336">
        <v>29350</v>
      </c>
      <c r="D7" s="1336">
        <v>28410</v>
      </c>
      <c r="E7" s="1336">
        <v>27990</v>
      </c>
      <c r="F7" s="1347">
        <v>12300</v>
      </c>
      <c r="G7" s="1348" t="s">
        <v>1168</v>
      </c>
      <c r="H7" s="1349">
        <f>SUMPRODUCT((B29:B48=基准地价修正!I2)*(C3:F3=基准地价修正!E2)*(C29:F48))</f>
        <v>0</v>
      </c>
      <c r="J7" s="1336" t="s">
        <v>1169</v>
      </c>
      <c r="K7" s="1336" t="s">
        <v>1170</v>
      </c>
      <c r="L7" s="1336" t="s">
        <v>1171</v>
      </c>
      <c r="M7" s="1336" t="s">
        <v>1172</v>
      </c>
      <c r="N7" s="1336" t="s">
        <v>1173</v>
      </c>
      <c r="O7" s="1336" t="s">
        <v>1174</v>
      </c>
      <c r="P7" s="1336" t="s">
        <v>1175</v>
      </c>
      <c r="Q7" s="1336" t="s">
        <v>1176</v>
      </c>
      <c r="R7" s="1336" t="s">
        <v>1177</v>
      </c>
      <c r="S7" s="1336" t="s">
        <v>1178</v>
      </c>
      <c r="T7" s="1350" t="s">
        <v>1179</v>
      </c>
    </row>
    <row r="8" spans="1:20" ht="14.25" customHeight="1" thickBot="1">
      <c r="A8" s="1342" t="s">
        <v>1143</v>
      </c>
      <c r="B8" s="1336" t="s">
        <v>1144</v>
      </c>
      <c r="C8" s="1336">
        <v>30890</v>
      </c>
      <c r="D8" s="1336">
        <v>29780</v>
      </c>
      <c r="E8" s="1336">
        <v>29270</v>
      </c>
      <c r="F8" s="1347">
        <v>11600</v>
      </c>
      <c r="G8" s="1348" t="s">
        <v>1180</v>
      </c>
      <c r="H8" s="1349">
        <f>SUMPRODUCT((B49:B75=基准地价修正!I2)*(C3:F3=基准地价修正!E2)*(C49:F75))</f>
        <v>0</v>
      </c>
      <c r="J8" s="1336" t="s">
        <v>1181</v>
      </c>
      <c r="K8" s="1336" t="s">
        <v>1182</v>
      </c>
      <c r="L8" s="1336" t="s">
        <v>1183</v>
      </c>
      <c r="M8" s="1336" t="s">
        <v>1184</v>
      </c>
      <c r="N8" s="1336" t="s">
        <v>1185</v>
      </c>
      <c r="O8" s="1336" t="s">
        <v>1186</v>
      </c>
      <c r="P8" s="1336" t="s">
        <v>1187</v>
      </c>
      <c r="Q8" s="1336" t="s">
        <v>1188</v>
      </c>
      <c r="R8" s="1336" t="s">
        <v>1189</v>
      </c>
      <c r="S8" s="1336" t="s">
        <v>1190</v>
      </c>
      <c r="T8" s="1336" t="s">
        <v>1191</v>
      </c>
    </row>
    <row r="9" spans="1:20" ht="14.25" customHeight="1" thickBot="1">
      <c r="A9" s="1342" t="s">
        <v>1143</v>
      </c>
      <c r="B9" s="1351" t="s">
        <v>1156</v>
      </c>
      <c r="C9" s="1352">
        <v>28140</v>
      </c>
      <c r="D9" s="1352"/>
      <c r="E9" s="1352"/>
      <c r="F9" s="1353"/>
      <c r="G9" s="1348" t="s">
        <v>1192</v>
      </c>
      <c r="H9" s="1349">
        <f>SUMPRODUCT((B76:B109=基准地价修正!I2)*(C3:F3=基准地价修正!E2)*(C76:F109))</f>
        <v>0</v>
      </c>
      <c r="J9" s="1336" t="s">
        <v>1193</v>
      </c>
      <c r="K9" s="1336" t="s">
        <v>1194</v>
      </c>
      <c r="L9" s="1336" t="s">
        <v>1195</v>
      </c>
      <c r="M9" s="1336" t="s">
        <v>1196</v>
      </c>
      <c r="N9" s="1336" t="s">
        <v>1197</v>
      </c>
      <c r="O9" s="1336" t="s">
        <v>1198</v>
      </c>
      <c r="P9" s="1336" t="s">
        <v>1199</v>
      </c>
      <c r="Q9" s="1336" t="s">
        <v>1200</v>
      </c>
      <c r="R9" s="1336" t="s">
        <v>1201</v>
      </c>
      <c r="S9" s="1336" t="s">
        <v>1202</v>
      </c>
    </row>
    <row r="10" spans="1:20" ht="14.25" customHeight="1" thickBot="1">
      <c r="A10" s="1342" t="s">
        <v>1203</v>
      </c>
      <c r="B10" s="1343" t="s">
        <v>1204</v>
      </c>
      <c r="C10" s="1343">
        <v>27450</v>
      </c>
      <c r="D10" s="1343">
        <v>26180</v>
      </c>
      <c r="E10" s="1343">
        <v>25980</v>
      </c>
      <c r="F10" s="1344">
        <v>8910</v>
      </c>
      <c r="G10" s="1348" t="s">
        <v>1205</v>
      </c>
      <c r="H10" s="1349">
        <f>SUMPRODUCT((B110:B157=基准地价修正!I2)*(C3:F3=基准地价修正!E2)*(C110:F157))</f>
        <v>0</v>
      </c>
      <c r="J10" s="1336" t="s">
        <v>1206</v>
      </c>
      <c r="K10" s="1336" t="s">
        <v>1207</v>
      </c>
      <c r="L10" s="1336" t="s">
        <v>1208</v>
      </c>
      <c r="M10" s="1336" t="s">
        <v>1209</v>
      </c>
      <c r="N10" s="1336" t="s">
        <v>1210</v>
      </c>
      <c r="O10" s="1336" t="s">
        <v>1211</v>
      </c>
      <c r="P10" s="1336" t="s">
        <v>1212</v>
      </c>
      <c r="Q10" s="1336" t="s">
        <v>1213</v>
      </c>
      <c r="R10" s="1336" t="s">
        <v>1214</v>
      </c>
      <c r="S10" s="1336" t="s">
        <v>1215</v>
      </c>
    </row>
    <row r="11" spans="1:20" ht="14.25" customHeight="1" thickBot="1">
      <c r="A11" s="1342" t="s">
        <v>1203</v>
      </c>
      <c r="B11" s="1350" t="s">
        <v>1119</v>
      </c>
      <c r="C11" s="1336">
        <v>22950</v>
      </c>
      <c r="D11" s="1336">
        <v>22630</v>
      </c>
      <c r="E11" s="1336">
        <v>22030</v>
      </c>
      <c r="F11" s="1354">
        <v>8330</v>
      </c>
      <c r="G11" s="1348" t="s">
        <v>1216</v>
      </c>
      <c r="H11" s="1349">
        <f>SUMPRODUCT((B158:B205=基准地价修正!I2)*(C3:F3=基准地价修正!E2)*(C158:F205))</f>
        <v>0</v>
      </c>
      <c r="J11" s="1336" t="s">
        <v>1217</v>
      </c>
      <c r="K11" s="1336" t="s">
        <v>1218</v>
      </c>
      <c r="L11" s="1336" t="s">
        <v>1219</v>
      </c>
      <c r="M11" s="1336" t="s">
        <v>1220</v>
      </c>
      <c r="N11" s="1336" t="s">
        <v>1221</v>
      </c>
      <c r="O11" s="1336" t="s">
        <v>1222</v>
      </c>
      <c r="P11" s="1336" t="s">
        <v>1223</v>
      </c>
      <c r="Q11" s="1336" t="s">
        <v>1224</v>
      </c>
      <c r="R11" s="1336" t="s">
        <v>1225</v>
      </c>
      <c r="S11" s="1336" t="s">
        <v>1226</v>
      </c>
    </row>
    <row r="12" spans="1:20" ht="14.25" customHeight="1" thickBot="1">
      <c r="A12" s="1342" t="s">
        <v>1203</v>
      </c>
      <c r="B12" s="1350" t="s">
        <v>1053</v>
      </c>
      <c r="C12" s="1336">
        <v>24940</v>
      </c>
      <c r="D12" s="1336">
        <v>23180</v>
      </c>
      <c r="E12" s="1336">
        <v>22910</v>
      </c>
      <c r="F12" s="1354">
        <v>7180</v>
      </c>
      <c r="G12" s="1348" t="s">
        <v>1227</v>
      </c>
      <c r="H12" s="1349">
        <f>SUMPRODUCT((B206:B244=基准地价修正!I2)*(C3:F3=基准地价修正!E2)*(C206:F244))</f>
        <v>0</v>
      </c>
      <c r="J12" s="1336" t="s">
        <v>1228</v>
      </c>
      <c r="K12" s="1336" t="s">
        <v>1229</v>
      </c>
      <c r="L12" s="1336" t="s">
        <v>1230</v>
      </c>
      <c r="M12" s="1336" t="s">
        <v>1231</v>
      </c>
      <c r="N12" s="1336" t="s">
        <v>1232</v>
      </c>
      <c r="O12" s="1336" t="s">
        <v>1233</v>
      </c>
      <c r="P12" s="1336" t="s">
        <v>1234</v>
      </c>
      <c r="Q12" s="1336" t="s">
        <v>1235</v>
      </c>
      <c r="R12" s="1336" t="s">
        <v>1236</v>
      </c>
      <c r="S12" s="1336" t="s">
        <v>1237</v>
      </c>
    </row>
    <row r="13" spans="1:20" ht="14.25" customHeight="1" thickBot="1">
      <c r="A13" s="1342" t="s">
        <v>1203</v>
      </c>
      <c r="B13" s="1350" t="s">
        <v>1145</v>
      </c>
      <c r="C13" s="1336">
        <v>24140</v>
      </c>
      <c r="D13" s="1336">
        <v>22270</v>
      </c>
      <c r="E13" s="1336">
        <v>21950</v>
      </c>
      <c r="F13" s="1354">
        <v>7600</v>
      </c>
      <c r="G13" s="1348" t="s">
        <v>1238</v>
      </c>
      <c r="H13" s="1349">
        <f>SUMPRODUCT((B245:B289=基准地价修正!I2)*(C3:F3=基准地价修正!E2)*(C245:F289))</f>
        <v>0</v>
      </c>
      <c r="J13" s="1336" t="s">
        <v>1239</v>
      </c>
      <c r="K13" s="1336" t="s">
        <v>1240</v>
      </c>
      <c r="L13" s="1336" t="s">
        <v>1241</v>
      </c>
      <c r="M13" s="1336" t="s">
        <v>1242</v>
      </c>
      <c r="N13" s="1336" t="s">
        <v>1243</v>
      </c>
      <c r="O13" s="1336" t="s">
        <v>1244</v>
      </c>
      <c r="P13" s="1336" t="s">
        <v>1245</v>
      </c>
      <c r="Q13" s="1336" t="s">
        <v>1246</v>
      </c>
      <c r="R13" s="1336" t="s">
        <v>1247</v>
      </c>
      <c r="S13" s="1336" t="s">
        <v>1248</v>
      </c>
    </row>
    <row r="14" spans="1:20" ht="14.25" customHeight="1" thickBot="1">
      <c r="A14" s="1342" t="s">
        <v>1203</v>
      </c>
      <c r="B14" s="1350" t="s">
        <v>1157</v>
      </c>
      <c r="C14" s="1336">
        <v>25600</v>
      </c>
      <c r="D14" s="1336">
        <v>22260</v>
      </c>
      <c r="E14" s="1336">
        <v>22110</v>
      </c>
      <c r="F14" s="1354">
        <v>7630</v>
      </c>
      <c r="G14" s="1348" t="s">
        <v>1249</v>
      </c>
      <c r="H14" s="1349">
        <f>SUMPRODUCT((B290:B316=基准地价修正!I2)*(C3:F3=基准地价修正!E2)*(C290:F316))</f>
        <v>0</v>
      </c>
      <c r="J14" s="1336" t="s">
        <v>1250</v>
      </c>
      <c r="K14" s="1336" t="s">
        <v>1251</v>
      </c>
      <c r="L14" s="1336" t="s">
        <v>1252</v>
      </c>
      <c r="M14" s="1336" t="s">
        <v>1253</v>
      </c>
      <c r="N14" s="1336" t="s">
        <v>1254</v>
      </c>
      <c r="O14" s="1336" t="s">
        <v>1255</v>
      </c>
      <c r="P14" s="1336" t="s">
        <v>1256</v>
      </c>
      <c r="Q14" s="1336" t="s">
        <v>1257</v>
      </c>
      <c r="R14" s="1336" t="s">
        <v>1258</v>
      </c>
      <c r="S14" s="1336" t="s">
        <v>1259</v>
      </c>
    </row>
    <row r="15" spans="1:20" ht="14.25" customHeight="1" thickBot="1">
      <c r="A15" s="1342" t="s">
        <v>1203</v>
      </c>
      <c r="B15" s="1350" t="s">
        <v>1169</v>
      </c>
      <c r="C15" s="1336">
        <v>24760</v>
      </c>
      <c r="D15" s="1336">
        <v>24440</v>
      </c>
      <c r="E15" s="1336">
        <v>24130</v>
      </c>
      <c r="F15" s="1354">
        <v>9480</v>
      </c>
      <c r="G15" s="1348" t="s">
        <v>1260</v>
      </c>
      <c r="H15" s="1349">
        <f>SUMPRODUCT((B317:B337=基准地价修正!I2)*(C3:F3=基准地价修正!E2)*(C317:F337))</f>
        <v>0</v>
      </c>
      <c r="J15" s="1336" t="s">
        <v>1261</v>
      </c>
      <c r="K15" s="1336" t="s">
        <v>1262</v>
      </c>
      <c r="L15" s="1336" t="s">
        <v>1263</v>
      </c>
      <c r="M15" s="1336" t="s">
        <v>1264</v>
      </c>
      <c r="N15" s="1336" t="s">
        <v>1265</v>
      </c>
      <c r="O15" s="1336" t="s">
        <v>1266</v>
      </c>
      <c r="P15" s="1336" t="s">
        <v>1267</v>
      </c>
      <c r="Q15" s="1336" t="s">
        <v>1268</v>
      </c>
      <c r="R15" s="1336" t="s">
        <v>1269</v>
      </c>
      <c r="S15" s="1336" t="s">
        <v>1270</v>
      </c>
    </row>
    <row r="16" spans="1:20" ht="14.25" customHeight="1" thickBot="1">
      <c r="A16" s="1342" t="s">
        <v>1203</v>
      </c>
      <c r="B16" s="1350" t="s">
        <v>1181</v>
      </c>
      <c r="C16" s="1336">
        <v>22220</v>
      </c>
      <c r="D16" s="1336">
        <v>22310</v>
      </c>
      <c r="E16" s="1336">
        <v>22000</v>
      </c>
      <c r="F16" s="1354">
        <v>8900</v>
      </c>
      <c r="G16" s="1355" t="s">
        <v>1271</v>
      </c>
      <c r="H16" s="1356">
        <f>SUMPRODUCT((B338:B344=基准地价修正!I2)*(C3:F3=基准地价修正!E2)*(C338:F344))</f>
        <v>0</v>
      </c>
      <c r="J16" s="1336" t="s">
        <v>1272</v>
      </c>
      <c r="K16" s="1336" t="s">
        <v>1273</v>
      </c>
      <c r="L16" s="1336" t="s">
        <v>1274</v>
      </c>
      <c r="M16" s="1336" t="s">
        <v>1275</v>
      </c>
      <c r="N16" s="1336" t="s">
        <v>1276</v>
      </c>
      <c r="O16" s="1336" t="s">
        <v>1277</v>
      </c>
      <c r="P16" s="1336" t="s">
        <v>1278</v>
      </c>
      <c r="Q16" s="1336" t="s">
        <v>1279</v>
      </c>
      <c r="R16" s="1336" t="s">
        <v>1280</v>
      </c>
      <c r="S16" s="1336" t="s">
        <v>1281</v>
      </c>
    </row>
    <row r="17" spans="1:19" ht="14.25" customHeight="1" thickBot="1">
      <c r="A17" s="1342" t="s">
        <v>1203</v>
      </c>
      <c r="B17" s="1350" t="s">
        <v>1193</v>
      </c>
      <c r="C17" s="1336">
        <v>24700</v>
      </c>
      <c r="D17" s="1336">
        <v>25150</v>
      </c>
      <c r="E17" s="1336">
        <v>24700</v>
      </c>
      <c r="F17" s="1357"/>
      <c r="H17" s="1358"/>
      <c r="J17" s="1336" t="s">
        <v>1282</v>
      </c>
      <c r="K17" s="1336" t="s">
        <v>1283</v>
      </c>
      <c r="L17" s="1336" t="s">
        <v>1284</v>
      </c>
      <c r="M17" s="1336" t="s">
        <v>1285</v>
      </c>
      <c r="N17" s="1336" t="s">
        <v>1286</v>
      </c>
      <c r="O17" s="1336" t="s">
        <v>1287</v>
      </c>
      <c r="P17" s="1336" t="s">
        <v>1288</v>
      </c>
      <c r="Q17" s="1336" t="s">
        <v>1289</v>
      </c>
      <c r="R17" s="1336" t="s">
        <v>1290</v>
      </c>
      <c r="S17" s="1336" t="s">
        <v>1291</v>
      </c>
    </row>
    <row r="18" spans="1:19" ht="14.25" customHeight="1" thickBot="1">
      <c r="A18" s="1342" t="s">
        <v>1203</v>
      </c>
      <c r="B18" s="1350" t="s">
        <v>1206</v>
      </c>
      <c r="C18" s="1336">
        <v>22350</v>
      </c>
      <c r="D18" s="1336">
        <v>24340</v>
      </c>
      <c r="E18" s="1336">
        <v>24100</v>
      </c>
      <c r="F18" s="1357"/>
      <c r="H18" s="1358"/>
      <c r="J18" s="1336" t="s">
        <v>1292</v>
      </c>
      <c r="K18" s="1336" t="s">
        <v>1293</v>
      </c>
      <c r="L18" s="1336" t="s">
        <v>1294</v>
      </c>
      <c r="M18" s="1336" t="s">
        <v>1295</v>
      </c>
      <c r="N18" s="1336" t="s">
        <v>1296</v>
      </c>
      <c r="O18" s="1336" t="s">
        <v>1297</v>
      </c>
      <c r="P18" s="1336" t="s">
        <v>1298</v>
      </c>
      <c r="Q18" s="1336" t="s">
        <v>1299</v>
      </c>
      <c r="R18" s="1336" t="s">
        <v>1300</v>
      </c>
      <c r="S18" s="1336" t="s">
        <v>1301</v>
      </c>
    </row>
    <row r="19" spans="1:19" ht="14.25" customHeight="1" thickBot="1">
      <c r="A19" s="1342" t="s">
        <v>1203</v>
      </c>
      <c r="B19" s="1350" t="s">
        <v>1217</v>
      </c>
      <c r="C19" s="1336">
        <v>23430</v>
      </c>
      <c r="D19" s="1336">
        <v>21580</v>
      </c>
      <c r="E19" s="1336">
        <v>21350</v>
      </c>
      <c r="F19" s="1357"/>
      <c r="H19" s="1358"/>
      <c r="J19" s="1336" t="s">
        <v>1302</v>
      </c>
      <c r="K19" s="1336" t="s">
        <v>1303</v>
      </c>
      <c r="L19" s="1336" t="s">
        <v>1304</v>
      </c>
      <c r="M19" s="1336" t="s">
        <v>1305</v>
      </c>
      <c r="N19" s="1336" t="s">
        <v>1306</v>
      </c>
      <c r="O19" s="1336" t="s">
        <v>1307</v>
      </c>
      <c r="P19" s="1336" t="s">
        <v>1308</v>
      </c>
      <c r="Q19" s="1336" t="s">
        <v>1309</v>
      </c>
      <c r="R19" s="1336" t="s">
        <v>1310</v>
      </c>
      <c r="S19" s="1336" t="s">
        <v>1311</v>
      </c>
    </row>
    <row r="20" spans="1:19" ht="14.25" customHeight="1" thickBot="1">
      <c r="A20" s="1342" t="s">
        <v>1203</v>
      </c>
      <c r="B20" s="1350" t="s">
        <v>1228</v>
      </c>
      <c r="C20" s="1336">
        <v>27660</v>
      </c>
      <c r="D20" s="1336">
        <v>24240</v>
      </c>
      <c r="E20" s="1336">
        <v>24020</v>
      </c>
      <c r="F20" s="1357"/>
      <c r="J20" s="1336" t="s">
        <v>1312</v>
      </c>
      <c r="K20" s="1336" t="s">
        <v>1313</v>
      </c>
      <c r="L20" s="1336" t="s">
        <v>1314</v>
      </c>
      <c r="M20" s="1336" t="s">
        <v>1315</v>
      </c>
      <c r="N20" s="1336" t="s">
        <v>1316</v>
      </c>
      <c r="O20" s="1336" t="s">
        <v>1317</v>
      </c>
      <c r="P20" s="1336" t="s">
        <v>1318</v>
      </c>
      <c r="Q20" s="1336" t="s">
        <v>1319</v>
      </c>
      <c r="R20" s="1336" t="s">
        <v>1320</v>
      </c>
      <c r="S20" s="1336" t="s">
        <v>1321</v>
      </c>
    </row>
    <row r="21" spans="1:19" ht="14.25" customHeight="1" thickBot="1">
      <c r="A21" s="1342" t="s">
        <v>1203</v>
      </c>
      <c r="B21" s="1350" t="s">
        <v>1239</v>
      </c>
      <c r="C21" s="1336">
        <v>24720</v>
      </c>
      <c r="D21" s="1336">
        <v>21670</v>
      </c>
      <c r="E21" s="1336">
        <v>21510</v>
      </c>
      <c r="F21" s="1357"/>
      <c r="K21" s="1336" t="s">
        <v>1322</v>
      </c>
      <c r="L21" s="1336" t="s">
        <v>1323</v>
      </c>
      <c r="M21" s="1336" t="s">
        <v>1324</v>
      </c>
      <c r="N21" s="1336" t="s">
        <v>1325</v>
      </c>
      <c r="O21" s="1336" t="s">
        <v>1326</v>
      </c>
      <c r="P21" s="1336" t="s">
        <v>1327</v>
      </c>
      <c r="Q21" s="1336" t="s">
        <v>1328</v>
      </c>
      <c r="R21" s="1336" t="s">
        <v>1329</v>
      </c>
      <c r="S21" s="1336" t="s">
        <v>1330</v>
      </c>
    </row>
    <row r="22" spans="1:19" ht="14.25" customHeight="1" thickBot="1">
      <c r="A22" s="1342" t="s">
        <v>1203</v>
      </c>
      <c r="B22" s="1350" t="s">
        <v>1331</v>
      </c>
      <c r="C22" s="1336">
        <v>26530</v>
      </c>
      <c r="D22" s="1336">
        <v>22980</v>
      </c>
      <c r="E22" s="1336">
        <v>22650</v>
      </c>
      <c r="F22" s="1357"/>
      <c r="L22" s="1336" t="s">
        <v>1332</v>
      </c>
      <c r="M22" s="1336" t="s">
        <v>1333</v>
      </c>
      <c r="N22" s="1336" t="s">
        <v>1334</v>
      </c>
      <c r="O22" s="1336" t="s">
        <v>1335</v>
      </c>
      <c r="P22" s="1336" t="s">
        <v>1336</v>
      </c>
      <c r="Q22" s="1336" t="s">
        <v>1337</v>
      </c>
      <c r="R22" s="1336" t="s">
        <v>1338</v>
      </c>
      <c r="S22" s="1350" t="s">
        <v>1339</v>
      </c>
    </row>
    <row r="23" spans="1:19" ht="14.25" customHeight="1" thickBot="1">
      <c r="A23" s="1342" t="s">
        <v>1203</v>
      </c>
      <c r="B23" s="1350" t="s">
        <v>1261</v>
      </c>
      <c r="C23" s="1336">
        <v>24700</v>
      </c>
      <c r="D23" s="1336">
        <v>27290</v>
      </c>
      <c r="E23" s="1336">
        <v>26710</v>
      </c>
      <c r="F23" s="1357"/>
      <c r="L23" s="1336" t="s">
        <v>1340</v>
      </c>
      <c r="M23" s="1336" t="s">
        <v>1341</v>
      </c>
      <c r="N23" s="1336" t="s">
        <v>1342</v>
      </c>
      <c r="O23" s="1336" t="s">
        <v>1343</v>
      </c>
      <c r="P23" s="1336" t="s">
        <v>1344</v>
      </c>
      <c r="Q23" s="1336" t="s">
        <v>1345</v>
      </c>
      <c r="R23" s="1336" t="s">
        <v>1346</v>
      </c>
    </row>
    <row r="24" spans="1:19" ht="14.25" customHeight="1" thickBot="1">
      <c r="A24" s="1342" t="s">
        <v>1203</v>
      </c>
      <c r="B24" s="1350" t="s">
        <v>1272</v>
      </c>
      <c r="C24" s="1336">
        <v>23070</v>
      </c>
      <c r="D24" s="1336">
        <v>24130</v>
      </c>
      <c r="E24" s="1336">
        <v>23860</v>
      </c>
      <c r="F24" s="1357"/>
      <c r="L24" s="1336" t="s">
        <v>1347</v>
      </c>
      <c r="M24" s="1336" t="s">
        <v>1348</v>
      </c>
      <c r="N24" s="1336" t="s">
        <v>1349</v>
      </c>
      <c r="O24" s="1336" t="s">
        <v>1350</v>
      </c>
      <c r="P24" s="1336" t="s">
        <v>1351</v>
      </c>
      <c r="Q24" s="1336" t="s">
        <v>1352</v>
      </c>
      <c r="R24" s="1336" t="s">
        <v>1353</v>
      </c>
    </row>
    <row r="25" spans="1:19" ht="14.25" customHeight="1" thickBot="1">
      <c r="A25" s="1342" t="s">
        <v>1203</v>
      </c>
      <c r="B25" s="1350" t="s">
        <v>1282</v>
      </c>
      <c r="C25" s="1336">
        <v>27550</v>
      </c>
      <c r="D25" s="1336">
        <v>25850</v>
      </c>
      <c r="E25" s="1336">
        <v>25340</v>
      </c>
      <c r="F25" s="1357"/>
      <c r="L25" s="1336" t="s">
        <v>1354</v>
      </c>
      <c r="M25" s="1336" t="s">
        <v>1355</v>
      </c>
      <c r="N25" s="1336" t="s">
        <v>1356</v>
      </c>
      <c r="O25" s="1336" t="s">
        <v>1357</v>
      </c>
      <c r="P25" s="1336" t="s">
        <v>1358</v>
      </c>
      <c r="Q25" s="1336" t="s">
        <v>1359</v>
      </c>
      <c r="R25" s="1336" t="s">
        <v>1360</v>
      </c>
    </row>
    <row r="26" spans="1:19" ht="14.25" customHeight="1" thickBot="1">
      <c r="A26" s="1342" t="s">
        <v>1203</v>
      </c>
      <c r="B26" s="1350" t="s">
        <v>1292</v>
      </c>
      <c r="C26" s="1336"/>
      <c r="D26" s="1336">
        <v>23900</v>
      </c>
      <c r="E26" s="1336">
        <v>23590</v>
      </c>
      <c r="F26" s="1357"/>
      <c r="L26" s="1336" t="s">
        <v>1361</v>
      </c>
      <c r="M26" s="1336" t="s">
        <v>1362</v>
      </c>
      <c r="N26" s="1336" t="s">
        <v>1363</v>
      </c>
      <c r="O26" s="1336" t="s">
        <v>1364</v>
      </c>
      <c r="P26" s="1336" t="s">
        <v>1365</v>
      </c>
      <c r="Q26" s="1336" t="s">
        <v>1366</v>
      </c>
      <c r="R26" s="1336" t="s">
        <v>1367</v>
      </c>
    </row>
    <row r="27" spans="1:19" ht="14.25" customHeight="1" thickBot="1">
      <c r="A27" s="1342" t="s">
        <v>1203</v>
      </c>
      <c r="B27" s="1350" t="s">
        <v>1302</v>
      </c>
      <c r="C27" s="1336"/>
      <c r="D27" s="1336">
        <v>22850</v>
      </c>
      <c r="E27" s="1336">
        <v>21920</v>
      </c>
      <c r="F27" s="1357"/>
      <c r="L27" s="1336" t="s">
        <v>1368</v>
      </c>
      <c r="M27" s="1336" t="s">
        <v>1369</v>
      </c>
      <c r="N27" s="1336" t="s">
        <v>1370</v>
      </c>
      <c r="O27" s="1336" t="s">
        <v>1371</v>
      </c>
      <c r="P27" s="1336" t="s">
        <v>1372</v>
      </c>
      <c r="Q27" s="1336" t="s">
        <v>1373</v>
      </c>
      <c r="R27" s="1336" t="s">
        <v>1374</v>
      </c>
    </row>
    <row r="28" spans="1:19" ht="14.25" customHeight="1" thickBot="1">
      <c r="A28" s="1359" t="s">
        <v>1203</v>
      </c>
      <c r="B28" s="1351" t="s">
        <v>1312</v>
      </c>
      <c r="C28" s="1352"/>
      <c r="D28" s="1352">
        <v>26610</v>
      </c>
      <c r="E28" s="1352">
        <v>26370</v>
      </c>
      <c r="F28" s="1353"/>
      <c r="L28" s="1336" t="s">
        <v>1375</v>
      </c>
      <c r="M28" s="1336" t="s">
        <v>1376</v>
      </c>
      <c r="N28" s="1336" t="s">
        <v>1377</v>
      </c>
      <c r="O28" s="1336" t="s">
        <v>1378</v>
      </c>
      <c r="P28" s="1336" t="s">
        <v>1379</v>
      </c>
      <c r="Q28" s="1336" t="s">
        <v>1380</v>
      </c>
    </row>
    <row r="29" spans="1:19" ht="14.25" customHeight="1" thickBot="1">
      <c r="A29" s="1342" t="s">
        <v>1381</v>
      </c>
      <c r="B29" s="1343" t="s">
        <v>1382</v>
      </c>
      <c r="C29" s="1343">
        <v>22090</v>
      </c>
      <c r="D29" s="1343">
        <v>21860</v>
      </c>
      <c r="E29" s="1343">
        <v>19380</v>
      </c>
      <c r="F29" s="1344">
        <v>6610</v>
      </c>
      <c r="M29" s="1336" t="s">
        <v>1383</v>
      </c>
      <c r="N29" s="1336" t="s">
        <v>1384</v>
      </c>
      <c r="O29" s="1336" t="s">
        <v>1385</v>
      </c>
      <c r="P29" s="1336" t="s">
        <v>1386</v>
      </c>
      <c r="Q29" s="1336" t="s">
        <v>1387</v>
      </c>
    </row>
    <row r="30" spans="1:19" ht="14.25" customHeight="1" thickBot="1">
      <c r="A30" s="1342" t="s">
        <v>1381</v>
      </c>
      <c r="B30" s="1350" t="s">
        <v>1120</v>
      </c>
      <c r="C30" s="1336">
        <v>21380</v>
      </c>
      <c r="D30" s="1336">
        <v>19930</v>
      </c>
      <c r="E30" s="1336">
        <v>19860</v>
      </c>
      <c r="F30" s="1354">
        <v>6010</v>
      </c>
      <c r="H30" s="1358"/>
      <c r="M30" s="1336" t="s">
        <v>1388</v>
      </c>
      <c r="N30" s="1336" t="s">
        <v>1389</v>
      </c>
      <c r="O30" s="1336" t="s">
        <v>1390</v>
      </c>
      <c r="P30" s="1336" t="s">
        <v>2417</v>
      </c>
      <c r="Q30" s="1336" t="s">
        <v>1391</v>
      </c>
    </row>
    <row r="31" spans="1:19" ht="14.25" customHeight="1" thickBot="1">
      <c r="A31" s="1342" t="s">
        <v>1381</v>
      </c>
      <c r="B31" s="1350" t="s">
        <v>1133</v>
      </c>
      <c r="C31" s="1336">
        <v>21670</v>
      </c>
      <c r="D31" s="1336">
        <v>20660</v>
      </c>
      <c r="E31" s="1336">
        <v>20290</v>
      </c>
      <c r="F31" s="1354">
        <v>5840</v>
      </c>
      <c r="H31" s="1358"/>
      <c r="M31" s="1336" t="s">
        <v>1392</v>
      </c>
      <c r="N31" s="1336" t="s">
        <v>1393</v>
      </c>
      <c r="O31" s="1336" t="s">
        <v>1394</v>
      </c>
      <c r="P31" s="1336" t="s">
        <v>1395</v>
      </c>
      <c r="Q31" s="1336" t="s">
        <v>1396</v>
      </c>
    </row>
    <row r="32" spans="1:19" ht="14.25" customHeight="1" thickBot="1">
      <c r="A32" s="1342" t="s">
        <v>1381</v>
      </c>
      <c r="B32" s="1350" t="s">
        <v>1146</v>
      </c>
      <c r="C32" s="1336">
        <v>22280</v>
      </c>
      <c r="D32" s="1336">
        <v>21800</v>
      </c>
      <c r="E32" s="1336">
        <v>17650</v>
      </c>
      <c r="F32" s="1354">
        <v>4690</v>
      </c>
      <c r="H32" s="1358"/>
      <c r="M32" s="1336" t="s">
        <v>1397</v>
      </c>
      <c r="N32" s="1336" t="s">
        <v>1398</v>
      </c>
      <c r="O32" s="1336" t="s">
        <v>1399</v>
      </c>
      <c r="P32" s="1336" t="s">
        <v>1400</v>
      </c>
      <c r="Q32" s="1336" t="s">
        <v>1401</v>
      </c>
    </row>
    <row r="33" spans="1:17" ht="14.25" customHeight="1" thickBot="1">
      <c r="A33" s="1342" t="s">
        <v>1381</v>
      </c>
      <c r="B33" s="1350" t="s">
        <v>1158</v>
      </c>
      <c r="C33" s="1336">
        <v>22130</v>
      </c>
      <c r="D33" s="1336">
        <v>20460</v>
      </c>
      <c r="E33" s="1336">
        <v>18500</v>
      </c>
      <c r="F33" s="1354">
        <v>5340</v>
      </c>
      <c r="H33" s="1358"/>
      <c r="M33" s="1336" t="s">
        <v>1402</v>
      </c>
      <c r="N33" s="1336" t="s">
        <v>1403</v>
      </c>
      <c r="O33" s="1336" t="s">
        <v>1404</v>
      </c>
      <c r="P33" s="1336" t="s">
        <v>1405</v>
      </c>
      <c r="Q33" s="1336" t="s">
        <v>1406</v>
      </c>
    </row>
    <row r="34" spans="1:17" ht="14.25" customHeight="1" thickBot="1">
      <c r="A34" s="1342" t="s">
        <v>1381</v>
      </c>
      <c r="B34" s="1350" t="s">
        <v>1170</v>
      </c>
      <c r="C34" s="1336">
        <v>22070</v>
      </c>
      <c r="D34" s="1336">
        <v>20110</v>
      </c>
      <c r="E34" s="1336">
        <v>18830</v>
      </c>
      <c r="F34" s="1354">
        <v>5190</v>
      </c>
      <c r="H34" s="1358"/>
      <c r="M34" s="1336" t="s">
        <v>1407</v>
      </c>
      <c r="N34" s="1336" t="s">
        <v>1408</v>
      </c>
      <c r="O34" s="1336" t="s">
        <v>1409</v>
      </c>
      <c r="P34" s="1336" t="s">
        <v>1410</v>
      </c>
      <c r="Q34" s="1336" t="s">
        <v>1411</v>
      </c>
    </row>
    <row r="35" spans="1:17" ht="14.25" customHeight="1" thickBot="1">
      <c r="A35" s="1342" t="s">
        <v>1381</v>
      </c>
      <c r="B35" s="1350" t="s">
        <v>1182</v>
      </c>
      <c r="C35" s="1336">
        <v>22240</v>
      </c>
      <c r="D35" s="1336">
        <v>19550</v>
      </c>
      <c r="E35" s="1336">
        <v>19220</v>
      </c>
      <c r="F35" s="1354">
        <v>5800</v>
      </c>
      <c r="H35" s="1358"/>
      <c r="M35" s="1336" t="s">
        <v>1412</v>
      </c>
      <c r="N35" s="1336" t="s">
        <v>1413</v>
      </c>
      <c r="O35" s="1336" t="s">
        <v>1414</v>
      </c>
      <c r="P35" s="1336" t="s">
        <v>1415</v>
      </c>
      <c r="Q35" s="1336" t="s">
        <v>1416</v>
      </c>
    </row>
    <row r="36" spans="1:17" ht="14.25" customHeight="1" thickBot="1">
      <c r="A36" s="1342" t="s">
        <v>1381</v>
      </c>
      <c r="B36" s="1350" t="s">
        <v>1194</v>
      </c>
      <c r="C36" s="1336">
        <v>19750</v>
      </c>
      <c r="D36" s="1336">
        <v>19790</v>
      </c>
      <c r="E36" s="1336">
        <v>18510</v>
      </c>
      <c r="F36" s="1354">
        <v>6520</v>
      </c>
      <c r="H36" s="1358"/>
      <c r="N36" s="1336" t="s">
        <v>1417</v>
      </c>
      <c r="O36" s="1336" t="s">
        <v>1418</v>
      </c>
      <c r="P36" s="1336" t="s">
        <v>1419</v>
      </c>
      <c r="Q36" s="1336" t="s">
        <v>1420</v>
      </c>
    </row>
    <row r="37" spans="1:17" ht="14.25" customHeight="1" thickBot="1">
      <c r="A37" s="1342" t="s">
        <v>1381</v>
      </c>
      <c r="B37" s="1350" t="s">
        <v>1207</v>
      </c>
      <c r="C37" s="1336">
        <v>22380</v>
      </c>
      <c r="D37" s="1336">
        <v>18530</v>
      </c>
      <c r="E37" s="1336">
        <v>17930</v>
      </c>
      <c r="F37" s="1354">
        <v>6270</v>
      </c>
      <c r="H37" s="1360"/>
      <c r="N37" s="1336" t="s">
        <v>1421</v>
      </c>
      <c r="O37" s="1336" t="s">
        <v>1422</v>
      </c>
      <c r="P37" s="1336" t="s">
        <v>1423</v>
      </c>
      <c r="Q37" s="1336" t="s">
        <v>1424</v>
      </c>
    </row>
    <row r="38" spans="1:17" ht="14.25" customHeight="1" thickBot="1">
      <c r="A38" s="1342" t="s">
        <v>1381</v>
      </c>
      <c r="B38" s="1350" t="s">
        <v>1218</v>
      </c>
      <c r="C38" s="1336">
        <v>20200</v>
      </c>
      <c r="D38" s="1336">
        <v>20070</v>
      </c>
      <c r="E38" s="1336">
        <v>19950</v>
      </c>
      <c r="F38" s="1354"/>
      <c r="H38" s="1361"/>
      <c r="N38" s="1336" t="s">
        <v>1425</v>
      </c>
      <c r="O38" s="1336" t="s">
        <v>1426</v>
      </c>
      <c r="P38" s="1336" t="s">
        <v>1427</v>
      </c>
      <c r="Q38" s="1336" t="s">
        <v>1428</v>
      </c>
    </row>
    <row r="39" spans="1:17" ht="14.25" customHeight="1" thickBot="1">
      <c r="A39" s="1342" t="s">
        <v>1381</v>
      </c>
      <c r="B39" s="1350" t="s">
        <v>1229</v>
      </c>
      <c r="C39" s="1336">
        <v>19300</v>
      </c>
      <c r="D39" s="1336">
        <v>20360</v>
      </c>
      <c r="E39" s="1336">
        <v>20230</v>
      </c>
      <c r="F39" s="1354"/>
      <c r="H39" s="1361"/>
      <c r="N39" s="1336" t="s">
        <v>1429</v>
      </c>
      <c r="O39" s="1336" t="s">
        <v>1430</v>
      </c>
      <c r="P39" s="1336" t="s">
        <v>1431</v>
      </c>
      <c r="Q39" s="1336" t="s">
        <v>1432</v>
      </c>
    </row>
    <row r="40" spans="1:17" ht="14.25" customHeight="1" thickBot="1">
      <c r="A40" s="1342" t="s">
        <v>1381</v>
      </c>
      <c r="B40" s="1350" t="s">
        <v>1240</v>
      </c>
      <c r="C40" s="1336">
        <v>20210</v>
      </c>
      <c r="D40" s="1336">
        <v>19060</v>
      </c>
      <c r="E40" s="1336">
        <v>18890</v>
      </c>
      <c r="F40" s="1354"/>
      <c r="H40" s="1361"/>
      <c r="N40" s="1336" t="s">
        <v>1433</v>
      </c>
      <c r="O40" s="1336" t="s">
        <v>1434</v>
      </c>
      <c r="P40" s="1336" t="s">
        <v>1435</v>
      </c>
      <c r="Q40" s="1336" t="s">
        <v>1436</v>
      </c>
    </row>
    <row r="41" spans="1:17" ht="14.25" customHeight="1" thickBot="1">
      <c r="A41" s="1342" t="s">
        <v>1381</v>
      </c>
      <c r="B41" s="1350" t="s">
        <v>1251</v>
      </c>
      <c r="C41" s="1336">
        <v>20560</v>
      </c>
      <c r="D41" s="1336">
        <v>21040</v>
      </c>
      <c r="E41" s="1336">
        <v>20740</v>
      </c>
      <c r="F41" s="1354"/>
      <c r="H41" s="1361"/>
      <c r="N41" s="1350" t="s">
        <v>1437</v>
      </c>
      <c r="O41" s="1350" t="s">
        <v>1438</v>
      </c>
      <c r="Q41" s="1350" t="s">
        <v>1439</v>
      </c>
    </row>
    <row r="42" spans="1:17" ht="14.25" customHeight="1" thickBot="1">
      <c r="A42" s="1342" t="s">
        <v>1381</v>
      </c>
      <c r="B42" s="1350" t="s">
        <v>1262</v>
      </c>
      <c r="C42" s="1336">
        <v>19280</v>
      </c>
      <c r="D42" s="1336">
        <v>22940</v>
      </c>
      <c r="E42" s="1336">
        <v>22500</v>
      </c>
      <c r="F42" s="1354"/>
      <c r="H42" s="1361"/>
      <c r="N42" s="1336" t="s">
        <v>1440</v>
      </c>
      <c r="O42" s="1336" t="s">
        <v>1441</v>
      </c>
      <c r="Q42" s="1336" t="s">
        <v>1442</v>
      </c>
    </row>
    <row r="43" spans="1:17" ht="14.25" customHeight="1" thickBot="1">
      <c r="A43" s="1342" t="s">
        <v>1381</v>
      </c>
      <c r="B43" s="1350" t="s">
        <v>1273</v>
      </c>
      <c r="C43" s="1336">
        <v>21520</v>
      </c>
      <c r="D43" s="1336">
        <v>19230</v>
      </c>
      <c r="E43" s="1336">
        <v>18540</v>
      </c>
      <c r="F43" s="1354"/>
      <c r="H43" s="1361"/>
      <c r="N43" s="1336" t="s">
        <v>1443</v>
      </c>
      <c r="O43" s="1336" t="s">
        <v>1444</v>
      </c>
      <c r="Q43" s="1336" t="s">
        <v>1445</v>
      </c>
    </row>
    <row r="44" spans="1:17" ht="14.25" customHeight="1" thickBot="1">
      <c r="A44" s="1342" t="s">
        <v>1381</v>
      </c>
      <c r="B44" s="1350" t="s">
        <v>1283</v>
      </c>
      <c r="C44" s="1336">
        <v>23260</v>
      </c>
      <c r="D44" s="1336">
        <v>21180</v>
      </c>
      <c r="E44" s="1336">
        <v>20730</v>
      </c>
      <c r="F44" s="1354"/>
      <c r="H44" s="1361"/>
      <c r="N44" s="1336" t="s">
        <v>1446</v>
      </c>
      <c r="O44" s="1336" t="s">
        <v>1447</v>
      </c>
      <c r="Q44" s="1336" t="s">
        <v>1448</v>
      </c>
    </row>
    <row r="45" spans="1:17" ht="14.25" customHeight="1" thickBot="1">
      <c r="A45" s="1342" t="s">
        <v>1381</v>
      </c>
      <c r="B45" s="1350" t="s">
        <v>1293</v>
      </c>
      <c r="C45" s="1336">
        <v>19610</v>
      </c>
      <c r="D45" s="1336">
        <v>18090</v>
      </c>
      <c r="E45" s="1336">
        <v>17970</v>
      </c>
      <c r="F45" s="1354"/>
      <c r="H45" s="1358"/>
      <c r="N45" s="1336" t="s">
        <v>1449</v>
      </c>
      <c r="O45" s="1336" t="s">
        <v>1450</v>
      </c>
      <c r="Q45" s="1336" t="s">
        <v>1451</v>
      </c>
    </row>
    <row r="46" spans="1:17" ht="14.25" customHeight="1" thickBot="1">
      <c r="A46" s="1342" t="s">
        <v>1381</v>
      </c>
      <c r="B46" s="1350" t="s">
        <v>1303</v>
      </c>
      <c r="C46" s="1336">
        <v>21660</v>
      </c>
      <c r="D46" s="1336">
        <v>19190</v>
      </c>
      <c r="E46" s="1336">
        <v>19790</v>
      </c>
      <c r="F46" s="1354"/>
      <c r="H46" s="1361"/>
      <c r="N46" s="1336" t="s">
        <v>1452</v>
      </c>
      <c r="O46" s="1336" t="s">
        <v>1453</v>
      </c>
      <c r="Q46" s="1336" t="s">
        <v>1454</v>
      </c>
    </row>
    <row r="47" spans="1:17" ht="14.25" customHeight="1" thickBot="1">
      <c r="A47" s="1342" t="s">
        <v>1381</v>
      </c>
      <c r="B47" s="1350" t="s">
        <v>1313</v>
      </c>
      <c r="C47" s="1336">
        <v>18220</v>
      </c>
      <c r="D47" s="1336"/>
      <c r="E47" s="1336">
        <v>17220</v>
      </c>
      <c r="F47" s="1354"/>
      <c r="H47" s="1361"/>
      <c r="N47" s="1336" t="s">
        <v>1455</v>
      </c>
      <c r="O47" s="1336" t="s">
        <v>1456</v>
      </c>
    </row>
    <row r="48" spans="1:17" ht="14.25" customHeight="1" thickBot="1">
      <c r="A48" s="1342" t="s">
        <v>1381</v>
      </c>
      <c r="B48" s="1351" t="s">
        <v>1322</v>
      </c>
      <c r="C48" s="1352">
        <v>19430</v>
      </c>
      <c r="D48" s="1352"/>
      <c r="E48" s="1352">
        <v>17830</v>
      </c>
      <c r="F48" s="1362"/>
      <c r="H48" s="1358"/>
      <c r="N48" s="1336" t="s">
        <v>1457</v>
      </c>
      <c r="O48" s="1336" t="s">
        <v>1458</v>
      </c>
    </row>
    <row r="49" spans="1:15" ht="14.25" customHeight="1" thickBot="1">
      <c r="A49" s="1342" t="s">
        <v>1052</v>
      </c>
      <c r="B49" s="1343" t="s">
        <v>1459</v>
      </c>
      <c r="C49" s="1343">
        <v>17090</v>
      </c>
      <c r="D49" s="1343">
        <v>16950</v>
      </c>
      <c r="E49" s="1343">
        <v>16310</v>
      </c>
      <c r="F49" s="1344">
        <v>4540</v>
      </c>
      <c r="H49" s="1361"/>
      <c r="N49" s="1336" t="s">
        <v>1460</v>
      </c>
      <c r="O49" s="1336" t="s">
        <v>1461</v>
      </c>
    </row>
    <row r="50" spans="1:15" ht="14.25" customHeight="1" thickBot="1">
      <c r="A50" s="1342" t="s">
        <v>1052</v>
      </c>
      <c r="B50" s="1336" t="s">
        <v>1121</v>
      </c>
      <c r="C50" s="1336">
        <v>19040</v>
      </c>
      <c r="D50" s="1336">
        <v>16960</v>
      </c>
      <c r="E50" s="1336">
        <v>14800</v>
      </c>
      <c r="F50" s="1354">
        <v>3940</v>
      </c>
      <c r="H50" s="1361"/>
    </row>
    <row r="51" spans="1:15" ht="14.25" customHeight="1" thickBot="1">
      <c r="A51" s="1342" t="s">
        <v>1052</v>
      </c>
      <c r="B51" s="1336" t="s">
        <v>1134</v>
      </c>
      <c r="C51" s="1336">
        <v>17040</v>
      </c>
      <c r="D51" s="1336">
        <v>16930</v>
      </c>
      <c r="E51" s="1336">
        <v>15030</v>
      </c>
      <c r="F51" s="1354">
        <v>4120</v>
      </c>
      <c r="H51" s="1361"/>
    </row>
    <row r="52" spans="1:15" ht="14.25" customHeight="1" thickBot="1">
      <c r="A52" s="1342" t="s">
        <v>1052</v>
      </c>
      <c r="B52" s="1336" t="s">
        <v>1147</v>
      </c>
      <c r="C52" s="1336">
        <v>17110</v>
      </c>
      <c r="D52" s="1336">
        <v>17750</v>
      </c>
      <c r="E52" s="1336">
        <v>17310</v>
      </c>
      <c r="F52" s="1354">
        <v>3220</v>
      </c>
      <c r="H52" s="1361"/>
    </row>
    <row r="53" spans="1:15" ht="14.25" customHeight="1" thickBot="1">
      <c r="A53" s="1342" t="s">
        <v>1052</v>
      </c>
      <c r="B53" s="1336" t="s">
        <v>1159</v>
      </c>
      <c r="C53" s="1336">
        <v>17810</v>
      </c>
      <c r="D53" s="1336">
        <v>17260</v>
      </c>
      <c r="E53" s="1336">
        <v>17090</v>
      </c>
      <c r="F53" s="1354">
        <v>3520</v>
      </c>
      <c r="H53" s="1361"/>
    </row>
    <row r="54" spans="1:15" ht="14.25" customHeight="1" thickBot="1">
      <c r="A54" s="1342" t="s">
        <v>1052</v>
      </c>
      <c r="B54" s="1336" t="s">
        <v>1171</v>
      </c>
      <c r="C54" s="1336">
        <v>17410</v>
      </c>
      <c r="D54" s="1336">
        <v>16780</v>
      </c>
      <c r="E54" s="1336">
        <v>16370</v>
      </c>
      <c r="F54" s="1354">
        <v>3410</v>
      </c>
      <c r="H54" s="1361"/>
    </row>
    <row r="55" spans="1:15" ht="14.25" customHeight="1" thickBot="1">
      <c r="A55" s="1342" t="s">
        <v>1052</v>
      </c>
      <c r="B55" s="1336" t="s">
        <v>1183</v>
      </c>
      <c r="C55" s="1336">
        <v>16930</v>
      </c>
      <c r="D55" s="1336">
        <v>14720</v>
      </c>
      <c r="E55" s="1336">
        <v>15000</v>
      </c>
      <c r="F55" s="1354">
        <v>3710</v>
      </c>
      <c r="H55" s="1361"/>
    </row>
    <row r="56" spans="1:15" ht="14.25" customHeight="1" thickBot="1">
      <c r="A56" s="1342" t="s">
        <v>1052</v>
      </c>
      <c r="B56" s="1336" t="s">
        <v>1195</v>
      </c>
      <c r="C56" s="1336">
        <v>14930</v>
      </c>
      <c r="D56" s="1336">
        <v>15850</v>
      </c>
      <c r="E56" s="1336">
        <v>14320</v>
      </c>
      <c r="F56" s="1354">
        <v>3960</v>
      </c>
      <c r="H56" s="1361"/>
    </row>
    <row r="57" spans="1:15" ht="14.25" customHeight="1" thickBot="1">
      <c r="A57" s="1342" t="s">
        <v>1052</v>
      </c>
      <c r="B57" s="1336" t="s">
        <v>1208</v>
      </c>
      <c r="C57" s="1336">
        <v>16160</v>
      </c>
      <c r="D57" s="1336">
        <v>16190</v>
      </c>
      <c r="E57" s="1336">
        <v>15650</v>
      </c>
      <c r="F57" s="1354">
        <v>4200</v>
      </c>
      <c r="H57" s="1361"/>
    </row>
    <row r="58" spans="1:15" ht="14.25" customHeight="1" thickBot="1">
      <c r="A58" s="1342" t="s">
        <v>1052</v>
      </c>
      <c r="B58" s="1336" t="s">
        <v>1219</v>
      </c>
      <c r="C58" s="1336">
        <v>16360</v>
      </c>
      <c r="D58" s="1336">
        <v>14050</v>
      </c>
      <c r="E58" s="1336">
        <v>16070</v>
      </c>
      <c r="F58" s="1354">
        <v>3990</v>
      </c>
      <c r="H58" s="1361"/>
    </row>
    <row r="59" spans="1:15" ht="14.25" customHeight="1" thickBot="1">
      <c r="A59" s="1342" t="s">
        <v>1052</v>
      </c>
      <c r="B59" s="1336" t="s">
        <v>1230</v>
      </c>
      <c r="C59" s="1336">
        <v>14160</v>
      </c>
      <c r="D59" s="1336">
        <v>16620</v>
      </c>
      <c r="E59" s="1336">
        <v>13940</v>
      </c>
      <c r="F59" s="1354">
        <v>4260</v>
      </c>
      <c r="H59" s="1361"/>
    </row>
    <row r="60" spans="1:15" ht="14.25" customHeight="1" thickBot="1">
      <c r="A60" s="1342" t="s">
        <v>1052</v>
      </c>
      <c r="B60" s="1336" t="s">
        <v>1241</v>
      </c>
      <c r="C60" s="1336">
        <v>16750</v>
      </c>
      <c r="D60" s="1336">
        <v>13910</v>
      </c>
      <c r="E60" s="1336">
        <v>16550</v>
      </c>
      <c r="F60" s="1354">
        <v>4550</v>
      </c>
      <c r="H60" s="1361"/>
    </row>
    <row r="61" spans="1:15" ht="14.25" customHeight="1" thickBot="1">
      <c r="A61" s="1342" t="s">
        <v>1052</v>
      </c>
      <c r="B61" s="1336" t="s">
        <v>1252</v>
      </c>
      <c r="C61" s="1336">
        <v>14000</v>
      </c>
      <c r="D61" s="1336">
        <v>14550</v>
      </c>
      <c r="E61" s="1336">
        <v>13860</v>
      </c>
      <c r="F61" s="1363"/>
      <c r="H61" s="1361"/>
    </row>
    <row r="62" spans="1:15" ht="14.25" customHeight="1" thickBot="1">
      <c r="A62" s="1342" t="s">
        <v>1052</v>
      </c>
      <c r="B62" s="1336" t="s">
        <v>1263</v>
      </c>
      <c r="C62" s="1336">
        <v>14660</v>
      </c>
      <c r="D62" s="1336">
        <v>17450</v>
      </c>
      <c r="E62" s="1336">
        <v>14470</v>
      </c>
      <c r="F62" s="1363"/>
      <c r="H62" s="1361"/>
    </row>
    <row r="63" spans="1:15" ht="14.25" customHeight="1" thickBot="1">
      <c r="A63" s="1342" t="s">
        <v>1052</v>
      </c>
      <c r="B63" s="1336" t="s">
        <v>1274</v>
      </c>
      <c r="C63" s="1336">
        <v>17610</v>
      </c>
      <c r="D63" s="1336">
        <v>16500</v>
      </c>
      <c r="E63" s="1336">
        <v>17330</v>
      </c>
      <c r="F63" s="1363"/>
      <c r="H63" s="1361"/>
    </row>
    <row r="64" spans="1:15" ht="14.25" customHeight="1" thickBot="1">
      <c r="A64" s="1342" t="s">
        <v>1052</v>
      </c>
      <c r="B64" s="1336" t="s">
        <v>1284</v>
      </c>
      <c r="C64" s="1336">
        <v>16590</v>
      </c>
      <c r="D64" s="1336">
        <v>15130</v>
      </c>
      <c r="E64" s="1336">
        <v>16420</v>
      </c>
      <c r="F64" s="1363"/>
      <c r="H64" s="1361"/>
    </row>
    <row r="65" spans="1:8" s="1330" customFormat="1" ht="14.25" customHeight="1" thickBot="1">
      <c r="A65" s="1342" t="s">
        <v>1052</v>
      </c>
      <c r="B65" s="1336" t="s">
        <v>1294</v>
      </c>
      <c r="C65" s="1336">
        <v>15220</v>
      </c>
      <c r="D65" s="1336">
        <v>14660</v>
      </c>
      <c r="E65" s="1336">
        <v>15060</v>
      </c>
      <c r="F65" s="1354"/>
      <c r="H65" s="1361"/>
    </row>
    <row r="66" spans="1:8" s="1330" customFormat="1" ht="14.25" customHeight="1" thickBot="1">
      <c r="A66" s="1342" t="s">
        <v>1052</v>
      </c>
      <c r="B66" s="1336" t="s">
        <v>1304</v>
      </c>
      <c r="C66" s="1336">
        <v>14720</v>
      </c>
      <c r="D66" s="1336">
        <v>15970</v>
      </c>
      <c r="E66" s="1336">
        <v>14610</v>
      </c>
      <c r="F66" s="1354"/>
      <c r="H66" s="1361"/>
    </row>
    <row r="67" spans="1:8" s="1330" customFormat="1" ht="14.25" customHeight="1" thickBot="1">
      <c r="A67" s="1342" t="s">
        <v>1052</v>
      </c>
      <c r="B67" s="1336" t="s">
        <v>1314</v>
      </c>
      <c r="C67" s="1336">
        <v>16080</v>
      </c>
      <c r="D67" s="1336">
        <v>14840</v>
      </c>
      <c r="E67" s="1336">
        <v>15630</v>
      </c>
      <c r="F67" s="1354"/>
      <c r="H67" s="1361"/>
    </row>
    <row r="68" spans="1:8" s="1330" customFormat="1" ht="14.25" customHeight="1" thickBot="1">
      <c r="A68" s="1342" t="s">
        <v>1052</v>
      </c>
      <c r="B68" s="1336" t="s">
        <v>1323</v>
      </c>
      <c r="C68" s="1336">
        <v>14940</v>
      </c>
      <c r="D68" s="1336">
        <v>18000</v>
      </c>
      <c r="E68" s="1336">
        <v>14040</v>
      </c>
      <c r="F68" s="1354"/>
      <c r="H68" s="1361"/>
    </row>
    <row r="69" spans="1:8" s="1330" customFormat="1" ht="14.25" customHeight="1" thickBot="1">
      <c r="A69" s="1342" t="s">
        <v>1052</v>
      </c>
      <c r="B69" s="1336" t="s">
        <v>1332</v>
      </c>
      <c r="C69" s="1336">
        <v>18810</v>
      </c>
      <c r="D69" s="1336">
        <v>15100</v>
      </c>
      <c r="E69" s="1336">
        <v>14710</v>
      </c>
      <c r="F69" s="1354"/>
      <c r="H69" s="1361"/>
    </row>
    <row r="70" spans="1:8" s="1330" customFormat="1" ht="14.25" customHeight="1" thickBot="1">
      <c r="A70" s="1342" t="s">
        <v>1052</v>
      </c>
      <c r="B70" s="1336" t="s">
        <v>1340</v>
      </c>
      <c r="C70" s="1336">
        <v>18270</v>
      </c>
      <c r="D70" s="1336"/>
      <c r="E70" s="1336"/>
      <c r="F70" s="1354"/>
      <c r="H70" s="1361"/>
    </row>
    <row r="71" spans="1:8" s="1330" customFormat="1" ht="14.25" customHeight="1" thickBot="1">
      <c r="A71" s="1342" t="s">
        <v>1052</v>
      </c>
      <c r="B71" s="1336" t="s">
        <v>1347</v>
      </c>
      <c r="C71" s="1336">
        <v>15230</v>
      </c>
      <c r="D71" s="1336"/>
      <c r="E71" s="1336"/>
      <c r="F71" s="1354"/>
      <c r="H71" s="1361"/>
    </row>
    <row r="72" spans="1:8" s="1330" customFormat="1" ht="14.25" customHeight="1" thickBot="1">
      <c r="A72" s="1342" t="s">
        <v>1052</v>
      </c>
      <c r="B72" s="1336" t="s">
        <v>1354</v>
      </c>
      <c r="C72" s="1336"/>
      <c r="D72" s="1336"/>
      <c r="E72" s="1336"/>
      <c r="F72" s="1354">
        <v>4120</v>
      </c>
      <c r="H72" s="1361"/>
    </row>
    <row r="73" spans="1:8" s="1330" customFormat="1" ht="14.25" customHeight="1" thickBot="1">
      <c r="A73" s="1342" t="s">
        <v>1052</v>
      </c>
      <c r="B73" s="1336" t="s">
        <v>1361</v>
      </c>
      <c r="C73" s="1336"/>
      <c r="D73" s="1336"/>
      <c r="E73" s="1336"/>
      <c r="F73" s="1354">
        <v>3930</v>
      </c>
      <c r="H73" s="1361"/>
    </row>
    <row r="74" spans="1:8" s="1330" customFormat="1" ht="14.25" customHeight="1" thickBot="1">
      <c r="A74" s="1342" t="s">
        <v>1052</v>
      </c>
      <c r="B74" s="1336" t="s">
        <v>1368</v>
      </c>
      <c r="C74" s="1336"/>
      <c r="D74" s="1336"/>
      <c r="E74" s="1336"/>
      <c r="F74" s="1354">
        <v>4060</v>
      </c>
      <c r="H74" s="1361"/>
    </row>
    <row r="75" spans="1:8" s="1330" customFormat="1" ht="14.25" customHeight="1" thickBot="1">
      <c r="A75" s="1342" t="s">
        <v>1052</v>
      </c>
      <c r="B75" s="1352" t="s">
        <v>1375</v>
      </c>
      <c r="C75" s="1352"/>
      <c r="D75" s="1352"/>
      <c r="E75" s="1352"/>
      <c r="F75" s="1362">
        <v>3750</v>
      </c>
      <c r="H75" s="1361"/>
    </row>
    <row r="76" spans="1:8" s="1330" customFormat="1" ht="14.25" customHeight="1" thickBot="1">
      <c r="A76" s="1342" t="s">
        <v>1462</v>
      </c>
      <c r="B76" s="1343" t="s">
        <v>1463</v>
      </c>
      <c r="C76" s="1343">
        <v>14690</v>
      </c>
      <c r="D76" s="1343">
        <v>14640</v>
      </c>
      <c r="E76" s="1343">
        <v>14590</v>
      </c>
      <c r="F76" s="1344">
        <v>3060</v>
      </c>
      <c r="H76" s="1361"/>
    </row>
    <row r="77" spans="1:8" s="1330" customFormat="1" ht="14.25" customHeight="1" thickBot="1">
      <c r="A77" s="1342" t="s">
        <v>1462</v>
      </c>
      <c r="B77" s="1336" t="s">
        <v>1122</v>
      </c>
      <c r="C77" s="1336">
        <v>12550</v>
      </c>
      <c r="D77" s="1336">
        <v>12480</v>
      </c>
      <c r="E77" s="1336">
        <v>12450</v>
      </c>
      <c r="F77" s="1354">
        <v>2590</v>
      </c>
      <c r="H77" s="1361"/>
    </row>
    <row r="78" spans="1:8" s="1330" customFormat="1" ht="14.25" customHeight="1" thickBot="1">
      <c r="A78" s="1342" t="s">
        <v>1462</v>
      </c>
      <c r="B78" s="1336" t="s">
        <v>1135</v>
      </c>
      <c r="C78" s="1336">
        <v>14360</v>
      </c>
      <c r="D78" s="1336">
        <v>14320</v>
      </c>
      <c r="E78" s="1336">
        <v>12510</v>
      </c>
      <c r="F78" s="1354">
        <v>2700</v>
      </c>
      <c r="H78" s="1361"/>
    </row>
    <row r="79" spans="1:8" s="1330" customFormat="1" ht="14.25" customHeight="1" thickBot="1">
      <c r="A79" s="1342" t="s">
        <v>1462</v>
      </c>
      <c r="B79" s="1336" t="s">
        <v>1148</v>
      </c>
      <c r="C79" s="1336">
        <v>12590</v>
      </c>
      <c r="D79" s="1336">
        <v>12540</v>
      </c>
      <c r="E79" s="1336">
        <v>12350</v>
      </c>
      <c r="F79" s="1354">
        <v>2740</v>
      </c>
      <c r="H79" s="1361"/>
    </row>
    <row r="80" spans="1:8" s="1330" customFormat="1" ht="14.25" customHeight="1" thickBot="1">
      <c r="A80" s="1342" t="s">
        <v>1462</v>
      </c>
      <c r="B80" s="1336" t="s">
        <v>1160</v>
      </c>
      <c r="C80" s="1336">
        <v>12450</v>
      </c>
      <c r="D80" s="1336">
        <v>12370</v>
      </c>
      <c r="E80" s="1336">
        <v>10790</v>
      </c>
      <c r="F80" s="1354">
        <v>2290</v>
      </c>
      <c r="H80" s="1361"/>
    </row>
    <row r="81" spans="1:8" s="1330" customFormat="1" ht="14.25" customHeight="1" thickBot="1">
      <c r="A81" s="1342" t="s">
        <v>1462</v>
      </c>
      <c r="B81" s="1336" t="s">
        <v>1172</v>
      </c>
      <c r="C81" s="1336">
        <v>14210</v>
      </c>
      <c r="D81" s="1336">
        <v>14150</v>
      </c>
      <c r="E81" s="1336">
        <v>12730</v>
      </c>
      <c r="F81" s="1354">
        <v>2240</v>
      </c>
      <c r="H81" s="1361"/>
    </row>
    <row r="82" spans="1:8" s="1330" customFormat="1" ht="14.25" customHeight="1" thickBot="1">
      <c r="A82" s="1342" t="s">
        <v>1462</v>
      </c>
      <c r="B82" s="1336" t="s">
        <v>1184</v>
      </c>
      <c r="C82" s="1336">
        <v>10860</v>
      </c>
      <c r="D82" s="1336">
        <v>10820</v>
      </c>
      <c r="E82" s="1336">
        <v>14720</v>
      </c>
      <c r="F82" s="1354">
        <v>2490</v>
      </c>
      <c r="H82" s="1361"/>
    </row>
    <row r="83" spans="1:8" s="1330" customFormat="1" ht="14.25" customHeight="1" thickBot="1">
      <c r="A83" s="1342" t="s">
        <v>1462</v>
      </c>
      <c r="B83" s="1336" t="s">
        <v>1196</v>
      </c>
      <c r="C83" s="1336">
        <v>12810</v>
      </c>
      <c r="D83" s="1336">
        <v>12760</v>
      </c>
      <c r="E83" s="1336">
        <v>14830</v>
      </c>
      <c r="F83" s="1354">
        <v>2450</v>
      </c>
      <c r="H83" s="1361"/>
    </row>
    <row r="84" spans="1:8" s="1330" customFormat="1" ht="14.25" customHeight="1" thickBot="1">
      <c r="A84" s="1342" t="s">
        <v>1462</v>
      </c>
      <c r="B84" s="1336" t="s">
        <v>1209</v>
      </c>
      <c r="C84" s="1336">
        <v>14950</v>
      </c>
      <c r="D84" s="1336">
        <v>14810</v>
      </c>
      <c r="E84" s="1336">
        <v>12590</v>
      </c>
      <c r="F84" s="1354">
        <v>2540</v>
      </c>
      <c r="H84" s="1361"/>
    </row>
    <row r="85" spans="1:8" s="1330" customFormat="1" ht="14.25" customHeight="1" thickBot="1">
      <c r="A85" s="1342" t="s">
        <v>1462</v>
      </c>
      <c r="B85" s="1336" t="s">
        <v>1220</v>
      </c>
      <c r="C85" s="1336">
        <v>14960</v>
      </c>
      <c r="D85" s="1336">
        <v>14890</v>
      </c>
      <c r="E85" s="1336">
        <v>12840</v>
      </c>
      <c r="F85" s="1354">
        <v>2840</v>
      </c>
      <c r="H85" s="1361"/>
    </row>
    <row r="86" spans="1:8" s="1330" customFormat="1" ht="14.25" customHeight="1" thickBot="1">
      <c r="A86" s="1342" t="s">
        <v>1462</v>
      </c>
      <c r="B86" s="1336" t="s">
        <v>1231</v>
      </c>
      <c r="C86" s="1336">
        <v>12730</v>
      </c>
      <c r="D86" s="1336">
        <v>12660</v>
      </c>
      <c r="E86" s="1336">
        <v>13310</v>
      </c>
      <c r="F86" s="1354">
        <v>3140</v>
      </c>
      <c r="H86" s="1361"/>
    </row>
    <row r="87" spans="1:8" s="1330" customFormat="1" ht="14.25" customHeight="1" thickBot="1">
      <c r="A87" s="1342" t="s">
        <v>1462</v>
      </c>
      <c r="B87" s="1336" t="s">
        <v>1242</v>
      </c>
      <c r="C87" s="1336">
        <v>12940</v>
      </c>
      <c r="D87" s="1336">
        <v>12890</v>
      </c>
      <c r="E87" s="1336">
        <v>11580</v>
      </c>
      <c r="F87" s="1363"/>
      <c r="H87" s="1361"/>
    </row>
    <row r="88" spans="1:8" s="1330" customFormat="1" ht="14.25" customHeight="1" thickBot="1">
      <c r="A88" s="1342" t="s">
        <v>1462</v>
      </c>
      <c r="B88" s="1336" t="s">
        <v>1253</v>
      </c>
      <c r="C88" s="1336">
        <v>13430</v>
      </c>
      <c r="D88" s="1336">
        <v>13360</v>
      </c>
      <c r="E88" s="1336">
        <v>12790</v>
      </c>
      <c r="F88" s="1363"/>
      <c r="H88" s="1361"/>
    </row>
    <row r="89" spans="1:8" s="1330" customFormat="1" ht="14.25" customHeight="1" thickBot="1">
      <c r="A89" s="1342" t="s">
        <v>1462</v>
      </c>
      <c r="B89" s="1336" t="s">
        <v>1264</v>
      </c>
      <c r="C89" s="1336">
        <v>11680</v>
      </c>
      <c r="D89" s="1336">
        <v>11630</v>
      </c>
      <c r="E89" s="1336">
        <v>11320</v>
      </c>
      <c r="F89" s="1363"/>
      <c r="H89" s="1361"/>
    </row>
    <row r="90" spans="1:8" s="1330" customFormat="1" ht="14.25" customHeight="1" thickBot="1">
      <c r="A90" s="1342" t="s">
        <v>1462</v>
      </c>
      <c r="B90" s="1336" t="s">
        <v>1275</v>
      </c>
      <c r="C90" s="1336">
        <v>12890</v>
      </c>
      <c r="D90" s="1336">
        <v>12820</v>
      </c>
      <c r="E90" s="1336">
        <v>12710</v>
      </c>
      <c r="F90" s="1363"/>
      <c r="H90" s="1361"/>
    </row>
    <row r="91" spans="1:8" s="1330" customFormat="1" ht="14.25" customHeight="1" thickBot="1">
      <c r="A91" s="1342" t="s">
        <v>1462</v>
      </c>
      <c r="B91" s="1336" t="s">
        <v>1285</v>
      </c>
      <c r="C91" s="1336">
        <v>11410</v>
      </c>
      <c r="D91" s="1336">
        <v>11360</v>
      </c>
      <c r="E91" s="1336">
        <v>12670</v>
      </c>
      <c r="F91" s="1363"/>
      <c r="H91" s="1361"/>
    </row>
    <row r="92" spans="1:8" s="1330" customFormat="1" ht="14.25" customHeight="1" thickBot="1">
      <c r="A92" s="1342" t="s">
        <v>1462</v>
      </c>
      <c r="B92" s="1336" t="s">
        <v>1295</v>
      </c>
      <c r="C92" s="1336">
        <v>12770</v>
      </c>
      <c r="D92" s="1336">
        <v>12740</v>
      </c>
      <c r="E92" s="1336">
        <v>11970</v>
      </c>
      <c r="F92" s="1363"/>
      <c r="H92" s="1361"/>
    </row>
    <row r="93" spans="1:8" s="1330" customFormat="1" ht="14.25" customHeight="1" thickBot="1">
      <c r="A93" s="1342" t="s">
        <v>1462</v>
      </c>
      <c r="B93" s="1336" t="s">
        <v>1305</v>
      </c>
      <c r="C93" s="1336">
        <v>12740</v>
      </c>
      <c r="D93" s="1336">
        <v>12700</v>
      </c>
      <c r="E93" s="1336">
        <v>12540</v>
      </c>
      <c r="F93" s="1363"/>
      <c r="H93" s="1361"/>
    </row>
    <row r="94" spans="1:8" s="1330" customFormat="1" ht="14.25" customHeight="1" thickBot="1">
      <c r="A94" s="1342" t="s">
        <v>1462</v>
      </c>
      <c r="B94" s="1336" t="s">
        <v>1315</v>
      </c>
      <c r="C94" s="1336">
        <v>12020</v>
      </c>
      <c r="D94" s="1336">
        <v>11990</v>
      </c>
      <c r="E94" s="1336">
        <v>13110</v>
      </c>
      <c r="F94" s="1363"/>
      <c r="H94" s="1361"/>
    </row>
    <row r="95" spans="1:8" s="1330" customFormat="1" ht="14.25" customHeight="1" thickBot="1">
      <c r="A95" s="1342" t="s">
        <v>1462</v>
      </c>
      <c r="B95" s="1336" t="s">
        <v>1324</v>
      </c>
      <c r="C95" s="1336">
        <v>12620</v>
      </c>
      <c r="D95" s="1336">
        <v>12580</v>
      </c>
      <c r="E95" s="1336">
        <v>13160</v>
      </c>
      <c r="F95" s="1354"/>
      <c r="H95" s="1361"/>
    </row>
    <row r="96" spans="1:8" s="1330" customFormat="1" ht="14.25" customHeight="1" thickBot="1">
      <c r="A96" s="1342" t="s">
        <v>1462</v>
      </c>
      <c r="B96" s="1336" t="s">
        <v>1333</v>
      </c>
      <c r="C96" s="1336">
        <v>13200</v>
      </c>
      <c r="D96" s="1336">
        <v>13150</v>
      </c>
      <c r="E96" s="1336">
        <v>12900</v>
      </c>
      <c r="F96" s="1354"/>
      <c r="H96" s="1361"/>
    </row>
    <row r="97" spans="1:8" s="1330" customFormat="1" ht="14.25" customHeight="1" thickBot="1">
      <c r="A97" s="1342" t="s">
        <v>1462</v>
      </c>
      <c r="B97" s="1336" t="s">
        <v>1341</v>
      </c>
      <c r="C97" s="1336">
        <v>13270</v>
      </c>
      <c r="D97" s="1336">
        <v>13210</v>
      </c>
      <c r="E97" s="1336">
        <v>11080</v>
      </c>
      <c r="F97" s="1354"/>
      <c r="H97" s="1361"/>
    </row>
    <row r="98" spans="1:8" s="1330" customFormat="1" ht="14.25" customHeight="1" thickBot="1">
      <c r="A98" s="1342" t="s">
        <v>1462</v>
      </c>
      <c r="B98" s="1336" t="s">
        <v>1348</v>
      </c>
      <c r="C98" s="1336">
        <v>13010</v>
      </c>
      <c r="D98" s="1336">
        <v>12930</v>
      </c>
      <c r="E98" s="1336">
        <v>12840</v>
      </c>
      <c r="F98" s="1354"/>
      <c r="H98" s="1361"/>
    </row>
    <row r="99" spans="1:8" s="1330" customFormat="1" ht="14.25" customHeight="1" thickBot="1">
      <c r="A99" s="1342" t="s">
        <v>1462</v>
      </c>
      <c r="B99" s="1336" t="s">
        <v>1355</v>
      </c>
      <c r="C99" s="1336">
        <v>11190</v>
      </c>
      <c r="D99" s="1336">
        <v>11130</v>
      </c>
      <c r="E99" s="1336"/>
      <c r="F99" s="1354"/>
      <c r="H99" s="1361"/>
    </row>
    <row r="100" spans="1:8" s="1330" customFormat="1" ht="14.25" customHeight="1" thickBot="1">
      <c r="A100" s="1342" t="s">
        <v>1462</v>
      </c>
      <c r="B100" s="1336" t="s">
        <v>1362</v>
      </c>
      <c r="C100" s="1336">
        <v>14280</v>
      </c>
      <c r="D100" s="1336">
        <v>14180</v>
      </c>
      <c r="E100" s="1336"/>
      <c r="F100" s="1354"/>
      <c r="H100" s="1361"/>
    </row>
    <row r="101" spans="1:8" s="1330" customFormat="1" ht="14.25" customHeight="1" thickBot="1">
      <c r="A101" s="1342" t="s">
        <v>1462</v>
      </c>
      <c r="B101" s="1336" t="s">
        <v>1369</v>
      </c>
      <c r="C101" s="1336">
        <v>12960</v>
      </c>
      <c r="D101" s="1336">
        <v>12890</v>
      </c>
      <c r="E101" s="1336"/>
      <c r="F101" s="1354"/>
      <c r="H101" s="1361"/>
    </row>
    <row r="102" spans="1:8" s="1330" customFormat="1" ht="14.25" customHeight="1" thickBot="1">
      <c r="A102" s="1342" t="s">
        <v>1462</v>
      </c>
      <c r="B102" s="1336" t="s">
        <v>1376</v>
      </c>
      <c r="C102" s="1336"/>
      <c r="D102" s="1336"/>
      <c r="E102" s="1336"/>
      <c r="F102" s="1354">
        <v>3100</v>
      </c>
      <c r="H102" s="1361"/>
    </row>
    <row r="103" spans="1:8" s="1330" customFormat="1" ht="14.25" customHeight="1" thickBot="1">
      <c r="A103" s="1342" t="s">
        <v>1462</v>
      </c>
      <c r="B103" s="1336" t="s">
        <v>1383</v>
      </c>
      <c r="C103" s="1336"/>
      <c r="D103" s="1336"/>
      <c r="E103" s="1336"/>
      <c r="F103" s="1354">
        <v>2320</v>
      </c>
      <c r="H103" s="1361"/>
    </row>
    <row r="104" spans="1:8" s="1330" customFormat="1" ht="14.25" customHeight="1" thickBot="1">
      <c r="A104" s="1342" t="s">
        <v>1462</v>
      </c>
      <c r="B104" s="1336" t="s">
        <v>1388</v>
      </c>
      <c r="C104" s="1336"/>
      <c r="D104" s="1336"/>
      <c r="E104" s="1336"/>
      <c r="F104" s="1354">
        <v>2320</v>
      </c>
      <c r="H104" s="1361"/>
    </row>
    <row r="105" spans="1:8" s="1330" customFormat="1" ht="14.25" customHeight="1" thickBot="1">
      <c r="A105" s="1342" t="s">
        <v>1462</v>
      </c>
      <c r="B105" s="1336" t="s">
        <v>1392</v>
      </c>
      <c r="C105" s="1336"/>
      <c r="D105" s="1336"/>
      <c r="E105" s="1336"/>
      <c r="F105" s="1354">
        <v>2320</v>
      </c>
      <c r="H105" s="1361"/>
    </row>
    <row r="106" spans="1:8" s="1330" customFormat="1" ht="14.25" customHeight="1" thickBot="1">
      <c r="A106" s="1342" t="s">
        <v>1462</v>
      </c>
      <c r="B106" s="1336" t="s">
        <v>1397</v>
      </c>
      <c r="C106" s="1336"/>
      <c r="D106" s="1336"/>
      <c r="E106" s="1336"/>
      <c r="F106" s="1354">
        <v>2320</v>
      </c>
      <c r="H106" s="1361"/>
    </row>
    <row r="107" spans="1:8" s="1330" customFormat="1" ht="14.25" customHeight="1" thickBot="1">
      <c r="A107" s="1342" t="s">
        <v>1462</v>
      </c>
      <c r="B107" s="1336" t="s">
        <v>1402</v>
      </c>
      <c r="C107" s="1336"/>
      <c r="D107" s="1336"/>
      <c r="E107" s="1336"/>
      <c r="F107" s="1354">
        <v>2280</v>
      </c>
      <c r="H107" s="1361"/>
    </row>
    <row r="108" spans="1:8" s="1330" customFormat="1" ht="14.25" customHeight="1" thickBot="1">
      <c r="A108" s="1342" t="s">
        <v>1462</v>
      </c>
      <c r="B108" s="1336" t="s">
        <v>1407</v>
      </c>
      <c r="C108" s="1336"/>
      <c r="D108" s="1336"/>
      <c r="E108" s="1336"/>
      <c r="F108" s="1354">
        <v>2280</v>
      </c>
      <c r="H108" s="1361"/>
    </row>
    <row r="109" spans="1:8" s="1330" customFormat="1" ht="14.25" customHeight="1" thickBot="1">
      <c r="A109" s="1342" t="s">
        <v>1462</v>
      </c>
      <c r="B109" s="1352" t="s">
        <v>1412</v>
      </c>
      <c r="C109" s="1352"/>
      <c r="D109" s="1352"/>
      <c r="E109" s="1352"/>
      <c r="F109" s="1362">
        <v>2280</v>
      </c>
      <c r="H109" s="1361"/>
    </row>
    <row r="110" spans="1:8" s="1330" customFormat="1" ht="14.25" customHeight="1" thickBot="1">
      <c r="A110" s="1342" t="s">
        <v>210</v>
      </c>
      <c r="B110" s="1343" t="s">
        <v>1464</v>
      </c>
      <c r="C110" s="1343">
        <v>10520</v>
      </c>
      <c r="D110" s="1343">
        <v>10490</v>
      </c>
      <c r="E110" s="1343">
        <v>10760</v>
      </c>
      <c r="F110" s="1344">
        <v>2160</v>
      </c>
      <c r="H110" s="1361"/>
    </row>
    <row r="111" spans="1:8" s="1330" customFormat="1" ht="14.25" customHeight="1" thickBot="1">
      <c r="A111" s="1342" t="s">
        <v>210</v>
      </c>
      <c r="B111" s="1336" t="s">
        <v>1123</v>
      </c>
      <c r="C111" s="1336">
        <v>10090</v>
      </c>
      <c r="D111" s="1336">
        <v>10060</v>
      </c>
      <c r="E111" s="1336">
        <v>10300</v>
      </c>
      <c r="F111" s="1354">
        <v>2010</v>
      </c>
      <c r="H111" s="1361"/>
    </row>
    <row r="112" spans="1:8" s="1330" customFormat="1" ht="14.25" customHeight="1" thickBot="1">
      <c r="A112" s="1342" t="s">
        <v>210</v>
      </c>
      <c r="B112" s="1336" t="s">
        <v>1136</v>
      </c>
      <c r="C112" s="1336">
        <v>9910</v>
      </c>
      <c r="D112" s="1336">
        <v>9850</v>
      </c>
      <c r="E112" s="1336">
        <v>9960</v>
      </c>
      <c r="F112" s="1354">
        <v>2090</v>
      </c>
      <c r="H112" s="1361"/>
    </row>
    <row r="113" spans="1:8" s="1330" customFormat="1" ht="14.25" customHeight="1" thickBot="1">
      <c r="A113" s="1342" t="s">
        <v>210</v>
      </c>
      <c r="B113" s="1336" t="s">
        <v>1149</v>
      </c>
      <c r="C113" s="1336">
        <v>11430</v>
      </c>
      <c r="D113" s="1336">
        <v>11400</v>
      </c>
      <c r="E113" s="1336">
        <v>11710</v>
      </c>
      <c r="F113" s="1354">
        <v>2050</v>
      </c>
      <c r="H113" s="1361"/>
    </row>
    <row r="114" spans="1:8" s="1330" customFormat="1" ht="14.25" customHeight="1" thickBot="1">
      <c r="A114" s="1342" t="s">
        <v>210</v>
      </c>
      <c r="B114" s="1336" t="s">
        <v>1161</v>
      </c>
      <c r="C114" s="1336">
        <v>11390</v>
      </c>
      <c r="D114" s="1336">
        <v>11350</v>
      </c>
      <c r="E114" s="1336">
        <v>11640</v>
      </c>
      <c r="F114" s="1354">
        <v>1620</v>
      </c>
      <c r="H114" s="1361"/>
    </row>
    <row r="115" spans="1:8" s="1330" customFormat="1" ht="14.25" customHeight="1" thickBot="1">
      <c r="A115" s="1342" t="s">
        <v>210</v>
      </c>
      <c r="B115" s="1336" t="s">
        <v>1173</v>
      </c>
      <c r="C115" s="1336">
        <v>9930</v>
      </c>
      <c r="D115" s="1336">
        <v>9900</v>
      </c>
      <c r="E115" s="1336">
        <v>10160</v>
      </c>
      <c r="F115" s="1354">
        <v>1580</v>
      </c>
      <c r="H115" s="1361"/>
    </row>
    <row r="116" spans="1:8" s="1330" customFormat="1" ht="14.25" customHeight="1" thickBot="1">
      <c r="A116" s="1342" t="s">
        <v>210</v>
      </c>
      <c r="B116" s="1336" t="s">
        <v>1185</v>
      </c>
      <c r="C116" s="1336">
        <v>9150</v>
      </c>
      <c r="D116" s="1336">
        <v>9120</v>
      </c>
      <c r="E116" s="1336">
        <v>9380</v>
      </c>
      <c r="F116" s="1354">
        <v>1750</v>
      </c>
      <c r="H116" s="1361"/>
    </row>
    <row r="117" spans="1:8" s="1330" customFormat="1" ht="14.25" customHeight="1" thickBot="1">
      <c r="A117" s="1342" t="s">
        <v>210</v>
      </c>
      <c r="B117" s="1336" t="s">
        <v>1197</v>
      </c>
      <c r="C117" s="1336">
        <v>10680</v>
      </c>
      <c r="D117" s="1336">
        <v>10650</v>
      </c>
      <c r="E117" s="1336">
        <v>10970</v>
      </c>
      <c r="F117" s="1354">
        <v>1730</v>
      </c>
      <c r="H117" s="1361"/>
    </row>
    <row r="118" spans="1:8" s="1330" customFormat="1" ht="14.25" customHeight="1" thickBot="1">
      <c r="A118" s="1342" t="s">
        <v>210</v>
      </c>
      <c r="B118" s="1336" t="s">
        <v>1210</v>
      </c>
      <c r="C118" s="1336">
        <v>10080</v>
      </c>
      <c r="D118" s="1336">
        <v>10050</v>
      </c>
      <c r="E118" s="1336">
        <v>10350</v>
      </c>
      <c r="F118" s="1354">
        <v>1920</v>
      </c>
      <c r="H118" s="1361"/>
    </row>
    <row r="119" spans="1:8" s="1330" customFormat="1" ht="14.25" customHeight="1" thickBot="1">
      <c r="A119" s="1342" t="s">
        <v>210</v>
      </c>
      <c r="B119" s="1336" t="s">
        <v>1221</v>
      </c>
      <c r="C119" s="1336">
        <v>9450</v>
      </c>
      <c r="D119" s="1336">
        <v>9410</v>
      </c>
      <c r="E119" s="1336">
        <v>9680</v>
      </c>
      <c r="F119" s="1354">
        <v>1880</v>
      </c>
      <c r="H119" s="1361"/>
    </row>
    <row r="120" spans="1:8" s="1330" customFormat="1" ht="14.25" customHeight="1" thickBot="1">
      <c r="A120" s="1342" t="s">
        <v>210</v>
      </c>
      <c r="B120" s="1336" t="s">
        <v>1232</v>
      </c>
      <c r="C120" s="1336">
        <v>8730</v>
      </c>
      <c r="D120" s="1336">
        <v>8700</v>
      </c>
      <c r="E120" s="1336">
        <v>8950</v>
      </c>
      <c r="F120" s="1354">
        <v>1830</v>
      </c>
      <c r="H120" s="1361"/>
    </row>
    <row r="121" spans="1:8" s="1330" customFormat="1" ht="14.25" customHeight="1" thickBot="1">
      <c r="A121" s="1342" t="s">
        <v>210</v>
      </c>
      <c r="B121" s="1336" t="s">
        <v>1243</v>
      </c>
      <c r="C121" s="1336">
        <v>10070</v>
      </c>
      <c r="D121" s="1336">
        <v>10040</v>
      </c>
      <c r="E121" s="1336">
        <v>10270</v>
      </c>
      <c r="F121" s="1354">
        <v>1960</v>
      </c>
      <c r="H121" s="1361"/>
    </row>
    <row r="122" spans="1:8" s="1330" customFormat="1" ht="14.25" customHeight="1" thickBot="1">
      <c r="A122" s="1342" t="s">
        <v>210</v>
      </c>
      <c r="B122" s="1336" t="s">
        <v>1254</v>
      </c>
      <c r="C122" s="1336">
        <v>10500</v>
      </c>
      <c r="D122" s="1336">
        <v>10470</v>
      </c>
      <c r="E122" s="1336">
        <v>10780</v>
      </c>
      <c r="F122" s="1354">
        <v>2180</v>
      </c>
      <c r="H122" s="1361"/>
    </row>
    <row r="123" spans="1:8" s="1330" customFormat="1" ht="14.25" customHeight="1" thickBot="1">
      <c r="A123" s="1342" t="s">
        <v>210</v>
      </c>
      <c r="B123" s="1336" t="s">
        <v>1265</v>
      </c>
      <c r="C123" s="1336">
        <v>10390</v>
      </c>
      <c r="D123" s="1336">
        <v>10360</v>
      </c>
      <c r="E123" s="1336">
        <v>10660</v>
      </c>
      <c r="F123" s="1354">
        <v>2040</v>
      </c>
      <c r="H123" s="1361"/>
    </row>
    <row r="124" spans="1:8" s="1330" customFormat="1" ht="14.25" customHeight="1" thickBot="1">
      <c r="A124" s="1342" t="s">
        <v>210</v>
      </c>
      <c r="B124" s="1336" t="s">
        <v>1276</v>
      </c>
      <c r="C124" s="1336">
        <v>10390</v>
      </c>
      <c r="D124" s="1336">
        <v>10360</v>
      </c>
      <c r="E124" s="1336">
        <v>10680</v>
      </c>
      <c r="F124" s="1363"/>
      <c r="H124" s="1361"/>
    </row>
    <row r="125" spans="1:8" s="1330" customFormat="1" ht="14.25" customHeight="1" thickBot="1">
      <c r="A125" s="1342" t="s">
        <v>210</v>
      </c>
      <c r="B125" s="1336" t="s">
        <v>1286</v>
      </c>
      <c r="C125" s="1336">
        <v>10440</v>
      </c>
      <c r="D125" s="1336">
        <v>10410</v>
      </c>
      <c r="E125" s="1336">
        <v>10710</v>
      </c>
      <c r="F125" s="1363"/>
      <c r="H125" s="1361"/>
    </row>
    <row r="126" spans="1:8" s="1330" customFormat="1" ht="14.25" customHeight="1" thickBot="1">
      <c r="A126" s="1342" t="s">
        <v>210</v>
      </c>
      <c r="B126" s="1336" t="s">
        <v>1296</v>
      </c>
      <c r="C126" s="1336">
        <v>10780</v>
      </c>
      <c r="D126" s="1336">
        <v>10750</v>
      </c>
      <c r="E126" s="1336">
        <v>11080</v>
      </c>
      <c r="F126" s="1363"/>
      <c r="H126" s="1361"/>
    </row>
    <row r="127" spans="1:8" s="1330" customFormat="1" ht="14.25" customHeight="1" thickBot="1">
      <c r="A127" s="1342" t="s">
        <v>210</v>
      </c>
      <c r="B127" s="1336" t="s">
        <v>1306</v>
      </c>
      <c r="C127" s="1336">
        <v>10100</v>
      </c>
      <c r="D127" s="1336">
        <v>10070</v>
      </c>
      <c r="E127" s="1336">
        <v>10350</v>
      </c>
      <c r="F127" s="1363"/>
      <c r="H127" s="1361"/>
    </row>
    <row r="128" spans="1:8" s="1330" customFormat="1" ht="14.25" customHeight="1" thickBot="1">
      <c r="A128" s="1342" t="s">
        <v>210</v>
      </c>
      <c r="B128" s="1336" t="s">
        <v>1316</v>
      </c>
      <c r="C128" s="1336">
        <v>9200</v>
      </c>
      <c r="D128" s="1336">
        <v>9160</v>
      </c>
      <c r="E128" s="1336">
        <v>9660</v>
      </c>
      <c r="F128" s="1363"/>
      <c r="H128" s="1361"/>
    </row>
    <row r="129" spans="1:8" s="1330" customFormat="1" ht="14.25" customHeight="1" thickBot="1">
      <c r="A129" s="1342" t="s">
        <v>210</v>
      </c>
      <c r="B129" s="1336" t="s">
        <v>1325</v>
      </c>
      <c r="C129" s="1336">
        <v>10340</v>
      </c>
      <c r="D129" s="1336">
        <v>10310</v>
      </c>
      <c r="E129" s="1336">
        <v>10580</v>
      </c>
      <c r="F129" s="1363"/>
      <c r="H129" s="1361"/>
    </row>
    <row r="130" spans="1:8" s="1330" customFormat="1" ht="14.25" customHeight="1" thickBot="1">
      <c r="A130" s="1342" t="s">
        <v>210</v>
      </c>
      <c r="B130" s="1336" t="s">
        <v>1334</v>
      </c>
      <c r="C130" s="1336">
        <v>9680</v>
      </c>
      <c r="D130" s="1336">
        <v>9660</v>
      </c>
      <c r="E130" s="1336">
        <v>9950</v>
      </c>
      <c r="F130" s="1363"/>
      <c r="H130" s="1361"/>
    </row>
    <row r="131" spans="1:8" s="1330" customFormat="1" ht="14.25" customHeight="1" thickBot="1">
      <c r="A131" s="1342" t="s">
        <v>210</v>
      </c>
      <c r="B131" s="1336" t="s">
        <v>1342</v>
      </c>
      <c r="C131" s="1336">
        <v>9540</v>
      </c>
      <c r="D131" s="1336">
        <v>9510</v>
      </c>
      <c r="E131" s="1336">
        <v>9790</v>
      </c>
      <c r="F131" s="1363"/>
      <c r="H131" s="1361"/>
    </row>
    <row r="132" spans="1:8" s="1330" customFormat="1" ht="14.25" customHeight="1" thickBot="1">
      <c r="A132" s="1342" t="s">
        <v>210</v>
      </c>
      <c r="B132" s="1336" t="s">
        <v>1349</v>
      </c>
      <c r="C132" s="1336">
        <v>9320</v>
      </c>
      <c r="D132" s="1336">
        <v>9290</v>
      </c>
      <c r="E132" s="1336">
        <v>9570</v>
      </c>
      <c r="F132" s="1363"/>
      <c r="H132" s="1361"/>
    </row>
    <row r="133" spans="1:8" s="1330" customFormat="1" ht="14.25" customHeight="1" thickBot="1">
      <c r="A133" s="1342" t="s">
        <v>210</v>
      </c>
      <c r="B133" s="1336" t="s">
        <v>1356</v>
      </c>
      <c r="C133" s="1336">
        <v>10310</v>
      </c>
      <c r="D133" s="1336">
        <v>10280</v>
      </c>
      <c r="E133" s="1336">
        <v>10530</v>
      </c>
      <c r="F133" s="1363"/>
      <c r="H133" s="1361"/>
    </row>
    <row r="134" spans="1:8" s="1330" customFormat="1" ht="14.25" customHeight="1" thickBot="1">
      <c r="A134" s="1342" t="s">
        <v>210</v>
      </c>
      <c r="B134" s="1336" t="s">
        <v>1363</v>
      </c>
      <c r="C134" s="1336">
        <v>10370</v>
      </c>
      <c r="D134" s="1336">
        <v>10310</v>
      </c>
      <c r="E134" s="1336">
        <v>10240</v>
      </c>
      <c r="F134" s="1354">
        <v>2060</v>
      </c>
      <c r="H134" s="1361"/>
    </row>
    <row r="135" spans="1:8" s="1330" customFormat="1" ht="14.25" customHeight="1" thickBot="1">
      <c r="A135" s="1342" t="s">
        <v>210</v>
      </c>
      <c r="B135" s="1336" t="s">
        <v>1370</v>
      </c>
      <c r="C135" s="1336">
        <v>9300</v>
      </c>
      <c r="D135" s="1336">
        <v>9270</v>
      </c>
      <c r="E135" s="1336">
        <v>9350</v>
      </c>
      <c r="F135" s="1363"/>
      <c r="H135" s="1361"/>
    </row>
    <row r="136" spans="1:8" s="1330" customFormat="1" ht="14.25" customHeight="1" thickBot="1">
      <c r="A136" s="1342" t="s">
        <v>210</v>
      </c>
      <c r="B136" s="1336" t="s">
        <v>1377</v>
      </c>
      <c r="C136" s="1336">
        <v>10160</v>
      </c>
      <c r="D136" s="1336">
        <v>10110</v>
      </c>
      <c r="E136" s="1336">
        <v>10080</v>
      </c>
      <c r="F136" s="1363"/>
      <c r="H136" s="1361"/>
    </row>
    <row r="137" spans="1:8" s="1330" customFormat="1" ht="14.25" customHeight="1" thickBot="1">
      <c r="A137" s="1342" t="s">
        <v>210</v>
      </c>
      <c r="B137" s="1336" t="s">
        <v>1384</v>
      </c>
      <c r="C137" s="1336">
        <v>9200</v>
      </c>
      <c r="D137" s="1336">
        <v>9170</v>
      </c>
      <c r="E137" s="1336">
        <v>9450</v>
      </c>
      <c r="F137" s="1363"/>
      <c r="H137" s="1361"/>
    </row>
    <row r="138" spans="1:8" s="1330" customFormat="1" ht="14.25" customHeight="1" thickBot="1">
      <c r="A138" s="1342" t="s">
        <v>210</v>
      </c>
      <c r="B138" s="1336" t="s">
        <v>1389</v>
      </c>
      <c r="C138" s="1336">
        <v>9690</v>
      </c>
      <c r="D138" s="1336">
        <v>9660</v>
      </c>
      <c r="E138" s="1336">
        <v>9840</v>
      </c>
      <c r="F138" s="1363"/>
      <c r="H138" s="1361"/>
    </row>
    <row r="139" spans="1:8" s="1330" customFormat="1" ht="14.25" customHeight="1" thickBot="1">
      <c r="A139" s="1342" t="s">
        <v>210</v>
      </c>
      <c r="B139" s="1336" t="s">
        <v>1393</v>
      </c>
      <c r="C139" s="1336">
        <v>10290</v>
      </c>
      <c r="D139" s="1336">
        <v>10260</v>
      </c>
      <c r="E139" s="1336">
        <v>10550</v>
      </c>
      <c r="F139" s="1354">
        <v>1700</v>
      </c>
      <c r="H139" s="1361"/>
    </row>
    <row r="140" spans="1:8" s="1330" customFormat="1" ht="14.25" customHeight="1" thickBot="1">
      <c r="A140" s="1342" t="s">
        <v>210</v>
      </c>
      <c r="B140" s="1336" t="s">
        <v>1398</v>
      </c>
      <c r="C140" s="1336">
        <v>9740</v>
      </c>
      <c r="D140" s="1336">
        <v>9710</v>
      </c>
      <c r="E140" s="1336">
        <v>10000</v>
      </c>
      <c r="F140" s="1354">
        <v>2000</v>
      </c>
      <c r="H140" s="1361"/>
    </row>
    <row r="141" spans="1:8" s="1330" customFormat="1" ht="14.25" customHeight="1" thickBot="1">
      <c r="A141" s="1342" t="s">
        <v>210</v>
      </c>
      <c r="B141" s="1336" t="s">
        <v>1403</v>
      </c>
      <c r="C141" s="1336">
        <v>9810</v>
      </c>
      <c r="D141" s="1336">
        <v>9770</v>
      </c>
      <c r="E141" s="1336">
        <v>10060</v>
      </c>
      <c r="F141" s="1363"/>
      <c r="H141" s="1361"/>
    </row>
    <row r="142" spans="1:8" s="1330" customFormat="1" ht="14.25" customHeight="1" thickBot="1">
      <c r="A142" s="1342" t="s">
        <v>210</v>
      </c>
      <c r="B142" s="1336" t="s">
        <v>1408</v>
      </c>
      <c r="C142" s="1336">
        <v>9300</v>
      </c>
      <c r="D142" s="1336">
        <v>9270</v>
      </c>
      <c r="E142" s="1336">
        <v>9530</v>
      </c>
      <c r="F142" s="1363"/>
      <c r="H142" s="1361"/>
    </row>
    <row r="143" spans="1:8" s="1330" customFormat="1" ht="14.25" customHeight="1" thickBot="1">
      <c r="A143" s="1342" t="s">
        <v>210</v>
      </c>
      <c r="B143" s="1336" t="s">
        <v>1413</v>
      </c>
      <c r="C143" s="1336">
        <v>10080</v>
      </c>
      <c r="D143" s="1336">
        <v>10050</v>
      </c>
      <c r="E143" s="1336">
        <v>10340</v>
      </c>
      <c r="F143" s="1363"/>
      <c r="H143" s="1361"/>
    </row>
    <row r="144" spans="1:8" s="1330" customFormat="1" ht="14.25" customHeight="1" thickBot="1">
      <c r="A144" s="1342" t="s">
        <v>210</v>
      </c>
      <c r="B144" s="1336" t="s">
        <v>1417</v>
      </c>
      <c r="C144" s="1336">
        <v>9820</v>
      </c>
      <c r="D144" s="1336">
        <v>9750</v>
      </c>
      <c r="E144" s="1336">
        <v>9900</v>
      </c>
      <c r="F144" s="1363"/>
      <c r="H144" s="1361"/>
    </row>
    <row r="145" spans="1:8" s="1330" customFormat="1" ht="14.25" customHeight="1" thickBot="1">
      <c r="A145" s="1342" t="s">
        <v>210</v>
      </c>
      <c r="B145" s="1336" t="s">
        <v>1421</v>
      </c>
      <c r="C145" s="1336"/>
      <c r="D145" s="1336"/>
      <c r="E145" s="1336"/>
      <c r="F145" s="1354">
        <v>1740</v>
      </c>
      <c r="H145" s="1361"/>
    </row>
    <row r="146" spans="1:8" s="1330" customFormat="1" ht="14.25" customHeight="1" thickBot="1">
      <c r="A146" s="1342" t="s">
        <v>210</v>
      </c>
      <c r="B146" s="1336" t="s">
        <v>1425</v>
      </c>
      <c r="C146" s="1336"/>
      <c r="D146" s="1336"/>
      <c r="E146" s="1336"/>
      <c r="F146" s="1354">
        <v>1740</v>
      </c>
      <c r="H146" s="1361"/>
    </row>
    <row r="147" spans="1:8" s="1330" customFormat="1" ht="14.25" customHeight="1" thickBot="1">
      <c r="A147" s="1342" t="s">
        <v>210</v>
      </c>
      <c r="B147" s="1336" t="s">
        <v>1429</v>
      </c>
      <c r="C147" s="1336"/>
      <c r="D147" s="1336"/>
      <c r="E147" s="1336"/>
      <c r="F147" s="1354">
        <v>1740</v>
      </c>
      <c r="H147" s="1361"/>
    </row>
    <row r="148" spans="1:8" s="1330" customFormat="1" ht="14.25" customHeight="1" thickBot="1">
      <c r="A148" s="1342" t="s">
        <v>210</v>
      </c>
      <c r="B148" s="1336" t="s">
        <v>1433</v>
      </c>
      <c r="C148" s="1336"/>
      <c r="D148" s="1336"/>
      <c r="E148" s="1336"/>
      <c r="F148" s="1354">
        <v>1740</v>
      </c>
      <c r="H148" s="1361"/>
    </row>
    <row r="149" spans="1:8" s="1330" customFormat="1" ht="14.25" customHeight="1" thickBot="1">
      <c r="A149" s="1342" t="s">
        <v>210</v>
      </c>
      <c r="B149" s="1336" t="s">
        <v>1437</v>
      </c>
      <c r="C149" s="1336"/>
      <c r="D149" s="1336"/>
      <c r="E149" s="1336"/>
      <c r="F149" s="1354">
        <v>1740</v>
      </c>
      <c r="H149" s="1361"/>
    </row>
    <row r="150" spans="1:8" s="1330" customFormat="1" ht="14.25" customHeight="1" thickBot="1">
      <c r="A150" s="1342" t="s">
        <v>210</v>
      </c>
      <c r="B150" s="1336" t="s">
        <v>1440</v>
      </c>
      <c r="C150" s="1336"/>
      <c r="D150" s="1336"/>
      <c r="E150" s="1336"/>
      <c r="F150" s="1354">
        <v>1610</v>
      </c>
      <c r="H150" s="1361"/>
    </row>
    <row r="151" spans="1:8" s="1330" customFormat="1" ht="14.25" customHeight="1" thickBot="1">
      <c r="A151" s="1342" t="s">
        <v>210</v>
      </c>
      <c r="B151" s="1336" t="s">
        <v>1443</v>
      </c>
      <c r="C151" s="1336"/>
      <c r="D151" s="1336"/>
      <c r="E151" s="1336"/>
      <c r="F151" s="1354">
        <v>1610</v>
      </c>
      <c r="H151" s="1361"/>
    </row>
    <row r="152" spans="1:8" s="1330" customFormat="1" ht="14.25" customHeight="1" thickBot="1">
      <c r="A152" s="1342" t="s">
        <v>210</v>
      </c>
      <c r="B152" s="1336" t="s">
        <v>1446</v>
      </c>
      <c r="C152" s="1336"/>
      <c r="D152" s="1336"/>
      <c r="E152" s="1336"/>
      <c r="F152" s="1354">
        <v>1610</v>
      </c>
      <c r="H152" s="1361"/>
    </row>
    <row r="153" spans="1:8" s="1330" customFormat="1" ht="14.25" customHeight="1" thickBot="1">
      <c r="A153" s="1342" t="s">
        <v>210</v>
      </c>
      <c r="B153" s="1336" t="s">
        <v>1449</v>
      </c>
      <c r="C153" s="1336"/>
      <c r="D153" s="1336"/>
      <c r="E153" s="1336"/>
      <c r="F153" s="1354">
        <v>1610</v>
      </c>
      <c r="H153" s="1361"/>
    </row>
    <row r="154" spans="1:8" s="1330" customFormat="1" ht="14.25" customHeight="1" thickBot="1">
      <c r="A154" s="1342" t="s">
        <v>210</v>
      </c>
      <c r="B154" s="1336" t="s">
        <v>1452</v>
      </c>
      <c r="C154" s="1336"/>
      <c r="D154" s="1336"/>
      <c r="E154" s="1336"/>
      <c r="F154" s="1354">
        <v>1610</v>
      </c>
      <c r="H154" s="1361"/>
    </row>
    <row r="155" spans="1:8" s="1330" customFormat="1" ht="14.25" customHeight="1" thickBot="1">
      <c r="A155" s="1342" t="s">
        <v>210</v>
      </c>
      <c r="B155" s="1336" t="s">
        <v>1455</v>
      </c>
      <c r="C155" s="1336"/>
      <c r="D155" s="1336"/>
      <c r="E155" s="1336"/>
      <c r="F155" s="1354">
        <v>1800</v>
      </c>
      <c r="H155" s="1361"/>
    </row>
    <row r="156" spans="1:8" s="1330" customFormat="1" ht="14.25" customHeight="1" thickBot="1">
      <c r="A156" s="1342" t="s">
        <v>210</v>
      </c>
      <c r="B156" s="1336" t="s">
        <v>1457</v>
      </c>
      <c r="C156" s="1336"/>
      <c r="D156" s="1336"/>
      <c r="E156" s="1336"/>
      <c r="F156" s="1354">
        <v>1910</v>
      </c>
      <c r="H156" s="1361"/>
    </row>
    <row r="157" spans="1:8" s="1330" customFormat="1" ht="14.25" customHeight="1" thickBot="1">
      <c r="A157" s="1342" t="s">
        <v>210</v>
      </c>
      <c r="B157" s="1352" t="s">
        <v>1460</v>
      </c>
      <c r="C157" s="1352"/>
      <c r="D157" s="1352"/>
      <c r="E157" s="1352"/>
      <c r="F157" s="1362">
        <v>1500</v>
      </c>
      <c r="H157" s="1361"/>
    </row>
    <row r="158" spans="1:8" s="1330" customFormat="1" ht="14.25" customHeight="1" thickBot="1">
      <c r="A158" s="1342" t="s">
        <v>1465</v>
      </c>
      <c r="B158" s="1343" t="s">
        <v>1466</v>
      </c>
      <c r="C158" s="1343">
        <v>8170</v>
      </c>
      <c r="D158" s="1343">
        <v>8140</v>
      </c>
      <c r="E158" s="1343">
        <v>8590</v>
      </c>
      <c r="F158" s="1344">
        <v>1450</v>
      </c>
      <c r="H158" s="1361"/>
    </row>
    <row r="159" spans="1:8" s="1330" customFormat="1" ht="14.25" customHeight="1" thickBot="1">
      <c r="A159" s="1342" t="s">
        <v>1465</v>
      </c>
      <c r="B159" s="1336" t="s">
        <v>1124</v>
      </c>
      <c r="C159" s="1336">
        <v>7410</v>
      </c>
      <c r="D159" s="1336">
        <v>7370</v>
      </c>
      <c r="E159" s="1336">
        <v>8030</v>
      </c>
      <c r="F159" s="1354">
        <v>1510</v>
      </c>
      <c r="H159" s="1361"/>
    </row>
    <row r="160" spans="1:8" s="1330" customFormat="1" ht="14.25" customHeight="1" thickBot="1">
      <c r="A160" s="1342" t="s">
        <v>1465</v>
      </c>
      <c r="B160" s="1336" t="s">
        <v>1137</v>
      </c>
      <c r="C160" s="1336">
        <v>7240</v>
      </c>
      <c r="D160" s="1336">
        <v>7210</v>
      </c>
      <c r="E160" s="1336">
        <v>7860</v>
      </c>
      <c r="F160" s="1354">
        <v>1370</v>
      </c>
      <c r="H160" s="1361"/>
    </row>
    <row r="161" spans="1:8" s="1330" customFormat="1" ht="14.25" customHeight="1" thickBot="1">
      <c r="A161" s="1342" t="s">
        <v>1465</v>
      </c>
      <c r="B161" s="1336" t="s">
        <v>1150</v>
      </c>
      <c r="C161" s="1336">
        <v>7720</v>
      </c>
      <c r="D161" s="1336">
        <v>7690</v>
      </c>
      <c r="E161" s="1336">
        <v>8200</v>
      </c>
      <c r="F161" s="1354">
        <v>1190</v>
      </c>
      <c r="H161" s="1361"/>
    </row>
    <row r="162" spans="1:8" s="1330" customFormat="1" ht="14.25" customHeight="1" thickBot="1">
      <c r="A162" s="1342" t="s">
        <v>1465</v>
      </c>
      <c r="B162" s="1336" t="s">
        <v>1162</v>
      </c>
      <c r="C162" s="1336">
        <v>6900</v>
      </c>
      <c r="D162" s="1336">
        <v>6870</v>
      </c>
      <c r="E162" s="1336">
        <v>7500</v>
      </c>
      <c r="F162" s="1354">
        <v>1390</v>
      </c>
      <c r="H162" s="1361"/>
    </row>
    <row r="163" spans="1:8" s="1330" customFormat="1" ht="14.25" customHeight="1" thickBot="1">
      <c r="A163" s="1342" t="s">
        <v>1465</v>
      </c>
      <c r="B163" s="1336" t="s">
        <v>1174</v>
      </c>
      <c r="C163" s="1336">
        <v>7120</v>
      </c>
      <c r="D163" s="1336">
        <v>7090</v>
      </c>
      <c r="E163" s="1336">
        <v>7690</v>
      </c>
      <c r="F163" s="1354">
        <v>1230</v>
      </c>
      <c r="H163" s="1361"/>
    </row>
    <row r="164" spans="1:8" s="1330" customFormat="1" ht="14.25" customHeight="1" thickBot="1">
      <c r="A164" s="1342" t="s">
        <v>1465</v>
      </c>
      <c r="B164" s="1336" t="s">
        <v>1186</v>
      </c>
      <c r="C164" s="1336">
        <v>6560</v>
      </c>
      <c r="D164" s="1336">
        <v>6530</v>
      </c>
      <c r="E164" s="1336">
        <v>7110</v>
      </c>
      <c r="F164" s="1354">
        <v>1340</v>
      </c>
      <c r="H164" s="1361"/>
    </row>
    <row r="165" spans="1:8" s="1330" customFormat="1" ht="14.25" customHeight="1" thickBot="1">
      <c r="A165" s="1342" t="s">
        <v>1465</v>
      </c>
      <c r="B165" s="1336" t="s">
        <v>1198</v>
      </c>
      <c r="C165" s="1336">
        <v>7450</v>
      </c>
      <c r="D165" s="1336">
        <v>7430</v>
      </c>
      <c r="E165" s="1336">
        <v>8110</v>
      </c>
      <c r="F165" s="1354">
        <v>1290</v>
      </c>
      <c r="H165" s="1361"/>
    </row>
    <row r="166" spans="1:8" s="1330" customFormat="1" ht="14.25" customHeight="1" thickBot="1">
      <c r="A166" s="1342" t="s">
        <v>1465</v>
      </c>
      <c r="B166" s="1336" t="s">
        <v>1211</v>
      </c>
      <c r="C166" s="1336">
        <v>7490</v>
      </c>
      <c r="D166" s="1336">
        <v>7460</v>
      </c>
      <c r="E166" s="1336">
        <v>8150</v>
      </c>
      <c r="F166" s="1354">
        <v>1350</v>
      </c>
      <c r="H166" s="1361"/>
    </row>
    <row r="167" spans="1:8" s="1330" customFormat="1" ht="14.25" customHeight="1" thickBot="1">
      <c r="A167" s="1342" t="s">
        <v>1465</v>
      </c>
      <c r="B167" s="1336" t="s">
        <v>1222</v>
      </c>
      <c r="C167" s="1336">
        <v>7540</v>
      </c>
      <c r="D167" s="1336">
        <v>7510</v>
      </c>
      <c r="E167" s="1336">
        <v>8030</v>
      </c>
      <c r="F167" s="1363"/>
      <c r="H167" s="1361"/>
    </row>
    <row r="168" spans="1:8" s="1330" customFormat="1" ht="14.25" customHeight="1" thickBot="1">
      <c r="A168" s="1342" t="s">
        <v>1465</v>
      </c>
      <c r="B168" s="1336" t="s">
        <v>1233</v>
      </c>
      <c r="C168" s="1336">
        <v>7210</v>
      </c>
      <c r="D168" s="1336">
        <v>7180</v>
      </c>
      <c r="E168" s="1336">
        <v>7830</v>
      </c>
      <c r="F168" s="1363"/>
      <c r="H168" s="1361"/>
    </row>
    <row r="169" spans="1:8" s="1330" customFormat="1" ht="14.25" customHeight="1" thickBot="1">
      <c r="A169" s="1342" t="s">
        <v>1465</v>
      </c>
      <c r="B169" s="1336" t="s">
        <v>1244</v>
      </c>
      <c r="C169" s="1336">
        <v>7040</v>
      </c>
      <c r="D169" s="1336">
        <v>7020</v>
      </c>
      <c r="E169" s="1336">
        <v>7670</v>
      </c>
      <c r="F169" s="1363"/>
      <c r="H169" s="1361"/>
    </row>
    <row r="170" spans="1:8" s="1330" customFormat="1" ht="14.25" customHeight="1" thickBot="1">
      <c r="A170" s="1342" t="s">
        <v>1465</v>
      </c>
      <c r="B170" s="1336" t="s">
        <v>1255</v>
      </c>
      <c r="C170" s="1336">
        <v>8040</v>
      </c>
      <c r="D170" s="1336">
        <v>7190</v>
      </c>
      <c r="E170" s="1336">
        <v>7850</v>
      </c>
      <c r="F170" s="1363"/>
      <c r="H170" s="1361"/>
    </row>
    <row r="171" spans="1:8" s="1330" customFormat="1" ht="14.25" customHeight="1" thickBot="1">
      <c r="A171" s="1342" t="s">
        <v>1465</v>
      </c>
      <c r="B171" s="1336" t="s">
        <v>1266</v>
      </c>
      <c r="C171" s="1336">
        <v>7860</v>
      </c>
      <c r="D171" s="1336">
        <v>7720</v>
      </c>
      <c r="E171" s="1336">
        <v>8150</v>
      </c>
      <c r="F171" s="1354">
        <v>1110</v>
      </c>
      <c r="H171" s="1361"/>
    </row>
    <row r="172" spans="1:8" s="1330" customFormat="1" ht="14.25" customHeight="1" thickBot="1">
      <c r="A172" s="1342" t="s">
        <v>1465</v>
      </c>
      <c r="B172" s="1336" t="s">
        <v>1277</v>
      </c>
      <c r="C172" s="1336">
        <v>7210</v>
      </c>
      <c r="D172" s="1336">
        <v>7170</v>
      </c>
      <c r="E172" s="1336">
        <v>7320</v>
      </c>
      <c r="F172" s="1363"/>
      <c r="H172" s="1361"/>
    </row>
    <row r="173" spans="1:8" s="1330" customFormat="1" ht="14.25" customHeight="1" thickBot="1">
      <c r="A173" s="1342" t="s">
        <v>1465</v>
      </c>
      <c r="B173" s="1336" t="s">
        <v>1287</v>
      </c>
      <c r="C173" s="1336">
        <v>6860</v>
      </c>
      <c r="D173" s="1336">
        <v>6810</v>
      </c>
      <c r="E173" s="1336">
        <v>7440</v>
      </c>
      <c r="F173" s="1363"/>
      <c r="H173" s="1361"/>
    </row>
    <row r="174" spans="1:8" s="1330" customFormat="1" ht="14.25" customHeight="1" thickBot="1">
      <c r="A174" s="1342" t="s">
        <v>1465</v>
      </c>
      <c r="B174" s="1336" t="s">
        <v>1297</v>
      </c>
      <c r="C174" s="1336">
        <v>7120</v>
      </c>
      <c r="D174" s="1336">
        <v>7090</v>
      </c>
      <c r="E174" s="1336">
        <v>7500</v>
      </c>
      <c r="F174" s="1354">
        <v>1490</v>
      </c>
      <c r="H174" s="1361"/>
    </row>
    <row r="175" spans="1:8" s="1330" customFormat="1" ht="14.25" customHeight="1" thickBot="1">
      <c r="A175" s="1342" t="s">
        <v>1465</v>
      </c>
      <c r="B175" s="1336" t="s">
        <v>1307</v>
      </c>
      <c r="C175" s="1336">
        <v>7850</v>
      </c>
      <c r="D175" s="1336">
        <v>7820</v>
      </c>
      <c r="E175" s="1336">
        <v>8120</v>
      </c>
      <c r="F175" s="1354">
        <v>1530</v>
      </c>
      <c r="H175" s="1361"/>
    </row>
    <row r="176" spans="1:8" s="1330" customFormat="1" ht="14.25" customHeight="1" thickBot="1">
      <c r="A176" s="1342" t="s">
        <v>1465</v>
      </c>
      <c r="B176" s="1336" t="s">
        <v>1317</v>
      </c>
      <c r="C176" s="1336">
        <v>7620</v>
      </c>
      <c r="D176" s="1336">
        <v>7570</v>
      </c>
      <c r="E176" s="1336">
        <v>7990</v>
      </c>
      <c r="F176" s="1354">
        <v>1480</v>
      </c>
      <c r="H176" s="1361"/>
    </row>
    <row r="177" spans="1:8" s="1330" customFormat="1" ht="14.25" customHeight="1" thickBot="1">
      <c r="A177" s="1342" t="s">
        <v>1465</v>
      </c>
      <c r="B177" s="1336" t="s">
        <v>1326</v>
      </c>
      <c r="C177" s="1336">
        <v>8590</v>
      </c>
      <c r="D177" s="1336">
        <v>8570</v>
      </c>
      <c r="E177" s="1336">
        <v>8740</v>
      </c>
      <c r="F177" s="1354">
        <v>1540</v>
      </c>
      <c r="H177" s="1361"/>
    </row>
    <row r="178" spans="1:8" s="1330" customFormat="1" ht="14.25" customHeight="1" thickBot="1">
      <c r="A178" s="1342" t="s">
        <v>1465</v>
      </c>
      <c r="B178" s="1336" t="s">
        <v>1335</v>
      </c>
      <c r="C178" s="1336">
        <v>7510</v>
      </c>
      <c r="D178" s="1336">
        <v>7470</v>
      </c>
      <c r="E178" s="1336">
        <v>8090</v>
      </c>
      <c r="F178" s="1354">
        <v>1320</v>
      </c>
      <c r="H178" s="1361"/>
    </row>
    <row r="179" spans="1:8" s="1330" customFormat="1" ht="14.25" customHeight="1" thickBot="1">
      <c r="A179" s="1342" t="s">
        <v>1465</v>
      </c>
      <c r="B179" s="1336" t="s">
        <v>1343</v>
      </c>
      <c r="C179" s="1336">
        <v>6380</v>
      </c>
      <c r="D179" s="1336">
        <v>6340</v>
      </c>
      <c r="E179" s="1336">
        <v>6810</v>
      </c>
      <c r="F179" s="1363"/>
      <c r="H179" s="1361"/>
    </row>
    <row r="180" spans="1:8" s="1330" customFormat="1" ht="14.25" customHeight="1" thickBot="1">
      <c r="A180" s="1342" t="s">
        <v>1465</v>
      </c>
      <c r="B180" s="1336" t="s">
        <v>1350</v>
      </c>
      <c r="C180" s="1336">
        <v>7830</v>
      </c>
      <c r="D180" s="1336">
        <v>7800</v>
      </c>
      <c r="E180" s="1336">
        <v>7780</v>
      </c>
      <c r="F180" s="1354">
        <v>1440</v>
      </c>
      <c r="H180" s="1361"/>
    </row>
    <row r="181" spans="1:8" s="1330" customFormat="1" ht="14.25" customHeight="1" thickBot="1">
      <c r="A181" s="1342" t="s">
        <v>1465</v>
      </c>
      <c r="B181" s="1336" t="s">
        <v>1357</v>
      </c>
      <c r="C181" s="1336">
        <v>7110</v>
      </c>
      <c r="D181" s="1336">
        <v>7080</v>
      </c>
      <c r="E181" s="1336">
        <v>7730</v>
      </c>
      <c r="F181" s="1354">
        <v>1350</v>
      </c>
      <c r="H181" s="1361"/>
    </row>
    <row r="182" spans="1:8" s="1330" customFormat="1" ht="14.25" customHeight="1" thickBot="1">
      <c r="A182" s="1342" t="s">
        <v>1465</v>
      </c>
      <c r="B182" s="1336" t="s">
        <v>1364</v>
      </c>
      <c r="C182" s="1336">
        <v>7310</v>
      </c>
      <c r="D182" s="1336">
        <v>7280</v>
      </c>
      <c r="E182" s="1336">
        <v>7950</v>
      </c>
      <c r="F182" s="1354">
        <v>1220</v>
      </c>
      <c r="H182" s="1361"/>
    </row>
    <row r="183" spans="1:8" s="1330" customFormat="1" ht="14.25" customHeight="1" thickBot="1">
      <c r="A183" s="1342" t="s">
        <v>1465</v>
      </c>
      <c r="B183" s="1336" t="s">
        <v>1371</v>
      </c>
      <c r="C183" s="1336">
        <v>7470</v>
      </c>
      <c r="D183" s="1336">
        <v>7440</v>
      </c>
      <c r="E183" s="1336">
        <v>7880</v>
      </c>
      <c r="F183" s="1363"/>
      <c r="H183" s="1361"/>
    </row>
    <row r="184" spans="1:8" s="1330" customFormat="1" ht="14.25" customHeight="1" thickBot="1">
      <c r="A184" s="1342" t="s">
        <v>1465</v>
      </c>
      <c r="B184" s="1336" t="s">
        <v>1378</v>
      </c>
      <c r="C184" s="1336">
        <v>6960</v>
      </c>
      <c r="D184" s="1336">
        <v>6930</v>
      </c>
      <c r="E184" s="1336">
        <v>7570</v>
      </c>
      <c r="F184" s="1363"/>
      <c r="H184" s="1361"/>
    </row>
    <row r="185" spans="1:8" s="1330" customFormat="1" ht="14.25" customHeight="1" thickBot="1">
      <c r="A185" s="1342" t="s">
        <v>1465</v>
      </c>
      <c r="B185" s="1336" t="s">
        <v>1385</v>
      </c>
      <c r="C185" s="1336">
        <v>7260</v>
      </c>
      <c r="D185" s="1336">
        <v>7230</v>
      </c>
      <c r="E185" s="1336">
        <v>7710</v>
      </c>
      <c r="F185" s="1354">
        <v>1360</v>
      </c>
      <c r="H185" s="1361"/>
    </row>
    <row r="186" spans="1:8" s="1330" customFormat="1" ht="14.25" customHeight="1" thickBot="1">
      <c r="A186" s="1342" t="s">
        <v>1465</v>
      </c>
      <c r="B186" s="1336" t="s">
        <v>1390</v>
      </c>
      <c r="C186" s="1336"/>
      <c r="D186" s="1336"/>
      <c r="E186" s="1336"/>
      <c r="F186" s="1354">
        <v>1560</v>
      </c>
      <c r="H186" s="1361"/>
    </row>
    <row r="187" spans="1:8" s="1330" customFormat="1" ht="14.25" customHeight="1" thickBot="1">
      <c r="A187" s="1342" t="s">
        <v>1465</v>
      </c>
      <c r="B187" s="1336" t="s">
        <v>1394</v>
      </c>
      <c r="C187" s="1336"/>
      <c r="D187" s="1336"/>
      <c r="E187" s="1336"/>
      <c r="F187" s="1354">
        <v>1560</v>
      </c>
      <c r="H187" s="1361"/>
    </row>
    <row r="188" spans="1:8" s="1330" customFormat="1" ht="14.25" customHeight="1" thickBot="1">
      <c r="A188" s="1342" t="s">
        <v>1465</v>
      </c>
      <c r="B188" s="1336" t="s">
        <v>1399</v>
      </c>
      <c r="C188" s="1336"/>
      <c r="D188" s="1336"/>
      <c r="E188" s="1336"/>
      <c r="F188" s="1354">
        <v>1560</v>
      </c>
      <c r="H188" s="1361"/>
    </row>
    <row r="189" spans="1:8" s="1330" customFormat="1" ht="14.25" customHeight="1" thickBot="1">
      <c r="A189" s="1342" t="s">
        <v>1465</v>
      </c>
      <c r="B189" s="1336" t="s">
        <v>1404</v>
      </c>
      <c r="C189" s="1336"/>
      <c r="D189" s="1336"/>
      <c r="E189" s="1336"/>
      <c r="F189" s="1354">
        <v>1320</v>
      </c>
      <c r="H189" s="1361"/>
    </row>
    <row r="190" spans="1:8" s="1330" customFormat="1" ht="14.25" customHeight="1" thickBot="1">
      <c r="A190" s="1342" t="s">
        <v>1465</v>
      </c>
      <c r="B190" s="1336" t="s">
        <v>1409</v>
      </c>
      <c r="C190" s="1336"/>
      <c r="D190" s="1336"/>
      <c r="E190" s="1336"/>
      <c r="F190" s="1354">
        <v>1320</v>
      </c>
      <c r="H190" s="1361"/>
    </row>
    <row r="191" spans="1:8" s="1330" customFormat="1" ht="14.25" customHeight="1" thickBot="1">
      <c r="A191" s="1342" t="s">
        <v>1465</v>
      </c>
      <c r="B191" s="1336" t="s">
        <v>1414</v>
      </c>
      <c r="C191" s="1336"/>
      <c r="D191" s="1336"/>
      <c r="E191" s="1336"/>
      <c r="F191" s="1354">
        <v>1320</v>
      </c>
      <c r="H191" s="1361"/>
    </row>
    <row r="192" spans="1:8" s="1330" customFormat="1" ht="14.25" customHeight="1" thickBot="1">
      <c r="A192" s="1342" t="s">
        <v>1465</v>
      </c>
      <c r="B192" s="1336" t="s">
        <v>1418</v>
      </c>
      <c r="C192" s="1336"/>
      <c r="D192" s="1336"/>
      <c r="E192" s="1336"/>
      <c r="F192" s="1354">
        <v>1100</v>
      </c>
      <c r="H192" s="1361"/>
    </row>
    <row r="193" spans="1:8" s="1330" customFormat="1" ht="14.25" customHeight="1" thickBot="1">
      <c r="A193" s="1342" t="s">
        <v>1465</v>
      </c>
      <c r="B193" s="1336" t="s">
        <v>1422</v>
      </c>
      <c r="C193" s="1336"/>
      <c r="D193" s="1336"/>
      <c r="E193" s="1336"/>
      <c r="F193" s="1354">
        <v>1100</v>
      </c>
      <c r="H193" s="1361"/>
    </row>
    <row r="194" spans="1:8" s="1330" customFormat="1" ht="14.25" customHeight="1" thickBot="1">
      <c r="A194" s="1342" t="s">
        <v>1465</v>
      </c>
      <c r="B194" s="1336" t="s">
        <v>1426</v>
      </c>
      <c r="C194" s="1336"/>
      <c r="D194" s="1336"/>
      <c r="E194" s="1336"/>
      <c r="F194" s="1354">
        <v>1080</v>
      </c>
      <c r="H194" s="1361"/>
    </row>
    <row r="195" spans="1:8" s="1330" customFormat="1" ht="14.25" customHeight="1" thickBot="1">
      <c r="A195" s="1342" t="s">
        <v>1465</v>
      </c>
      <c r="B195" s="1336" t="s">
        <v>1430</v>
      </c>
      <c r="C195" s="1336"/>
      <c r="D195" s="1336"/>
      <c r="E195" s="1336"/>
      <c r="F195" s="1354">
        <v>1270</v>
      </c>
      <c r="H195" s="1361"/>
    </row>
    <row r="196" spans="1:8" s="1330" customFormat="1" ht="14.25" customHeight="1" thickBot="1">
      <c r="A196" s="1342" t="s">
        <v>1465</v>
      </c>
      <c r="B196" s="1336" t="s">
        <v>1434</v>
      </c>
      <c r="C196" s="1336"/>
      <c r="D196" s="1336"/>
      <c r="E196" s="1336"/>
      <c r="F196" s="1354">
        <v>1150</v>
      </c>
      <c r="H196" s="1361"/>
    </row>
    <row r="197" spans="1:8" s="1330" customFormat="1" ht="14.25" customHeight="1" thickBot="1">
      <c r="A197" s="1342" t="s">
        <v>1465</v>
      </c>
      <c r="B197" s="1336" t="s">
        <v>1438</v>
      </c>
      <c r="C197" s="1336"/>
      <c r="D197" s="1336"/>
      <c r="E197" s="1336"/>
      <c r="F197" s="1354">
        <v>1330</v>
      </c>
      <c r="H197" s="1361"/>
    </row>
    <row r="198" spans="1:8" s="1330" customFormat="1" ht="14.25" customHeight="1" thickBot="1">
      <c r="A198" s="1342" t="s">
        <v>1465</v>
      </c>
      <c r="B198" s="1336" t="s">
        <v>1441</v>
      </c>
      <c r="C198" s="1336"/>
      <c r="D198" s="1336"/>
      <c r="E198" s="1336"/>
      <c r="F198" s="1354">
        <v>1170</v>
      </c>
      <c r="H198" s="1361"/>
    </row>
    <row r="199" spans="1:8" s="1330" customFormat="1" ht="14.25" customHeight="1" thickBot="1">
      <c r="A199" s="1342" t="s">
        <v>1465</v>
      </c>
      <c r="B199" s="1336" t="s">
        <v>1444</v>
      </c>
      <c r="C199" s="1336"/>
      <c r="D199" s="1336"/>
      <c r="E199" s="1336"/>
      <c r="F199" s="1354">
        <v>1120</v>
      </c>
      <c r="H199" s="1361"/>
    </row>
    <row r="200" spans="1:8" s="1330" customFormat="1" ht="14.25" customHeight="1" thickBot="1">
      <c r="A200" s="1342" t="s">
        <v>1465</v>
      </c>
      <c r="B200" s="1336" t="s">
        <v>1447</v>
      </c>
      <c r="C200" s="1336"/>
      <c r="D200" s="1336"/>
      <c r="E200" s="1336"/>
      <c r="F200" s="1354">
        <v>1120</v>
      </c>
      <c r="H200" s="1361"/>
    </row>
    <row r="201" spans="1:8" s="1330" customFormat="1" ht="14.25" customHeight="1" thickBot="1">
      <c r="A201" s="1342" t="s">
        <v>1465</v>
      </c>
      <c r="B201" s="1336" t="s">
        <v>1450</v>
      </c>
      <c r="C201" s="1336"/>
      <c r="D201" s="1336"/>
      <c r="E201" s="1336"/>
      <c r="F201" s="1354">
        <v>1540</v>
      </c>
      <c r="H201" s="1361"/>
    </row>
    <row r="202" spans="1:8" s="1330" customFormat="1" ht="14.25" customHeight="1" thickBot="1">
      <c r="A202" s="1342" t="s">
        <v>1465</v>
      </c>
      <c r="B202" s="1336" t="s">
        <v>1453</v>
      </c>
      <c r="C202" s="1336"/>
      <c r="D202" s="1336"/>
      <c r="E202" s="1336"/>
      <c r="F202" s="1354">
        <v>1310</v>
      </c>
      <c r="H202" s="1361"/>
    </row>
    <row r="203" spans="1:8" s="1330" customFormat="1" ht="14.25" customHeight="1" thickBot="1">
      <c r="A203" s="1342" t="s">
        <v>1465</v>
      </c>
      <c r="B203" s="1336" t="s">
        <v>1456</v>
      </c>
      <c r="C203" s="1336"/>
      <c r="D203" s="1336"/>
      <c r="E203" s="1336"/>
      <c r="F203" s="1354">
        <v>1310</v>
      </c>
      <c r="H203" s="1361"/>
    </row>
    <row r="204" spans="1:8" s="1330" customFormat="1" ht="14.25" customHeight="1" thickBot="1">
      <c r="A204" s="1342" t="s">
        <v>1465</v>
      </c>
      <c r="B204" s="1336" t="s">
        <v>1458</v>
      </c>
      <c r="C204" s="1336"/>
      <c r="D204" s="1336"/>
      <c r="E204" s="1336"/>
      <c r="F204" s="1354">
        <v>1080</v>
      </c>
      <c r="H204" s="1361"/>
    </row>
    <row r="205" spans="1:8" s="1330" customFormat="1" ht="14.25" customHeight="1" thickBot="1">
      <c r="A205" s="1342" t="s">
        <v>1465</v>
      </c>
      <c r="B205" s="1336" t="s">
        <v>1461</v>
      </c>
      <c r="C205" s="1336"/>
      <c r="D205" s="1336"/>
      <c r="E205" s="1336"/>
      <c r="F205" s="1354">
        <v>1080</v>
      </c>
      <c r="H205" s="1361"/>
    </row>
    <row r="206" spans="1:8" s="1330" customFormat="1" ht="14.25" customHeight="1" thickBot="1">
      <c r="A206" s="1342" t="s">
        <v>1467</v>
      </c>
      <c r="B206" s="1343" t="s">
        <v>1468</v>
      </c>
      <c r="C206" s="1343">
        <v>5450</v>
      </c>
      <c r="D206" s="1343">
        <v>5430</v>
      </c>
      <c r="E206" s="1343">
        <v>5700</v>
      </c>
      <c r="F206" s="1344">
        <v>1020</v>
      </c>
      <c r="H206" s="1361"/>
    </row>
    <row r="207" spans="1:8" s="1330" customFormat="1" ht="14.25" customHeight="1" thickBot="1">
      <c r="A207" s="1342" t="s">
        <v>1467</v>
      </c>
      <c r="B207" s="1336" t="s">
        <v>1125</v>
      </c>
      <c r="C207" s="1336">
        <v>5860</v>
      </c>
      <c r="D207" s="1336">
        <v>5820</v>
      </c>
      <c r="E207" s="1336">
        <v>6050</v>
      </c>
      <c r="F207" s="1354">
        <v>1080</v>
      </c>
      <c r="H207" s="1361"/>
    </row>
    <row r="208" spans="1:8" s="1330" customFormat="1" ht="14.25" customHeight="1" thickBot="1">
      <c r="A208" s="1342" t="s">
        <v>1467</v>
      </c>
      <c r="B208" s="1336" t="s">
        <v>1138</v>
      </c>
      <c r="C208" s="1336">
        <v>4630</v>
      </c>
      <c r="D208" s="1336">
        <v>4600</v>
      </c>
      <c r="E208" s="1336">
        <v>4840</v>
      </c>
      <c r="F208" s="1354">
        <v>900</v>
      </c>
      <c r="H208" s="1361"/>
    </row>
    <row r="209" spans="1:8" s="1330" customFormat="1" ht="14.25" customHeight="1" thickBot="1">
      <c r="A209" s="1342" t="s">
        <v>1467</v>
      </c>
      <c r="B209" s="1336" t="s">
        <v>1151</v>
      </c>
      <c r="C209" s="1336">
        <v>5320</v>
      </c>
      <c r="D209" s="1336">
        <v>5270</v>
      </c>
      <c r="E209" s="1336">
        <v>5540</v>
      </c>
      <c r="F209" s="1354">
        <v>980</v>
      </c>
      <c r="H209" s="1361"/>
    </row>
    <row r="210" spans="1:8" s="1330" customFormat="1" ht="14.25" customHeight="1" thickBot="1">
      <c r="A210" s="1342" t="s">
        <v>1467</v>
      </c>
      <c r="B210" s="1336" t="s">
        <v>1163</v>
      </c>
      <c r="C210" s="1336">
        <v>5760</v>
      </c>
      <c r="D210" s="1336">
        <v>5710</v>
      </c>
      <c r="E210" s="1336">
        <v>6010</v>
      </c>
      <c r="F210" s="1354">
        <v>870</v>
      </c>
      <c r="H210" s="1361"/>
    </row>
    <row r="211" spans="1:8" s="1330" customFormat="1" ht="14.25" customHeight="1" thickBot="1">
      <c r="A211" s="1342" t="s">
        <v>1467</v>
      </c>
      <c r="B211" s="1336" t="s">
        <v>1175</v>
      </c>
      <c r="C211" s="1336">
        <v>4160</v>
      </c>
      <c r="D211" s="1336">
        <v>4100</v>
      </c>
      <c r="E211" s="1336">
        <v>4270</v>
      </c>
      <c r="F211" s="1354">
        <v>790</v>
      </c>
      <c r="H211" s="1361"/>
    </row>
    <row r="212" spans="1:8" s="1330" customFormat="1" ht="14.25" customHeight="1" thickBot="1">
      <c r="A212" s="1342" t="s">
        <v>1467</v>
      </c>
      <c r="B212" s="1336" t="s">
        <v>1187</v>
      </c>
      <c r="C212" s="1336">
        <v>4880</v>
      </c>
      <c r="D212" s="1336">
        <v>4850</v>
      </c>
      <c r="E212" s="1336">
        <v>5110</v>
      </c>
      <c r="F212" s="1354">
        <v>940</v>
      </c>
      <c r="H212" s="1361"/>
    </row>
    <row r="213" spans="1:8" s="1330" customFormat="1" ht="14.25" customHeight="1" thickBot="1">
      <c r="A213" s="1342" t="s">
        <v>1467</v>
      </c>
      <c r="B213" s="1336" t="s">
        <v>1199</v>
      </c>
      <c r="C213" s="1336">
        <v>4640</v>
      </c>
      <c r="D213" s="1336">
        <v>4590</v>
      </c>
      <c r="E213" s="1336">
        <v>4700</v>
      </c>
      <c r="F213" s="1354">
        <v>1030</v>
      </c>
      <c r="H213" s="1361"/>
    </row>
    <row r="214" spans="1:8" s="1330" customFormat="1" ht="14.25" customHeight="1" thickBot="1">
      <c r="A214" s="1342" t="s">
        <v>1467</v>
      </c>
      <c r="B214" s="1336" t="s">
        <v>1212</v>
      </c>
      <c r="C214" s="1336">
        <v>4540</v>
      </c>
      <c r="D214" s="1336">
        <v>4490</v>
      </c>
      <c r="E214" s="1336">
        <v>4610</v>
      </c>
      <c r="F214" s="1363"/>
      <c r="H214" s="1361"/>
    </row>
    <row r="215" spans="1:8" s="1330" customFormat="1" ht="14.25" customHeight="1" thickBot="1">
      <c r="A215" s="1342" t="s">
        <v>1467</v>
      </c>
      <c r="B215" s="1336" t="s">
        <v>1223</v>
      </c>
      <c r="C215" s="1336">
        <v>5280</v>
      </c>
      <c r="D215" s="1336">
        <v>5250</v>
      </c>
      <c r="E215" s="1336">
        <v>5520</v>
      </c>
      <c r="F215" s="1354">
        <v>1000</v>
      </c>
      <c r="H215" s="1361"/>
    </row>
    <row r="216" spans="1:8" s="1330" customFormat="1" ht="14.25" customHeight="1" thickBot="1">
      <c r="A216" s="1342" t="s">
        <v>1467</v>
      </c>
      <c r="B216" s="1336" t="s">
        <v>1234</v>
      </c>
      <c r="C216" s="1336">
        <v>5100</v>
      </c>
      <c r="D216" s="1336">
        <v>5050</v>
      </c>
      <c r="E216" s="1336">
        <v>5300</v>
      </c>
      <c r="F216" s="1354">
        <v>950</v>
      </c>
      <c r="H216" s="1361"/>
    </row>
    <row r="217" spans="1:8" s="1330" customFormat="1" ht="14.25" customHeight="1" thickBot="1">
      <c r="A217" s="1342" t="s">
        <v>1467</v>
      </c>
      <c r="B217" s="1336" t="s">
        <v>1245</v>
      </c>
      <c r="C217" s="1336">
        <v>5370</v>
      </c>
      <c r="D217" s="1336">
        <v>5320</v>
      </c>
      <c r="E217" s="1336">
        <v>5410</v>
      </c>
      <c r="F217" s="1354">
        <v>950</v>
      </c>
      <c r="H217" s="1361"/>
    </row>
    <row r="218" spans="1:8" s="1330" customFormat="1" ht="14.25" customHeight="1" thickBot="1">
      <c r="A218" s="1342" t="s">
        <v>1467</v>
      </c>
      <c r="B218" s="1336" t="s">
        <v>1256</v>
      </c>
      <c r="C218" s="1336">
        <v>5540</v>
      </c>
      <c r="D218" s="1336">
        <v>5480</v>
      </c>
      <c r="E218" s="1336">
        <v>5740</v>
      </c>
      <c r="F218" s="1354">
        <v>1020</v>
      </c>
      <c r="H218" s="1361"/>
    </row>
    <row r="219" spans="1:8" s="1330" customFormat="1" ht="14.25" customHeight="1" thickBot="1">
      <c r="A219" s="1342" t="s">
        <v>1467</v>
      </c>
      <c r="B219" s="1336" t="s">
        <v>1267</v>
      </c>
      <c r="C219" s="1336">
        <v>5140</v>
      </c>
      <c r="D219" s="1336">
        <v>5100</v>
      </c>
      <c r="E219" s="1336">
        <v>5350</v>
      </c>
      <c r="F219" s="1354">
        <v>1120</v>
      </c>
      <c r="H219" s="1361"/>
    </row>
    <row r="220" spans="1:8" s="1330" customFormat="1" ht="14.25" customHeight="1" thickBot="1">
      <c r="A220" s="1342" t="s">
        <v>1467</v>
      </c>
      <c r="B220" s="1336" t="s">
        <v>1278</v>
      </c>
      <c r="C220" s="1336">
        <v>5040</v>
      </c>
      <c r="D220" s="1336">
        <v>5000</v>
      </c>
      <c r="E220" s="1336">
        <v>5240</v>
      </c>
      <c r="F220" s="1354">
        <v>980</v>
      </c>
      <c r="H220" s="1361"/>
    </row>
    <row r="221" spans="1:8" s="1330" customFormat="1" ht="14.25" customHeight="1" thickBot="1">
      <c r="A221" s="1342" t="s">
        <v>1467</v>
      </c>
      <c r="B221" s="1336" t="s">
        <v>1288</v>
      </c>
      <c r="C221" s="1364"/>
      <c r="D221" s="1364"/>
      <c r="E221" s="1364"/>
      <c r="F221" s="1354">
        <v>1070</v>
      </c>
      <c r="H221" s="1361"/>
    </row>
    <row r="222" spans="1:8" s="1330" customFormat="1" ht="14.25" customHeight="1" thickBot="1">
      <c r="A222" s="1342" t="s">
        <v>1467</v>
      </c>
      <c r="B222" s="1336" t="s">
        <v>1298</v>
      </c>
      <c r="C222" s="1364"/>
      <c r="D222" s="1364"/>
      <c r="E222" s="1364"/>
      <c r="F222" s="1354">
        <v>870</v>
      </c>
      <c r="H222" s="1361"/>
    </row>
    <row r="223" spans="1:8" s="1330" customFormat="1" ht="14.25" customHeight="1" thickBot="1">
      <c r="A223" s="1342" t="s">
        <v>1467</v>
      </c>
      <c r="B223" s="1336" t="s">
        <v>1308</v>
      </c>
      <c r="C223" s="1364"/>
      <c r="D223" s="1364"/>
      <c r="E223" s="1364"/>
      <c r="F223" s="1354">
        <v>940</v>
      </c>
      <c r="H223" s="1361"/>
    </row>
    <row r="224" spans="1:8" s="1330" customFormat="1" ht="14.25" customHeight="1" thickBot="1">
      <c r="A224" s="1342" t="s">
        <v>1467</v>
      </c>
      <c r="B224" s="1336" t="s">
        <v>1318</v>
      </c>
      <c r="C224" s="1364"/>
      <c r="D224" s="1364"/>
      <c r="E224" s="1364"/>
      <c r="F224" s="1354">
        <v>990</v>
      </c>
      <c r="H224" s="1361"/>
    </row>
    <row r="225" spans="1:8" s="1330" customFormat="1" ht="14.25" customHeight="1" thickBot="1">
      <c r="A225" s="1342" t="s">
        <v>1467</v>
      </c>
      <c r="B225" s="1336" t="s">
        <v>1327</v>
      </c>
      <c r="C225" s="1336">
        <v>5730</v>
      </c>
      <c r="D225" s="1336">
        <v>5680</v>
      </c>
      <c r="E225" s="1336">
        <v>6020</v>
      </c>
      <c r="F225" s="1354">
        <v>1000</v>
      </c>
      <c r="H225" s="1361"/>
    </row>
    <row r="226" spans="1:8" s="1330" customFormat="1" ht="14.25" customHeight="1" thickBot="1">
      <c r="A226" s="1342" t="s">
        <v>1467</v>
      </c>
      <c r="B226" s="1336" t="s">
        <v>1336</v>
      </c>
      <c r="C226" s="1336">
        <v>4970</v>
      </c>
      <c r="D226" s="1336">
        <v>4940</v>
      </c>
      <c r="E226" s="1336">
        <v>5180</v>
      </c>
      <c r="F226" s="1354">
        <v>960</v>
      </c>
      <c r="H226" s="1361"/>
    </row>
    <row r="227" spans="1:8" s="1330" customFormat="1" ht="14.25" customHeight="1" thickBot="1">
      <c r="A227" s="1342" t="s">
        <v>1467</v>
      </c>
      <c r="B227" s="1336" t="s">
        <v>1344</v>
      </c>
      <c r="C227" s="1336">
        <v>5550</v>
      </c>
      <c r="D227" s="1336">
        <v>5500</v>
      </c>
      <c r="E227" s="1336">
        <v>5780</v>
      </c>
      <c r="F227" s="1354">
        <v>940</v>
      </c>
      <c r="H227" s="1361"/>
    </row>
    <row r="228" spans="1:8" s="1330" customFormat="1" ht="14.25" customHeight="1" thickBot="1">
      <c r="A228" s="1342" t="s">
        <v>1467</v>
      </c>
      <c r="B228" s="1336" t="s">
        <v>1351</v>
      </c>
      <c r="C228" s="1336">
        <v>5460</v>
      </c>
      <c r="D228" s="1336">
        <v>5420</v>
      </c>
      <c r="E228" s="1336">
        <v>5690</v>
      </c>
      <c r="F228" s="1354">
        <v>910</v>
      </c>
      <c r="H228" s="1361"/>
    </row>
    <row r="229" spans="1:8" s="1330" customFormat="1" ht="14.25" customHeight="1" thickBot="1">
      <c r="A229" s="1342" t="s">
        <v>1467</v>
      </c>
      <c r="B229" s="1336" t="s">
        <v>1358</v>
      </c>
      <c r="C229" s="1336">
        <v>5310</v>
      </c>
      <c r="D229" s="1336">
        <v>5270</v>
      </c>
      <c r="E229" s="1336">
        <v>5510</v>
      </c>
      <c r="F229" s="1363"/>
      <c r="H229" s="1361"/>
    </row>
    <row r="230" spans="1:8" s="1330" customFormat="1" ht="14.25" customHeight="1" thickBot="1">
      <c r="A230" s="1342" t="s">
        <v>1467</v>
      </c>
      <c r="B230" s="1336" t="s">
        <v>1365</v>
      </c>
      <c r="C230" s="1336">
        <v>4540</v>
      </c>
      <c r="D230" s="1336">
        <v>4500</v>
      </c>
      <c r="E230" s="1336">
        <v>4730</v>
      </c>
      <c r="F230" s="1363"/>
      <c r="H230" s="1361"/>
    </row>
    <row r="231" spans="1:8" s="1330" customFormat="1" ht="14.25" customHeight="1" thickBot="1">
      <c r="A231" s="1342" t="s">
        <v>1467</v>
      </c>
      <c r="B231" s="1336" t="s">
        <v>1372</v>
      </c>
      <c r="C231" s="1336">
        <v>4480</v>
      </c>
      <c r="D231" s="1336">
        <v>4410</v>
      </c>
      <c r="E231" s="1336">
        <v>4640</v>
      </c>
      <c r="F231" s="1363"/>
      <c r="H231" s="1361"/>
    </row>
    <row r="232" spans="1:8" s="1330" customFormat="1" ht="14.25" customHeight="1" thickBot="1">
      <c r="A232" s="1342" t="s">
        <v>1467</v>
      </c>
      <c r="B232" s="1336" t="s">
        <v>1379</v>
      </c>
      <c r="C232" s="1336">
        <v>5670</v>
      </c>
      <c r="D232" s="1336">
        <v>5600</v>
      </c>
      <c r="E232" s="1336">
        <v>5890</v>
      </c>
      <c r="F232" s="1354">
        <v>1150</v>
      </c>
      <c r="H232" s="1361"/>
    </row>
    <row r="233" spans="1:8" s="1330" customFormat="1" ht="14.25" customHeight="1" thickBot="1">
      <c r="A233" s="1342" t="s">
        <v>1467</v>
      </c>
      <c r="B233" s="1336" t="s">
        <v>1386</v>
      </c>
      <c r="C233" s="1336">
        <v>4590</v>
      </c>
      <c r="D233" s="1336">
        <v>4500</v>
      </c>
      <c r="E233" s="1336">
        <v>4600</v>
      </c>
      <c r="F233" s="1363"/>
      <c r="H233" s="1361"/>
    </row>
    <row r="234" spans="1:8" s="1330" customFormat="1" ht="14.25" customHeight="1" thickBot="1">
      <c r="A234" s="1342" t="s">
        <v>1467</v>
      </c>
      <c r="B234" s="1336" t="s">
        <v>2416</v>
      </c>
      <c r="C234" s="1336">
        <v>3990</v>
      </c>
      <c r="D234" s="1336">
        <v>3950</v>
      </c>
      <c r="E234" s="1336">
        <v>4180</v>
      </c>
      <c r="F234" s="1363"/>
      <c r="H234" s="1361"/>
    </row>
    <row r="235" spans="1:8" s="1330" customFormat="1" ht="14.25" customHeight="1" thickBot="1">
      <c r="A235" s="1342" t="s">
        <v>1467</v>
      </c>
      <c r="B235" s="1336" t="s">
        <v>1395</v>
      </c>
      <c r="C235" s="1336">
        <v>5590</v>
      </c>
      <c r="D235" s="1336">
        <v>5540</v>
      </c>
      <c r="E235" s="1336">
        <v>5810</v>
      </c>
      <c r="F235" s="1354">
        <v>970</v>
      </c>
      <c r="H235" s="1361"/>
    </row>
    <row r="236" spans="1:8" s="1330" customFormat="1" ht="14.25" customHeight="1" thickBot="1">
      <c r="A236" s="1342" t="s">
        <v>1467</v>
      </c>
      <c r="B236" s="1336" t="s">
        <v>1400</v>
      </c>
      <c r="C236" s="1336"/>
      <c r="D236" s="1336"/>
      <c r="E236" s="1336"/>
      <c r="F236" s="1354">
        <v>1020</v>
      </c>
      <c r="H236" s="1361"/>
    </row>
    <row r="237" spans="1:8" s="1330" customFormat="1" ht="14.25" customHeight="1" thickBot="1">
      <c r="A237" s="1342" t="s">
        <v>1467</v>
      </c>
      <c r="B237" s="1336" t="s">
        <v>1405</v>
      </c>
      <c r="C237" s="1336"/>
      <c r="D237" s="1336"/>
      <c r="E237" s="1336"/>
      <c r="F237" s="1354">
        <v>960</v>
      </c>
      <c r="H237" s="1361"/>
    </row>
    <row r="238" spans="1:8" s="1330" customFormat="1" ht="14.25" customHeight="1" thickBot="1">
      <c r="A238" s="1342" t="s">
        <v>1467</v>
      </c>
      <c r="B238" s="1336" t="s">
        <v>1410</v>
      </c>
      <c r="C238" s="1336"/>
      <c r="D238" s="1336"/>
      <c r="E238" s="1336"/>
      <c r="F238" s="1354">
        <v>960</v>
      </c>
      <c r="H238" s="1361"/>
    </row>
    <row r="239" spans="1:8" s="1330" customFormat="1" ht="14.25" customHeight="1" thickBot="1">
      <c r="A239" s="1342" t="s">
        <v>1467</v>
      </c>
      <c r="B239" s="1336" t="s">
        <v>1415</v>
      </c>
      <c r="C239" s="1336"/>
      <c r="D239" s="1336"/>
      <c r="E239" s="1336"/>
      <c r="F239" s="1354">
        <v>960</v>
      </c>
      <c r="H239" s="1361"/>
    </row>
    <row r="240" spans="1:8" s="1330" customFormat="1" ht="14.25" customHeight="1" thickBot="1">
      <c r="A240" s="1342" t="s">
        <v>1467</v>
      </c>
      <c r="B240" s="1336" t="s">
        <v>1419</v>
      </c>
      <c r="C240" s="1336"/>
      <c r="D240" s="1336"/>
      <c r="E240" s="1336"/>
      <c r="F240" s="1354">
        <v>990</v>
      </c>
      <c r="H240" s="1361"/>
    </row>
    <row r="241" spans="1:8" s="1330" customFormat="1" ht="14.25" customHeight="1" thickBot="1">
      <c r="A241" s="1342" t="s">
        <v>1467</v>
      </c>
      <c r="B241" s="1336" t="s">
        <v>1423</v>
      </c>
      <c r="C241" s="1336"/>
      <c r="D241" s="1336"/>
      <c r="E241" s="1336"/>
      <c r="F241" s="1354">
        <v>1000</v>
      </c>
      <c r="H241" s="1361"/>
    </row>
    <row r="242" spans="1:8" s="1330" customFormat="1" ht="14.25" customHeight="1" thickBot="1">
      <c r="A242" s="1342" t="s">
        <v>1467</v>
      </c>
      <c r="B242" s="1336" t="s">
        <v>1427</v>
      </c>
      <c r="C242" s="1336"/>
      <c r="D242" s="1336"/>
      <c r="E242" s="1336"/>
      <c r="F242" s="1354">
        <v>980</v>
      </c>
      <c r="H242" s="1361"/>
    </row>
    <row r="243" spans="1:8" s="1330" customFormat="1" ht="14.25" customHeight="1" thickBot="1">
      <c r="A243" s="1342" t="s">
        <v>1467</v>
      </c>
      <c r="B243" s="1336" t="s">
        <v>1431</v>
      </c>
      <c r="C243" s="1336"/>
      <c r="D243" s="1336"/>
      <c r="E243" s="1336"/>
      <c r="F243" s="1354">
        <v>970</v>
      </c>
      <c r="H243" s="1361"/>
    </row>
    <row r="244" spans="1:8" s="1330" customFormat="1" ht="14.25" customHeight="1" thickBot="1">
      <c r="A244" s="1342" t="s">
        <v>1467</v>
      </c>
      <c r="B244" s="1352" t="s">
        <v>1435</v>
      </c>
      <c r="C244" s="1352"/>
      <c r="D244" s="1352"/>
      <c r="E244" s="1352"/>
      <c r="F244" s="1362">
        <v>970</v>
      </c>
      <c r="H244" s="1361"/>
    </row>
    <row r="245" spans="1:8" s="1330" customFormat="1" ht="14.25" customHeight="1" thickBot="1">
      <c r="A245" s="1342" t="s">
        <v>1469</v>
      </c>
      <c r="B245" s="1343" t="s">
        <v>1470</v>
      </c>
      <c r="C245" s="1343">
        <v>4050</v>
      </c>
      <c r="D245" s="1343">
        <v>4020</v>
      </c>
      <c r="E245" s="1343">
        <v>4160</v>
      </c>
      <c r="F245" s="1344">
        <v>840</v>
      </c>
      <c r="H245" s="1361"/>
    </row>
    <row r="246" spans="1:8" s="1330" customFormat="1" ht="14.25" customHeight="1" thickBot="1">
      <c r="A246" s="1342" t="s">
        <v>1469</v>
      </c>
      <c r="B246" s="1336" t="s">
        <v>1126</v>
      </c>
      <c r="C246" s="1336">
        <v>4010</v>
      </c>
      <c r="D246" s="1336">
        <v>3960</v>
      </c>
      <c r="E246" s="1336">
        <v>4130</v>
      </c>
      <c r="F246" s="1354">
        <v>840</v>
      </c>
      <c r="H246" s="1361"/>
    </row>
    <row r="247" spans="1:8" s="1330" customFormat="1" ht="14.25" customHeight="1" thickBot="1">
      <c r="A247" s="1342" t="s">
        <v>1469</v>
      </c>
      <c r="B247" s="1336" t="s">
        <v>1471</v>
      </c>
      <c r="C247" s="1336">
        <v>3170</v>
      </c>
      <c r="D247" s="1336">
        <v>3140</v>
      </c>
      <c r="E247" s="1336">
        <v>3270</v>
      </c>
      <c r="F247" s="1354">
        <v>640</v>
      </c>
      <c r="H247" s="1361"/>
    </row>
    <row r="248" spans="1:8" s="1330" customFormat="1" ht="14.25" customHeight="1" thickBot="1">
      <c r="A248" s="1342" t="s">
        <v>1469</v>
      </c>
      <c r="B248" s="1336" t="s">
        <v>1472</v>
      </c>
      <c r="C248" s="1336">
        <v>3140</v>
      </c>
      <c r="D248" s="1336">
        <v>3120</v>
      </c>
      <c r="E248" s="1336">
        <v>3240</v>
      </c>
      <c r="F248" s="1354">
        <v>620</v>
      </c>
      <c r="H248" s="1361"/>
    </row>
    <row r="249" spans="1:8" s="1330" customFormat="1" ht="14.25" customHeight="1" thickBot="1">
      <c r="A249" s="1342" t="s">
        <v>1469</v>
      </c>
      <c r="B249" s="1336" t="s">
        <v>1164</v>
      </c>
      <c r="C249" s="1336">
        <v>3200</v>
      </c>
      <c r="D249" s="1336">
        <v>3100</v>
      </c>
      <c r="E249" s="1336">
        <v>3230</v>
      </c>
      <c r="F249" s="1354">
        <v>750</v>
      </c>
      <c r="H249" s="1361"/>
    </row>
    <row r="250" spans="1:8" s="1330" customFormat="1" ht="14.25" customHeight="1" thickBot="1">
      <c r="A250" s="1342" t="s">
        <v>1469</v>
      </c>
      <c r="B250" s="1336" t="s">
        <v>1176</v>
      </c>
      <c r="C250" s="1336">
        <v>4060</v>
      </c>
      <c r="D250" s="1336">
        <v>4000</v>
      </c>
      <c r="E250" s="1336">
        <v>4140</v>
      </c>
      <c r="F250" s="1354">
        <v>790</v>
      </c>
      <c r="H250" s="1361"/>
    </row>
    <row r="251" spans="1:8" s="1330" customFormat="1" ht="14.25" customHeight="1" thickBot="1">
      <c r="A251" s="1342" t="s">
        <v>1469</v>
      </c>
      <c r="B251" s="1336" t="s">
        <v>1188</v>
      </c>
      <c r="C251" s="1336">
        <v>3990</v>
      </c>
      <c r="D251" s="1336">
        <v>3970</v>
      </c>
      <c r="E251" s="1336">
        <v>4110</v>
      </c>
      <c r="F251" s="1354">
        <v>730</v>
      </c>
      <c r="H251" s="1361"/>
    </row>
    <row r="252" spans="1:8" s="1330" customFormat="1" ht="14.25" customHeight="1" thickBot="1">
      <c r="A252" s="1342" t="s">
        <v>1469</v>
      </c>
      <c r="B252" s="1336" t="s">
        <v>1200</v>
      </c>
      <c r="C252" s="1336">
        <v>3560</v>
      </c>
      <c r="D252" s="1336">
        <v>3530</v>
      </c>
      <c r="E252" s="1336">
        <v>3650</v>
      </c>
      <c r="F252" s="1354">
        <v>750</v>
      </c>
      <c r="H252" s="1361"/>
    </row>
    <row r="253" spans="1:8" s="1330" customFormat="1" ht="14.25" customHeight="1" thickBot="1">
      <c r="A253" s="1342" t="s">
        <v>1469</v>
      </c>
      <c r="B253" s="1336" t="s">
        <v>1213</v>
      </c>
      <c r="C253" s="1336">
        <v>3780</v>
      </c>
      <c r="D253" s="1336">
        <v>3750</v>
      </c>
      <c r="E253" s="1336">
        <v>3870</v>
      </c>
      <c r="F253" s="1354">
        <v>770</v>
      </c>
      <c r="H253" s="1361"/>
    </row>
    <row r="254" spans="1:8" s="1330" customFormat="1" ht="14.25" customHeight="1" thickBot="1">
      <c r="A254" s="1342" t="s">
        <v>1469</v>
      </c>
      <c r="B254" s="1336" t="s">
        <v>1224</v>
      </c>
      <c r="C254" s="1364"/>
      <c r="D254" s="1364"/>
      <c r="E254" s="1364"/>
      <c r="F254" s="1354">
        <v>740</v>
      </c>
      <c r="H254" s="1361"/>
    </row>
    <row r="255" spans="1:8" s="1330" customFormat="1" ht="14.25" customHeight="1" thickBot="1">
      <c r="A255" s="1342" t="s">
        <v>1469</v>
      </c>
      <c r="B255" s="1336" t="s">
        <v>1235</v>
      </c>
      <c r="C255" s="1364"/>
      <c r="D255" s="1364"/>
      <c r="E255" s="1364"/>
      <c r="F255" s="1354">
        <v>760</v>
      </c>
      <c r="H255" s="1361"/>
    </row>
    <row r="256" spans="1:8" s="1330" customFormat="1" ht="14.25" customHeight="1" thickBot="1">
      <c r="A256" s="1342" t="s">
        <v>1469</v>
      </c>
      <c r="B256" s="1336" t="s">
        <v>1246</v>
      </c>
      <c r="C256" s="1336">
        <v>3760</v>
      </c>
      <c r="D256" s="1336">
        <v>3730</v>
      </c>
      <c r="E256" s="1336">
        <v>3870</v>
      </c>
      <c r="F256" s="1354">
        <v>830</v>
      </c>
      <c r="H256" s="1361"/>
    </row>
    <row r="257" spans="1:8" s="1330" customFormat="1" ht="14.25" customHeight="1" thickBot="1">
      <c r="A257" s="1342" t="s">
        <v>1469</v>
      </c>
      <c r="B257" s="1336" t="s">
        <v>1257</v>
      </c>
      <c r="C257" s="1336">
        <v>3570</v>
      </c>
      <c r="D257" s="1336">
        <v>3540</v>
      </c>
      <c r="E257" s="1336">
        <v>3650</v>
      </c>
      <c r="F257" s="1354">
        <v>790</v>
      </c>
      <c r="H257" s="1361"/>
    </row>
    <row r="258" spans="1:8" s="1330" customFormat="1" ht="14.25" customHeight="1" thickBot="1">
      <c r="A258" s="1342" t="s">
        <v>1469</v>
      </c>
      <c r="B258" s="1336" t="s">
        <v>1268</v>
      </c>
      <c r="C258" s="1336">
        <v>3410</v>
      </c>
      <c r="D258" s="1336">
        <v>3380</v>
      </c>
      <c r="E258" s="1336">
        <v>3500</v>
      </c>
      <c r="F258" s="1354">
        <v>830</v>
      </c>
      <c r="H258" s="1361"/>
    </row>
    <row r="259" spans="1:8" s="1330" customFormat="1" ht="14.25" customHeight="1" thickBot="1">
      <c r="A259" s="1342" t="s">
        <v>1469</v>
      </c>
      <c r="B259" s="1336" t="s">
        <v>1279</v>
      </c>
      <c r="C259" s="1336">
        <v>3870</v>
      </c>
      <c r="D259" s="1336">
        <v>3840</v>
      </c>
      <c r="E259" s="1336">
        <v>3970</v>
      </c>
      <c r="F259" s="1354">
        <v>830</v>
      </c>
      <c r="H259" s="1361"/>
    </row>
    <row r="260" spans="1:8" s="1330" customFormat="1" ht="14.25" customHeight="1" thickBot="1">
      <c r="A260" s="1342" t="s">
        <v>1469</v>
      </c>
      <c r="B260" s="1336" t="s">
        <v>1289</v>
      </c>
      <c r="C260" s="1336">
        <v>3700</v>
      </c>
      <c r="D260" s="1336">
        <v>3660</v>
      </c>
      <c r="E260" s="1336">
        <v>3810</v>
      </c>
      <c r="F260" s="1354">
        <v>790</v>
      </c>
      <c r="H260" s="1361"/>
    </row>
    <row r="261" spans="1:8" s="1330" customFormat="1" ht="14.25" customHeight="1" thickBot="1">
      <c r="A261" s="1342" t="s">
        <v>1469</v>
      </c>
      <c r="B261" s="1336" t="s">
        <v>1299</v>
      </c>
      <c r="C261" s="1336">
        <v>3470</v>
      </c>
      <c r="D261" s="1336">
        <v>3430</v>
      </c>
      <c r="E261" s="1336">
        <v>3640</v>
      </c>
      <c r="F261" s="1354">
        <v>760</v>
      </c>
      <c r="H261" s="1361"/>
    </row>
    <row r="262" spans="1:8" s="1330" customFormat="1" ht="14.25" customHeight="1" thickBot="1">
      <c r="A262" s="1342" t="s">
        <v>1469</v>
      </c>
      <c r="B262" s="1336" t="s">
        <v>1309</v>
      </c>
      <c r="C262" s="1336">
        <v>3510</v>
      </c>
      <c r="D262" s="1336">
        <v>3470</v>
      </c>
      <c r="E262" s="1336">
        <v>3680</v>
      </c>
      <c r="F262" s="1363"/>
      <c r="H262" s="1361"/>
    </row>
    <row r="263" spans="1:8" s="1330" customFormat="1" ht="14.25" customHeight="1" thickBot="1">
      <c r="A263" s="1342" t="s">
        <v>1469</v>
      </c>
      <c r="B263" s="1336" t="s">
        <v>1319</v>
      </c>
      <c r="C263" s="1336">
        <v>3960</v>
      </c>
      <c r="D263" s="1336">
        <v>3930</v>
      </c>
      <c r="E263" s="1336">
        <v>4070</v>
      </c>
      <c r="F263" s="1354">
        <v>830</v>
      </c>
      <c r="H263" s="1361"/>
    </row>
    <row r="264" spans="1:8" s="1330" customFormat="1" ht="14.25" customHeight="1" thickBot="1">
      <c r="A264" s="1342" t="s">
        <v>1469</v>
      </c>
      <c r="B264" s="1336" t="s">
        <v>1328</v>
      </c>
      <c r="C264" s="1336">
        <v>4010</v>
      </c>
      <c r="D264" s="1336">
        <v>3980</v>
      </c>
      <c r="E264" s="1336">
        <v>4150</v>
      </c>
      <c r="F264" s="1354">
        <v>760</v>
      </c>
      <c r="H264" s="1361"/>
    </row>
    <row r="265" spans="1:8" s="1330" customFormat="1" ht="14.25" customHeight="1" thickBot="1">
      <c r="A265" s="1342" t="s">
        <v>1469</v>
      </c>
      <c r="B265" s="1336" t="s">
        <v>1337</v>
      </c>
      <c r="C265" s="1336">
        <v>3910</v>
      </c>
      <c r="D265" s="1336">
        <v>3890</v>
      </c>
      <c r="E265" s="1336">
        <v>4040</v>
      </c>
      <c r="F265" s="1354">
        <v>780</v>
      </c>
      <c r="H265" s="1361"/>
    </row>
    <row r="266" spans="1:8" s="1330" customFormat="1" ht="14.25" customHeight="1" thickBot="1">
      <c r="A266" s="1342" t="s">
        <v>1469</v>
      </c>
      <c r="B266" s="1336" t="s">
        <v>1345</v>
      </c>
      <c r="C266" s="1336">
        <v>3930</v>
      </c>
      <c r="D266" s="1336">
        <v>3900</v>
      </c>
      <c r="E266" s="1336">
        <v>4080</v>
      </c>
      <c r="F266" s="1354">
        <v>770</v>
      </c>
      <c r="H266" s="1361"/>
    </row>
    <row r="267" spans="1:8" s="1330" customFormat="1" ht="14.25" customHeight="1" thickBot="1">
      <c r="A267" s="1342" t="s">
        <v>1469</v>
      </c>
      <c r="B267" s="1336" t="s">
        <v>1352</v>
      </c>
      <c r="C267" s="1336">
        <v>3800</v>
      </c>
      <c r="D267" s="1336">
        <v>3780</v>
      </c>
      <c r="E267" s="1336">
        <v>3930</v>
      </c>
      <c r="F267" s="1363"/>
      <c r="H267" s="1361"/>
    </row>
    <row r="268" spans="1:8" s="1330" customFormat="1" ht="14.25" customHeight="1" thickBot="1">
      <c r="A268" s="1342" t="s">
        <v>1469</v>
      </c>
      <c r="B268" s="1336" t="s">
        <v>1359</v>
      </c>
      <c r="C268" s="1336">
        <v>3460</v>
      </c>
      <c r="D268" s="1336">
        <v>3430</v>
      </c>
      <c r="E268" s="1336">
        <v>3560</v>
      </c>
      <c r="F268" s="1354">
        <v>840</v>
      </c>
      <c r="H268" s="1361"/>
    </row>
    <row r="269" spans="1:8" s="1330" customFormat="1" ht="14.25" customHeight="1" thickBot="1">
      <c r="A269" s="1342" t="s">
        <v>1469</v>
      </c>
      <c r="B269" s="1336" t="s">
        <v>1366</v>
      </c>
      <c r="C269" s="1336">
        <v>3210</v>
      </c>
      <c r="D269" s="1336">
        <v>3190</v>
      </c>
      <c r="E269" s="1336">
        <v>3310</v>
      </c>
      <c r="F269" s="1354">
        <v>730</v>
      </c>
      <c r="H269" s="1361"/>
    </row>
    <row r="270" spans="1:8" s="1330" customFormat="1" ht="14.25" customHeight="1" thickBot="1">
      <c r="A270" s="1342" t="s">
        <v>1469</v>
      </c>
      <c r="B270" s="1336" t="s">
        <v>1373</v>
      </c>
      <c r="C270" s="1336">
        <v>3240</v>
      </c>
      <c r="D270" s="1336">
        <v>3210</v>
      </c>
      <c r="E270" s="1336">
        <v>3390</v>
      </c>
      <c r="F270" s="1354">
        <v>820</v>
      </c>
      <c r="H270" s="1361"/>
    </row>
    <row r="271" spans="1:8" s="1330" customFormat="1" ht="14.25" customHeight="1" thickBot="1">
      <c r="A271" s="1342" t="s">
        <v>1469</v>
      </c>
      <c r="B271" s="1336" t="s">
        <v>1380</v>
      </c>
      <c r="C271" s="1336">
        <v>3300</v>
      </c>
      <c r="D271" s="1336">
        <v>3270</v>
      </c>
      <c r="E271" s="1336">
        <v>3380</v>
      </c>
      <c r="F271" s="1354">
        <v>750</v>
      </c>
      <c r="H271" s="1361"/>
    </row>
    <row r="272" spans="1:8" s="1330" customFormat="1" ht="14.25" customHeight="1" thickBot="1">
      <c r="A272" s="1342" t="s">
        <v>1469</v>
      </c>
      <c r="B272" s="1336" t="s">
        <v>1387</v>
      </c>
      <c r="C272" s="1364"/>
      <c r="D272" s="1364"/>
      <c r="E272" s="1364"/>
      <c r="F272" s="1354">
        <v>740</v>
      </c>
      <c r="H272" s="1361"/>
    </row>
    <row r="273" spans="1:8" s="1330" customFormat="1" ht="14.25" customHeight="1" thickBot="1">
      <c r="A273" s="1342" t="s">
        <v>1469</v>
      </c>
      <c r="B273" s="1336" t="s">
        <v>1391</v>
      </c>
      <c r="C273" s="1336">
        <v>3130</v>
      </c>
      <c r="D273" s="1336">
        <v>3100</v>
      </c>
      <c r="E273" s="1336">
        <v>3230</v>
      </c>
      <c r="F273" s="1354">
        <v>700</v>
      </c>
      <c r="H273" s="1361"/>
    </row>
    <row r="274" spans="1:8" s="1330" customFormat="1" ht="14.25" customHeight="1" thickBot="1">
      <c r="A274" s="1342" t="s">
        <v>1469</v>
      </c>
      <c r="B274" s="1336" t="s">
        <v>1396</v>
      </c>
      <c r="C274" s="1336">
        <v>3460</v>
      </c>
      <c r="D274" s="1336">
        <v>3430</v>
      </c>
      <c r="E274" s="1336">
        <v>3560</v>
      </c>
      <c r="F274" s="1354">
        <v>690</v>
      </c>
      <c r="H274" s="1361"/>
    </row>
    <row r="275" spans="1:8" s="1330" customFormat="1" ht="14.25" customHeight="1" thickBot="1">
      <c r="A275" s="1342" t="s">
        <v>1469</v>
      </c>
      <c r="B275" s="1336" t="s">
        <v>1401</v>
      </c>
      <c r="C275" s="1336">
        <v>4040</v>
      </c>
      <c r="D275" s="1336">
        <v>4020</v>
      </c>
      <c r="E275" s="1336">
        <v>4160</v>
      </c>
      <c r="F275" s="1354">
        <v>820</v>
      </c>
      <c r="H275" s="1361"/>
    </row>
    <row r="276" spans="1:8" s="1330" customFormat="1" ht="14.25" customHeight="1" thickBot="1">
      <c r="A276" s="1342" t="s">
        <v>1469</v>
      </c>
      <c r="B276" s="1336" t="s">
        <v>1406</v>
      </c>
      <c r="C276" s="1336">
        <v>3270</v>
      </c>
      <c r="D276" s="1336">
        <v>3240</v>
      </c>
      <c r="E276" s="1336">
        <v>3350</v>
      </c>
      <c r="F276" s="1354">
        <v>680</v>
      </c>
      <c r="H276" s="1361"/>
    </row>
    <row r="277" spans="1:8" s="1330" customFormat="1" ht="14.25" customHeight="1" thickBot="1">
      <c r="A277" s="1342" t="s">
        <v>1469</v>
      </c>
      <c r="B277" s="1336" t="s">
        <v>1411</v>
      </c>
      <c r="C277" s="1336">
        <v>2930</v>
      </c>
      <c r="D277" s="1336">
        <v>2900</v>
      </c>
      <c r="E277" s="1336">
        <v>3000</v>
      </c>
      <c r="F277" s="1354">
        <v>640</v>
      </c>
      <c r="H277" s="1361"/>
    </row>
    <row r="278" spans="1:8" s="1330" customFormat="1" ht="14.25" customHeight="1" thickBot="1">
      <c r="A278" s="1342" t="s">
        <v>1469</v>
      </c>
      <c r="B278" s="1336" t="s">
        <v>1416</v>
      </c>
      <c r="C278" s="1336">
        <v>4080</v>
      </c>
      <c r="D278" s="1336">
        <v>4030</v>
      </c>
      <c r="E278" s="1336">
        <v>4140</v>
      </c>
      <c r="F278" s="1354">
        <v>850</v>
      </c>
      <c r="H278" s="1361"/>
    </row>
    <row r="279" spans="1:8" s="1330" customFormat="1" ht="14.25" customHeight="1" thickBot="1">
      <c r="A279" s="1342" t="s">
        <v>1469</v>
      </c>
      <c r="B279" s="1336" t="s">
        <v>1420</v>
      </c>
      <c r="C279" s="1336"/>
      <c r="D279" s="1336"/>
      <c r="E279" s="1336"/>
      <c r="F279" s="1354">
        <v>760</v>
      </c>
      <c r="H279" s="1361"/>
    </row>
    <row r="280" spans="1:8" s="1330" customFormat="1" ht="14.25" customHeight="1" thickBot="1">
      <c r="A280" s="1342" t="s">
        <v>1469</v>
      </c>
      <c r="B280" s="1336" t="s">
        <v>1424</v>
      </c>
      <c r="C280" s="1336"/>
      <c r="D280" s="1336"/>
      <c r="E280" s="1336"/>
      <c r="F280" s="1354">
        <v>760</v>
      </c>
      <c r="H280" s="1361"/>
    </row>
    <row r="281" spans="1:8" s="1330" customFormat="1" ht="14.25" customHeight="1" thickBot="1">
      <c r="A281" s="1342" t="s">
        <v>1469</v>
      </c>
      <c r="B281" s="1336" t="s">
        <v>1428</v>
      </c>
      <c r="C281" s="1336"/>
      <c r="D281" s="1336"/>
      <c r="E281" s="1336"/>
      <c r="F281" s="1354">
        <v>780</v>
      </c>
      <c r="H281" s="1361"/>
    </row>
    <row r="282" spans="1:8" s="1330" customFormat="1" ht="14.25" customHeight="1" thickBot="1">
      <c r="A282" s="1342" t="s">
        <v>1469</v>
      </c>
      <c r="B282" s="1336" t="s">
        <v>1432</v>
      </c>
      <c r="C282" s="1336"/>
      <c r="D282" s="1336"/>
      <c r="E282" s="1336"/>
      <c r="F282" s="1354">
        <v>730</v>
      </c>
      <c r="H282" s="1361"/>
    </row>
    <row r="283" spans="1:8" s="1330" customFormat="1" ht="14.25" customHeight="1" thickBot="1">
      <c r="A283" s="1342" t="s">
        <v>1469</v>
      </c>
      <c r="B283" s="1336" t="s">
        <v>1436</v>
      </c>
      <c r="C283" s="1336"/>
      <c r="D283" s="1336"/>
      <c r="E283" s="1336"/>
      <c r="F283" s="1354">
        <v>770</v>
      </c>
      <c r="H283" s="1361"/>
    </row>
    <row r="284" spans="1:8" s="1330" customFormat="1" ht="14.25" customHeight="1" thickBot="1">
      <c r="A284" s="1342" t="s">
        <v>1469</v>
      </c>
      <c r="B284" s="1336" t="s">
        <v>1439</v>
      </c>
      <c r="C284" s="1336"/>
      <c r="D284" s="1336"/>
      <c r="E284" s="1336"/>
      <c r="F284" s="1354">
        <v>640</v>
      </c>
      <c r="H284" s="1361"/>
    </row>
    <row r="285" spans="1:8" s="1330" customFormat="1" ht="14.25" customHeight="1" thickBot="1">
      <c r="A285" s="1342" t="s">
        <v>1469</v>
      </c>
      <c r="B285" s="1336" t="s">
        <v>1442</v>
      </c>
      <c r="C285" s="1336"/>
      <c r="D285" s="1336"/>
      <c r="E285" s="1336"/>
      <c r="F285" s="1354">
        <v>640</v>
      </c>
      <c r="H285" s="1361"/>
    </row>
    <row r="286" spans="1:8" s="1330" customFormat="1" ht="14.25" customHeight="1" thickBot="1">
      <c r="A286" s="1342" t="s">
        <v>1469</v>
      </c>
      <c r="B286" s="1336" t="s">
        <v>1445</v>
      </c>
      <c r="C286" s="1336"/>
      <c r="D286" s="1336"/>
      <c r="E286" s="1336"/>
      <c r="F286" s="1354">
        <v>850</v>
      </c>
      <c r="H286" s="1361"/>
    </row>
    <row r="287" spans="1:8" s="1330" customFormat="1" ht="14.25" customHeight="1" thickBot="1">
      <c r="A287" s="1342" t="s">
        <v>1469</v>
      </c>
      <c r="B287" s="1336" t="s">
        <v>1448</v>
      </c>
      <c r="C287" s="1336"/>
      <c r="D287" s="1336"/>
      <c r="E287" s="1336"/>
      <c r="F287" s="1354">
        <v>760</v>
      </c>
      <c r="H287" s="1361"/>
    </row>
    <row r="288" spans="1:8" s="1330" customFormat="1" ht="14.25" customHeight="1" thickBot="1">
      <c r="A288" s="1342" t="s">
        <v>1469</v>
      </c>
      <c r="B288" s="1336" t="s">
        <v>1451</v>
      </c>
      <c r="C288" s="1336"/>
      <c r="D288" s="1336"/>
      <c r="E288" s="1336"/>
      <c r="F288" s="1354">
        <v>830</v>
      </c>
      <c r="H288" s="1361"/>
    </row>
    <row r="289" spans="1:8" s="1330" customFormat="1" ht="14.25" customHeight="1" thickBot="1">
      <c r="A289" s="1342" t="s">
        <v>1469</v>
      </c>
      <c r="B289" s="1352" t="s">
        <v>1454</v>
      </c>
      <c r="C289" s="1352"/>
      <c r="D289" s="1352"/>
      <c r="E289" s="1352"/>
      <c r="F289" s="1362">
        <v>680</v>
      </c>
      <c r="H289" s="1361"/>
    </row>
    <row r="290" spans="1:8" s="1330" customFormat="1" ht="14.25" customHeight="1" thickBot="1">
      <c r="A290" s="1342" t="s">
        <v>1473</v>
      </c>
      <c r="B290" s="1343" t="s">
        <v>1474</v>
      </c>
      <c r="C290" s="1343">
        <v>2770</v>
      </c>
      <c r="D290" s="1343">
        <v>2740</v>
      </c>
      <c r="E290" s="1343">
        <v>2720</v>
      </c>
      <c r="F290" s="1365"/>
      <c r="H290" s="1361"/>
    </row>
    <row r="291" spans="1:8" s="1330" customFormat="1" ht="14.25" customHeight="1" thickBot="1">
      <c r="A291" s="1342" t="s">
        <v>1473</v>
      </c>
      <c r="B291" s="1336" t="s">
        <v>1127</v>
      </c>
      <c r="C291" s="1336">
        <v>2670</v>
      </c>
      <c r="D291" s="1336">
        <v>2640</v>
      </c>
      <c r="E291" s="1336">
        <v>2620</v>
      </c>
      <c r="F291" s="1363"/>
      <c r="H291" s="1361"/>
    </row>
    <row r="292" spans="1:8" s="1330" customFormat="1" ht="14.25" customHeight="1" thickBot="1">
      <c r="A292" s="1342" t="s">
        <v>1473</v>
      </c>
      <c r="B292" s="1336" t="s">
        <v>1475</v>
      </c>
      <c r="C292" s="1336">
        <v>2180</v>
      </c>
      <c r="D292" s="1336">
        <v>2140</v>
      </c>
      <c r="E292" s="1336">
        <v>2120</v>
      </c>
      <c r="F292" s="1354">
        <v>490</v>
      </c>
      <c r="H292" s="1361"/>
    </row>
    <row r="293" spans="1:8" s="1330" customFormat="1" ht="14.25" customHeight="1" thickBot="1">
      <c r="A293" s="1342" t="s">
        <v>1473</v>
      </c>
      <c r="B293" s="1336" t="s">
        <v>1476</v>
      </c>
      <c r="C293" s="1336"/>
      <c r="D293" s="1336"/>
      <c r="E293" s="1336"/>
      <c r="F293" s="1354">
        <v>470</v>
      </c>
      <c r="H293" s="1361"/>
    </row>
    <row r="294" spans="1:8" s="1330" customFormat="1" ht="14.25" customHeight="1" thickBot="1">
      <c r="A294" s="1342" t="s">
        <v>1473</v>
      </c>
      <c r="B294" s="1336" t="s">
        <v>1477</v>
      </c>
      <c r="C294" s="1336">
        <v>2730</v>
      </c>
      <c r="D294" s="1336">
        <v>2700</v>
      </c>
      <c r="E294" s="1336">
        <v>2680</v>
      </c>
      <c r="F294" s="1354">
        <v>490</v>
      </c>
      <c r="H294" s="1361"/>
    </row>
    <row r="295" spans="1:8" s="1330" customFormat="1" ht="14.25" customHeight="1" thickBot="1">
      <c r="A295" s="1342" t="s">
        <v>1473</v>
      </c>
      <c r="B295" s="1336" t="s">
        <v>1165</v>
      </c>
      <c r="C295" s="1336">
        <v>2380</v>
      </c>
      <c r="D295" s="1336">
        <v>2350</v>
      </c>
      <c r="E295" s="1336">
        <v>2330</v>
      </c>
      <c r="F295" s="1354">
        <v>530</v>
      </c>
      <c r="H295" s="1361"/>
    </row>
    <row r="296" spans="1:8" s="1330" customFormat="1" ht="14.25" customHeight="1" thickBot="1">
      <c r="A296" s="1342" t="s">
        <v>1473</v>
      </c>
      <c r="B296" s="1336" t="s">
        <v>1177</v>
      </c>
      <c r="C296" s="1336">
        <v>2650</v>
      </c>
      <c r="D296" s="1336">
        <v>2620</v>
      </c>
      <c r="E296" s="1336">
        <v>2590</v>
      </c>
      <c r="F296" s="1354">
        <v>590</v>
      </c>
      <c r="H296" s="1361"/>
    </row>
    <row r="297" spans="1:8" s="1330" customFormat="1" ht="14.25" customHeight="1" thickBot="1">
      <c r="A297" s="1342" t="s">
        <v>1473</v>
      </c>
      <c r="B297" s="1336" t="s">
        <v>1189</v>
      </c>
      <c r="C297" s="1336">
        <v>2700</v>
      </c>
      <c r="D297" s="1336">
        <v>2670</v>
      </c>
      <c r="E297" s="1336">
        <v>2650</v>
      </c>
      <c r="F297" s="1354">
        <v>630</v>
      </c>
      <c r="H297" s="1361"/>
    </row>
    <row r="298" spans="1:8" s="1330" customFormat="1" ht="14.25" customHeight="1" thickBot="1">
      <c r="A298" s="1342" t="s">
        <v>1473</v>
      </c>
      <c r="B298" s="1336" t="s">
        <v>1201</v>
      </c>
      <c r="C298" s="1336">
        <v>2650</v>
      </c>
      <c r="D298" s="1336">
        <v>2620</v>
      </c>
      <c r="E298" s="1336">
        <v>2590</v>
      </c>
      <c r="F298" s="1354">
        <v>640</v>
      </c>
      <c r="H298" s="1361"/>
    </row>
    <row r="299" spans="1:8" s="1330" customFormat="1" ht="14.25" customHeight="1" thickBot="1">
      <c r="A299" s="1342" t="s">
        <v>1473</v>
      </c>
      <c r="B299" s="1336" t="s">
        <v>1214</v>
      </c>
      <c r="C299" s="1336">
        <v>2500</v>
      </c>
      <c r="D299" s="1336">
        <v>2480</v>
      </c>
      <c r="E299" s="1336">
        <v>2460</v>
      </c>
      <c r="F299" s="1363"/>
      <c r="H299" s="1361"/>
    </row>
    <row r="300" spans="1:8" s="1330" customFormat="1" ht="14.25" customHeight="1" thickBot="1">
      <c r="A300" s="1342" t="s">
        <v>1473</v>
      </c>
      <c r="B300" s="1336" t="s">
        <v>1225</v>
      </c>
      <c r="C300" s="1336">
        <v>2760</v>
      </c>
      <c r="D300" s="1336">
        <v>2730</v>
      </c>
      <c r="E300" s="1336">
        <v>2700</v>
      </c>
      <c r="F300" s="1354">
        <v>630</v>
      </c>
      <c r="H300" s="1361"/>
    </row>
    <row r="301" spans="1:8" s="1330" customFormat="1" ht="14.25" customHeight="1" thickBot="1">
      <c r="A301" s="1342" t="s">
        <v>1473</v>
      </c>
      <c r="B301" s="1336" t="s">
        <v>1236</v>
      </c>
      <c r="C301" s="1336">
        <v>2510</v>
      </c>
      <c r="D301" s="1336">
        <v>2480</v>
      </c>
      <c r="E301" s="1336">
        <v>2460</v>
      </c>
      <c r="F301" s="1363"/>
      <c r="H301" s="1361"/>
    </row>
    <row r="302" spans="1:8" s="1330" customFormat="1" ht="14.25" customHeight="1" thickBot="1">
      <c r="A302" s="1342" t="s">
        <v>1473</v>
      </c>
      <c r="B302" s="1336" t="s">
        <v>1247</v>
      </c>
      <c r="C302" s="1336">
        <v>2480</v>
      </c>
      <c r="D302" s="1336">
        <v>2450</v>
      </c>
      <c r="E302" s="1336">
        <v>2420</v>
      </c>
      <c r="F302" s="1354">
        <v>600</v>
      </c>
      <c r="H302" s="1361"/>
    </row>
    <row r="303" spans="1:8" s="1330" customFormat="1" ht="14.25" customHeight="1" thickBot="1">
      <c r="A303" s="1342" t="s">
        <v>1473</v>
      </c>
      <c r="B303" s="1336" t="s">
        <v>1258</v>
      </c>
      <c r="C303" s="1336">
        <v>2270</v>
      </c>
      <c r="D303" s="1336">
        <v>2240</v>
      </c>
      <c r="E303" s="1336">
        <v>2210</v>
      </c>
      <c r="F303" s="1354">
        <v>540</v>
      </c>
      <c r="H303" s="1361"/>
    </row>
    <row r="304" spans="1:8" s="1330" customFormat="1" ht="14.25" customHeight="1" thickBot="1">
      <c r="A304" s="1342" t="s">
        <v>1473</v>
      </c>
      <c r="B304" s="1336" t="s">
        <v>1269</v>
      </c>
      <c r="C304" s="1336">
        <v>2310</v>
      </c>
      <c r="D304" s="1336">
        <v>2290</v>
      </c>
      <c r="E304" s="1336">
        <v>2270</v>
      </c>
      <c r="F304" s="1363"/>
      <c r="H304" s="1361"/>
    </row>
    <row r="305" spans="1:8" s="1330" customFormat="1" ht="14.25" customHeight="1" thickBot="1">
      <c r="A305" s="1342" t="s">
        <v>1473</v>
      </c>
      <c r="B305" s="1336" t="s">
        <v>1280</v>
      </c>
      <c r="C305" s="1336">
        <v>2490</v>
      </c>
      <c r="D305" s="1336">
        <v>2470</v>
      </c>
      <c r="E305" s="1336">
        <v>2440</v>
      </c>
      <c r="F305" s="1354">
        <v>560</v>
      </c>
      <c r="H305" s="1361"/>
    </row>
    <row r="306" spans="1:8" s="1330" customFormat="1" ht="14.25" customHeight="1" thickBot="1">
      <c r="A306" s="1342" t="s">
        <v>1473</v>
      </c>
      <c r="B306" s="1336" t="s">
        <v>1290</v>
      </c>
      <c r="C306" s="1336">
        <v>2420</v>
      </c>
      <c r="D306" s="1336">
        <v>2400</v>
      </c>
      <c r="E306" s="1336">
        <v>2380</v>
      </c>
      <c r="F306" s="1363"/>
      <c r="H306" s="1361"/>
    </row>
    <row r="307" spans="1:8" s="1330" customFormat="1" ht="14.25" customHeight="1" thickBot="1">
      <c r="A307" s="1342" t="s">
        <v>1473</v>
      </c>
      <c r="B307" s="1336" t="s">
        <v>1300</v>
      </c>
      <c r="C307" s="1336">
        <v>2770</v>
      </c>
      <c r="D307" s="1336">
        <v>2740</v>
      </c>
      <c r="E307" s="1336">
        <v>2710</v>
      </c>
      <c r="F307" s="1354">
        <v>650</v>
      </c>
      <c r="H307" s="1361"/>
    </row>
    <row r="308" spans="1:8" s="1330" customFormat="1" ht="14.25" customHeight="1" thickBot="1">
      <c r="A308" s="1342" t="s">
        <v>1473</v>
      </c>
      <c r="B308" s="1336" t="s">
        <v>1310</v>
      </c>
      <c r="C308" s="1336">
        <v>2610</v>
      </c>
      <c r="D308" s="1336">
        <v>2580</v>
      </c>
      <c r="E308" s="1336">
        <v>2550</v>
      </c>
      <c r="F308" s="1354">
        <v>580</v>
      </c>
      <c r="H308" s="1361"/>
    </row>
    <row r="309" spans="1:8" s="1330" customFormat="1" ht="14.25" customHeight="1" thickBot="1">
      <c r="A309" s="1342" t="s">
        <v>1473</v>
      </c>
      <c r="B309" s="1336" t="s">
        <v>1320</v>
      </c>
      <c r="C309" s="1336">
        <v>2690</v>
      </c>
      <c r="D309" s="1336">
        <v>2670</v>
      </c>
      <c r="E309" s="1336">
        <v>2650</v>
      </c>
      <c r="F309" s="1363"/>
      <c r="H309" s="1361"/>
    </row>
    <row r="310" spans="1:8" s="1330" customFormat="1" ht="14.25" customHeight="1" thickBot="1">
      <c r="A310" s="1342" t="s">
        <v>1473</v>
      </c>
      <c r="B310" s="1336" t="s">
        <v>1329</v>
      </c>
      <c r="C310" s="1336">
        <v>2360</v>
      </c>
      <c r="D310" s="1336">
        <v>2330</v>
      </c>
      <c r="E310" s="1336">
        <v>2310</v>
      </c>
      <c r="F310" s="1354">
        <v>560</v>
      </c>
      <c r="H310" s="1361"/>
    </row>
    <row r="311" spans="1:8" s="1330" customFormat="1" ht="14.25" customHeight="1" thickBot="1">
      <c r="A311" s="1342" t="s">
        <v>1473</v>
      </c>
      <c r="B311" s="1336" t="s">
        <v>1338</v>
      </c>
      <c r="C311" s="1336">
        <v>1970</v>
      </c>
      <c r="D311" s="1336">
        <v>1950</v>
      </c>
      <c r="E311" s="1336">
        <v>1920</v>
      </c>
      <c r="F311" s="1354">
        <v>470</v>
      </c>
      <c r="H311" s="1361"/>
    </row>
    <row r="312" spans="1:8" s="1330" customFormat="1" ht="14.25" customHeight="1" thickBot="1">
      <c r="A312" s="1342" t="s">
        <v>1473</v>
      </c>
      <c r="B312" s="1336" t="s">
        <v>1346</v>
      </c>
      <c r="C312" s="1336">
        <v>2230</v>
      </c>
      <c r="D312" s="1336">
        <v>2200</v>
      </c>
      <c r="E312" s="1336">
        <v>2170</v>
      </c>
      <c r="F312" s="1354">
        <v>460</v>
      </c>
      <c r="H312" s="1361"/>
    </row>
    <row r="313" spans="1:8" s="1330" customFormat="1" ht="14.25" customHeight="1" thickBot="1">
      <c r="A313" s="1342" t="s">
        <v>1473</v>
      </c>
      <c r="B313" s="1336" t="s">
        <v>1353</v>
      </c>
      <c r="C313" s="1336">
        <v>2770</v>
      </c>
      <c r="D313" s="1336">
        <v>2740</v>
      </c>
      <c r="E313" s="1336">
        <v>2710</v>
      </c>
      <c r="F313" s="1354">
        <v>610</v>
      </c>
      <c r="H313" s="1361"/>
    </row>
    <row r="314" spans="1:8" s="1330" customFormat="1" ht="14.25" customHeight="1" thickBot="1">
      <c r="A314" s="1342" t="s">
        <v>1473</v>
      </c>
      <c r="B314" s="1336" t="s">
        <v>1360</v>
      </c>
      <c r="C314" s="1336"/>
      <c r="D314" s="1336"/>
      <c r="E314" s="1336"/>
      <c r="F314" s="1354">
        <v>490</v>
      </c>
      <c r="H314" s="1361"/>
    </row>
    <row r="315" spans="1:8" s="1330" customFormat="1" ht="14.25" customHeight="1" thickBot="1">
      <c r="A315" s="1342" t="s">
        <v>1473</v>
      </c>
      <c r="B315" s="1336" t="s">
        <v>1367</v>
      </c>
      <c r="C315" s="1336"/>
      <c r="D315" s="1336"/>
      <c r="E315" s="1336"/>
      <c r="F315" s="1354">
        <v>520</v>
      </c>
      <c r="H315" s="1361"/>
    </row>
    <row r="316" spans="1:8" s="1330" customFormat="1" ht="14.25" customHeight="1" thickBot="1">
      <c r="A316" s="1342" t="s">
        <v>1473</v>
      </c>
      <c r="B316" s="1352" t="s">
        <v>1374</v>
      </c>
      <c r="C316" s="1352"/>
      <c r="D316" s="1352"/>
      <c r="E316" s="1352"/>
      <c r="F316" s="1362">
        <v>460</v>
      </c>
      <c r="H316" s="1361"/>
    </row>
    <row r="317" spans="1:8" s="1330" customFormat="1" ht="14.25" customHeight="1" thickBot="1">
      <c r="A317" s="1342" t="s">
        <v>1260</v>
      </c>
      <c r="B317" s="1343" t="s">
        <v>1478</v>
      </c>
      <c r="C317" s="1343">
        <v>1200</v>
      </c>
      <c r="D317" s="1343">
        <v>1180</v>
      </c>
      <c r="E317" s="1343">
        <v>1160</v>
      </c>
      <c r="F317" s="1344">
        <v>370</v>
      </c>
      <c r="H317" s="1299"/>
    </row>
    <row r="318" spans="1:8" s="1330" customFormat="1" ht="14.25" customHeight="1" thickBot="1">
      <c r="A318" s="1342" t="s">
        <v>1260</v>
      </c>
      <c r="B318" s="1336" t="s">
        <v>1479</v>
      </c>
      <c r="C318" s="1336">
        <v>1090</v>
      </c>
      <c r="D318" s="1336">
        <v>1060</v>
      </c>
      <c r="E318" s="1336">
        <v>1040</v>
      </c>
      <c r="F318" s="1363"/>
      <c r="H318" s="1299"/>
    </row>
    <row r="319" spans="1:8" s="1330" customFormat="1" ht="14.25" customHeight="1" thickBot="1">
      <c r="A319" s="1342" t="s">
        <v>1260</v>
      </c>
      <c r="B319" s="1336" t="s">
        <v>1480</v>
      </c>
      <c r="C319" s="1336">
        <v>1520</v>
      </c>
      <c r="D319" s="1336">
        <v>1470</v>
      </c>
      <c r="E319" s="1336">
        <v>1440</v>
      </c>
      <c r="F319" s="1354">
        <v>370</v>
      </c>
      <c r="H319" s="1299"/>
    </row>
    <row r="320" spans="1:8" s="1330" customFormat="1" ht="14.25" customHeight="1" thickBot="1">
      <c r="A320" s="1342" t="s">
        <v>1260</v>
      </c>
      <c r="B320" s="1336" t="s">
        <v>1154</v>
      </c>
      <c r="C320" s="1336">
        <v>1360</v>
      </c>
      <c r="D320" s="1336">
        <v>1300</v>
      </c>
      <c r="E320" s="1336">
        <v>1270</v>
      </c>
      <c r="F320" s="1363"/>
      <c r="H320" s="1299"/>
    </row>
    <row r="321" spans="1:8" s="1330" customFormat="1" ht="14.25" customHeight="1" thickBot="1">
      <c r="A321" s="1342" t="s">
        <v>1260</v>
      </c>
      <c r="B321" s="1336" t="s">
        <v>1166</v>
      </c>
      <c r="C321" s="1336">
        <v>1750</v>
      </c>
      <c r="D321" s="1336">
        <v>1690</v>
      </c>
      <c r="E321" s="1336">
        <v>1660</v>
      </c>
      <c r="F321" s="1363"/>
      <c r="H321" s="1299"/>
    </row>
    <row r="322" spans="1:8" s="1330" customFormat="1" ht="14.25" customHeight="1" thickBot="1">
      <c r="A322" s="1342" t="s">
        <v>1260</v>
      </c>
      <c r="B322" s="1336" t="s">
        <v>1178</v>
      </c>
      <c r="C322" s="1336">
        <v>1650</v>
      </c>
      <c r="D322" s="1336">
        <v>1610</v>
      </c>
      <c r="E322" s="1336">
        <v>1580</v>
      </c>
      <c r="F322" s="1354">
        <v>500</v>
      </c>
      <c r="H322" s="1299"/>
    </row>
    <row r="323" spans="1:8" s="1330" customFormat="1" ht="14.25" customHeight="1" thickBot="1">
      <c r="A323" s="1342" t="s">
        <v>1260</v>
      </c>
      <c r="B323" s="1336" t="s">
        <v>1190</v>
      </c>
      <c r="C323" s="1336">
        <v>1780</v>
      </c>
      <c r="D323" s="1336">
        <v>1740</v>
      </c>
      <c r="E323" s="1336">
        <v>1720</v>
      </c>
      <c r="F323" s="1363"/>
      <c r="H323" s="1299"/>
    </row>
    <row r="324" spans="1:8" s="1330" customFormat="1" ht="14.25" customHeight="1" thickBot="1">
      <c r="A324" s="1342" t="s">
        <v>1260</v>
      </c>
      <c r="B324" s="1336" t="s">
        <v>1202</v>
      </c>
      <c r="C324" s="1336">
        <v>1650</v>
      </c>
      <c r="D324" s="1336">
        <v>1610</v>
      </c>
      <c r="E324" s="1336">
        <v>1580</v>
      </c>
      <c r="F324" s="1363"/>
      <c r="H324" s="1299"/>
    </row>
    <row r="325" spans="1:8" s="1330" customFormat="1" ht="14.25" customHeight="1" thickBot="1">
      <c r="A325" s="1342" t="s">
        <v>1260</v>
      </c>
      <c r="B325" s="1336" t="s">
        <v>1215</v>
      </c>
      <c r="C325" s="1336">
        <v>1330</v>
      </c>
      <c r="D325" s="1336">
        <v>1270</v>
      </c>
      <c r="E325" s="1336">
        <v>1240</v>
      </c>
      <c r="F325" s="1354">
        <v>430</v>
      </c>
      <c r="H325" s="1299"/>
    </row>
    <row r="326" spans="1:8" s="1330" customFormat="1" ht="14.25" customHeight="1" thickBot="1">
      <c r="A326" s="1342" t="s">
        <v>1260</v>
      </c>
      <c r="B326" s="1336" t="s">
        <v>1226</v>
      </c>
      <c r="C326" s="1336">
        <v>1470</v>
      </c>
      <c r="D326" s="1336">
        <v>1430</v>
      </c>
      <c r="E326" s="1336">
        <v>1400</v>
      </c>
      <c r="F326" s="1363"/>
      <c r="H326" s="1299"/>
    </row>
    <row r="327" spans="1:8" s="1330" customFormat="1" ht="14.25" customHeight="1" thickBot="1">
      <c r="A327" s="1342" t="s">
        <v>1260</v>
      </c>
      <c r="B327" s="1336" t="s">
        <v>1237</v>
      </c>
      <c r="C327" s="1336">
        <v>1420</v>
      </c>
      <c r="D327" s="1336">
        <v>1380</v>
      </c>
      <c r="E327" s="1336">
        <v>1360</v>
      </c>
      <c r="F327" s="1354">
        <v>420</v>
      </c>
      <c r="H327" s="1299"/>
    </row>
    <row r="328" spans="1:8" s="1330" customFormat="1" ht="14.25" customHeight="1" thickBot="1">
      <c r="A328" s="1342" t="s">
        <v>1260</v>
      </c>
      <c r="B328" s="1336" t="s">
        <v>1248</v>
      </c>
      <c r="C328" s="1336">
        <v>1400</v>
      </c>
      <c r="D328" s="1336">
        <v>1360</v>
      </c>
      <c r="E328" s="1336">
        <v>1330</v>
      </c>
      <c r="F328" s="1354">
        <v>460</v>
      </c>
      <c r="H328" s="1299"/>
    </row>
    <row r="329" spans="1:8" s="1330" customFormat="1" ht="14.25" customHeight="1" thickBot="1">
      <c r="A329" s="1342" t="s">
        <v>1260</v>
      </c>
      <c r="B329" s="1336" t="s">
        <v>1259</v>
      </c>
      <c r="C329" s="1336">
        <v>1640</v>
      </c>
      <c r="D329" s="1336">
        <v>1610</v>
      </c>
      <c r="E329" s="1336">
        <v>1580</v>
      </c>
      <c r="F329" s="1354">
        <v>410</v>
      </c>
      <c r="H329" s="1299"/>
    </row>
    <row r="330" spans="1:8" s="1330" customFormat="1" ht="14.25" customHeight="1" thickBot="1">
      <c r="A330" s="1342" t="s">
        <v>1260</v>
      </c>
      <c r="B330" s="1336" t="s">
        <v>1270</v>
      </c>
      <c r="C330" s="1336">
        <v>1260</v>
      </c>
      <c r="D330" s="1336">
        <v>1220</v>
      </c>
      <c r="E330" s="1336">
        <v>1200</v>
      </c>
      <c r="F330" s="1363"/>
      <c r="H330" s="1299"/>
    </row>
    <row r="331" spans="1:8" s="1330" customFormat="1" ht="14.25" customHeight="1" thickBot="1">
      <c r="A331" s="1342" t="s">
        <v>1260</v>
      </c>
      <c r="B331" s="1336" t="s">
        <v>1281</v>
      </c>
      <c r="C331" s="1336">
        <v>1620</v>
      </c>
      <c r="D331" s="1336">
        <v>1560</v>
      </c>
      <c r="E331" s="1336">
        <v>1530</v>
      </c>
      <c r="F331" s="1354">
        <v>490</v>
      </c>
      <c r="H331" s="1299"/>
    </row>
    <row r="332" spans="1:8" s="1330" customFormat="1" ht="14.25" customHeight="1" thickBot="1">
      <c r="A332" s="1342" t="s">
        <v>1260</v>
      </c>
      <c r="B332" s="1336" t="s">
        <v>1291</v>
      </c>
      <c r="C332" s="1336">
        <v>1520</v>
      </c>
      <c r="D332" s="1336">
        <v>1470</v>
      </c>
      <c r="E332" s="1336">
        <v>1440</v>
      </c>
      <c r="F332" s="1354">
        <v>440</v>
      </c>
      <c r="H332" s="1299"/>
    </row>
    <row r="333" spans="1:8" s="1330" customFormat="1" ht="14.25" customHeight="1" thickBot="1">
      <c r="A333" s="1342" t="s">
        <v>1260</v>
      </c>
      <c r="B333" s="1336" t="s">
        <v>1301</v>
      </c>
      <c r="C333" s="1336">
        <v>1370</v>
      </c>
      <c r="D333" s="1336">
        <v>1320</v>
      </c>
      <c r="E333" s="1336">
        <v>1300</v>
      </c>
      <c r="F333" s="1354">
        <v>460</v>
      </c>
      <c r="H333" s="1299"/>
    </row>
    <row r="334" spans="1:8" s="1330" customFormat="1" ht="14.25" customHeight="1" thickBot="1">
      <c r="A334" s="1342" t="s">
        <v>1260</v>
      </c>
      <c r="B334" s="1336" t="s">
        <v>1311</v>
      </c>
      <c r="C334" s="1336">
        <v>1410</v>
      </c>
      <c r="D334" s="1336">
        <v>1340</v>
      </c>
      <c r="E334" s="1336">
        <v>1310</v>
      </c>
      <c r="F334" s="1354">
        <v>410</v>
      </c>
      <c r="H334" s="1299"/>
    </row>
    <row r="335" spans="1:8" s="1330" customFormat="1" ht="14.25" customHeight="1" thickBot="1">
      <c r="A335" s="1342" t="s">
        <v>1260</v>
      </c>
      <c r="B335" s="1336" t="s">
        <v>1321</v>
      </c>
      <c r="C335" s="1336">
        <v>1260</v>
      </c>
      <c r="D335" s="1336">
        <v>1220</v>
      </c>
      <c r="E335" s="1336">
        <v>1200</v>
      </c>
      <c r="F335" s="1363"/>
      <c r="H335" s="1299"/>
    </row>
    <row r="336" spans="1:8" s="1330" customFormat="1" ht="14.25" customHeight="1" thickBot="1">
      <c r="A336" s="1342" t="s">
        <v>1260</v>
      </c>
      <c r="B336" s="1336" t="s">
        <v>1330</v>
      </c>
      <c r="C336" s="1336">
        <v>1160</v>
      </c>
      <c r="D336" s="1336">
        <v>1140</v>
      </c>
      <c r="E336" s="1336">
        <v>1120</v>
      </c>
      <c r="F336" s="1354">
        <v>430</v>
      </c>
      <c r="H336" s="1299"/>
    </row>
    <row r="337" spans="1:8" s="1330" customFormat="1" ht="14.25" customHeight="1" thickBot="1">
      <c r="A337" s="1342" t="s">
        <v>1260</v>
      </c>
      <c r="B337" s="1352" t="s">
        <v>1339</v>
      </c>
      <c r="C337" s="1352"/>
      <c r="D337" s="1352"/>
      <c r="E337" s="1352"/>
      <c r="F337" s="1362">
        <v>380</v>
      </c>
      <c r="H337" s="1299"/>
    </row>
    <row r="338" spans="1:8" s="1330" customFormat="1" ht="14.25" customHeight="1" thickBot="1">
      <c r="A338" s="1342" t="s">
        <v>1271</v>
      </c>
      <c r="B338" s="1343" t="s">
        <v>1481</v>
      </c>
      <c r="C338" s="1343">
        <v>880</v>
      </c>
      <c r="D338" s="1343">
        <v>850</v>
      </c>
      <c r="E338" s="1343">
        <v>830</v>
      </c>
      <c r="F338" s="1365"/>
      <c r="H338" s="1299"/>
    </row>
    <row r="339" spans="1:8" s="1330" customFormat="1" ht="14.25" customHeight="1" thickBot="1">
      <c r="A339" s="1342" t="s">
        <v>1271</v>
      </c>
      <c r="B339" s="1336" t="s">
        <v>1482</v>
      </c>
      <c r="C339" s="1336">
        <v>830</v>
      </c>
      <c r="D339" s="1336">
        <v>800</v>
      </c>
      <c r="E339" s="1336">
        <v>780</v>
      </c>
      <c r="F339" s="1363"/>
      <c r="H339" s="1299"/>
    </row>
    <row r="340" spans="1:8" s="1330" customFormat="1" ht="14.25" customHeight="1" thickBot="1">
      <c r="A340" s="1342" t="s">
        <v>1271</v>
      </c>
      <c r="B340" s="1336" t="s">
        <v>1483</v>
      </c>
      <c r="C340" s="1336">
        <v>980</v>
      </c>
      <c r="D340" s="1336">
        <v>950</v>
      </c>
      <c r="E340" s="1336">
        <v>920</v>
      </c>
      <c r="F340" s="1363"/>
      <c r="H340" s="1299"/>
    </row>
    <row r="341" spans="1:8" s="1330" customFormat="1" ht="14.25" customHeight="1" thickBot="1">
      <c r="A341" s="1342" t="s">
        <v>1271</v>
      </c>
      <c r="B341" s="1336" t="s">
        <v>1484</v>
      </c>
      <c r="C341" s="1336">
        <v>760</v>
      </c>
      <c r="D341" s="1336">
        <v>720</v>
      </c>
      <c r="E341" s="1336">
        <v>690</v>
      </c>
      <c r="F341" s="1354">
        <v>350</v>
      </c>
      <c r="H341" s="1299"/>
    </row>
    <row r="342" spans="1:8" s="1330" customFormat="1" ht="14.25" customHeight="1" thickBot="1">
      <c r="A342" s="1342" t="s">
        <v>1271</v>
      </c>
      <c r="B342" s="1336" t="s">
        <v>1167</v>
      </c>
      <c r="C342" s="1336">
        <v>910</v>
      </c>
      <c r="D342" s="1336">
        <v>870</v>
      </c>
      <c r="E342" s="1336">
        <v>850</v>
      </c>
      <c r="F342" s="1354">
        <v>370</v>
      </c>
      <c r="H342" s="1299"/>
    </row>
    <row r="343" spans="1:8" s="1330" customFormat="1" ht="14.25" customHeight="1" thickBot="1">
      <c r="A343" s="1342" t="s">
        <v>1271</v>
      </c>
      <c r="B343" s="1336" t="s">
        <v>1179</v>
      </c>
      <c r="C343" s="1336">
        <v>800</v>
      </c>
      <c r="D343" s="1336">
        <v>760</v>
      </c>
      <c r="E343" s="1336">
        <v>730</v>
      </c>
      <c r="F343" s="1354">
        <v>340</v>
      </c>
      <c r="H343" s="1299"/>
    </row>
    <row r="344" spans="1:8" s="1330" customFormat="1" ht="14.25" customHeight="1" thickBot="1">
      <c r="A344" s="1342" t="s">
        <v>1271</v>
      </c>
      <c r="B344" s="1352" t="s">
        <v>1191</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1485</v>
      </c>
      <c r="B1" s="1333" t="s">
        <v>1088</v>
      </c>
      <c r="C1" s="1333" t="s">
        <v>1089</v>
      </c>
      <c r="D1" s="1333" t="s">
        <v>1090</v>
      </c>
      <c r="E1" s="1333" t="s">
        <v>1091</v>
      </c>
      <c r="F1" s="1333" t="s">
        <v>1092</v>
      </c>
      <c r="G1" s="1333" t="s">
        <v>1093</v>
      </c>
      <c r="H1" s="1333" t="s">
        <v>1094</v>
      </c>
      <c r="I1" s="1333" t="s">
        <v>1095</v>
      </c>
      <c r="J1" s="1333" t="s">
        <v>1096</v>
      </c>
      <c r="K1" s="1333" t="s">
        <v>1097</v>
      </c>
      <c r="L1" s="1333" t="s">
        <v>1098</v>
      </c>
      <c r="M1" s="1334" t="s">
        <v>1099</v>
      </c>
    </row>
    <row r="2" spans="1:13" ht="19.5" customHeight="1">
      <c r="A2" s="1368" t="s">
        <v>1114</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1115</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1768</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1117</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1486</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1487</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1488</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1489</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1490</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1491</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1492</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1493</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1494</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1495</v>
      </c>
      <c r="B16" s="1387"/>
      <c r="C16" s="1388"/>
      <c r="D16" s="1388"/>
      <c r="E16" s="1387"/>
      <c r="F16" s="1388"/>
      <c r="G16" s="1388"/>
    </row>
    <row r="17" spans="1:9" ht="19.5" customHeight="1">
      <c r="A17" s="1307" t="s">
        <v>1496</v>
      </c>
      <c r="B17" s="1390" t="s">
        <v>1497</v>
      </c>
      <c r="C17" s="1575" t="s">
        <v>1796</v>
      </c>
      <c r="D17" s="1391"/>
      <c r="E17" s="1307" t="s">
        <v>1498</v>
      </c>
      <c r="F17" s="1392"/>
      <c r="G17" s="1392"/>
    </row>
    <row r="18" spans="1:9" s="1398" customFormat="1" ht="19.5" customHeight="1">
      <c r="A18" s="3509" t="s">
        <v>1114</v>
      </c>
      <c r="B18" s="1393" t="s">
        <v>1499</v>
      </c>
      <c r="C18" s="1394" t="s">
        <v>1500</v>
      </c>
      <c r="D18" s="1395"/>
      <c r="E18" s="1393">
        <v>1</v>
      </c>
      <c r="F18" s="1396" t="s">
        <v>1501</v>
      </c>
      <c r="G18" s="1397"/>
      <c r="H18" s="1389"/>
      <c r="I18" s="1389"/>
    </row>
    <row r="19" spans="1:9" s="1398" customFormat="1" ht="19.5" customHeight="1">
      <c r="A19" s="3509"/>
      <c r="B19" s="3509" t="s">
        <v>1502</v>
      </c>
      <c r="C19" s="1394" t="s">
        <v>1503</v>
      </c>
      <c r="D19" s="1395"/>
      <c r="E19" s="1393">
        <v>0.9</v>
      </c>
      <c r="F19" s="1396" t="s">
        <v>1504</v>
      </c>
      <c r="G19" s="1397"/>
      <c r="H19" s="1389"/>
      <c r="I19" s="1389"/>
    </row>
    <row r="20" spans="1:9" s="1398" customFormat="1" ht="19.5" customHeight="1">
      <c r="A20" s="3509"/>
      <c r="B20" s="3509"/>
      <c r="C20" s="1394" t="s">
        <v>1505</v>
      </c>
      <c r="D20" s="1395"/>
      <c r="E20" s="1393">
        <v>1.1000000000000001</v>
      </c>
      <c r="F20" s="1396" t="s">
        <v>1506</v>
      </c>
      <c r="G20" s="1397"/>
      <c r="H20" s="1389"/>
      <c r="I20" s="1389"/>
    </row>
    <row r="21" spans="1:9" s="1398" customFormat="1" ht="19.5" customHeight="1">
      <c r="A21" s="3509"/>
      <c r="B21" s="3509"/>
      <c r="C21" s="1394" t="s">
        <v>1507</v>
      </c>
      <c r="D21" s="1395"/>
      <c r="E21" s="1393">
        <v>0.8</v>
      </c>
      <c r="F21" s="1396" t="s">
        <v>1508</v>
      </c>
      <c r="G21" s="1397"/>
      <c r="H21" s="1389"/>
      <c r="I21" s="1389"/>
    </row>
    <row r="22" spans="1:9" s="1398" customFormat="1" ht="19.5" customHeight="1">
      <c r="A22" s="3509"/>
      <c r="B22" s="3509"/>
      <c r="C22" s="1394" t="s">
        <v>1509</v>
      </c>
      <c r="D22" s="1395"/>
      <c r="E22" s="1393">
        <v>0.5</v>
      </c>
      <c r="F22" s="1396"/>
      <c r="G22" s="1397"/>
      <c r="H22" s="1389"/>
      <c r="I22" s="1389"/>
    </row>
    <row r="23" spans="1:9" s="1398" customFormat="1" ht="19.5" customHeight="1">
      <c r="A23" s="3509" t="s">
        <v>1115</v>
      </c>
      <c r="B23" s="1393" t="s">
        <v>1499</v>
      </c>
      <c r="C23" s="1394" t="s">
        <v>1510</v>
      </c>
      <c r="D23" s="1395"/>
      <c r="E23" s="1393">
        <v>1</v>
      </c>
      <c r="F23" s="1396" t="s">
        <v>1511</v>
      </c>
      <c r="G23" s="1397"/>
      <c r="H23" s="1389"/>
      <c r="I23" s="1389"/>
    </row>
    <row r="24" spans="1:9" s="1398" customFormat="1" ht="19.5" customHeight="1">
      <c r="A24" s="3509"/>
      <c r="B24" s="3509" t="s">
        <v>1502</v>
      </c>
      <c r="C24" s="1394" t="s">
        <v>1512</v>
      </c>
      <c r="D24" s="1395"/>
      <c r="E24" s="1393">
        <v>0.5</v>
      </c>
      <c r="F24" s="1396"/>
      <c r="G24" s="1397"/>
      <c r="H24" s="1389"/>
      <c r="I24" s="1389"/>
    </row>
    <row r="25" spans="1:9" s="1398" customFormat="1" ht="19.5" customHeight="1">
      <c r="A25" s="3509"/>
      <c r="B25" s="3509"/>
      <c r="C25" s="1394" t="s">
        <v>1513</v>
      </c>
      <c r="D25" s="1395"/>
      <c r="E25" s="1393">
        <v>1.1000000000000001</v>
      </c>
      <c r="F25" s="1396"/>
      <c r="G25" s="1397"/>
      <c r="H25" s="1389"/>
      <c r="I25" s="1389"/>
    </row>
    <row r="26" spans="1:9" s="1398" customFormat="1" ht="19.5" customHeight="1">
      <c r="A26" s="3509"/>
      <c r="B26" s="3509"/>
      <c r="C26" s="1394" t="s">
        <v>1514</v>
      </c>
      <c r="D26" s="1395"/>
      <c r="E26" s="1393">
        <v>1.1000000000000001</v>
      </c>
      <c r="F26" s="1396"/>
      <c r="G26" s="1397"/>
      <c r="H26" s="1389"/>
      <c r="I26" s="1389"/>
    </row>
    <row r="27" spans="1:9" s="1398" customFormat="1" ht="19.5" customHeight="1">
      <c r="A27" s="3509"/>
      <c r="B27" s="3509"/>
      <c r="C27" s="1394" t="s">
        <v>1515</v>
      </c>
      <c r="D27" s="1395"/>
      <c r="E27" s="1393">
        <v>0.9</v>
      </c>
      <c r="F27" s="1396" t="s">
        <v>1516</v>
      </c>
      <c r="G27" s="1397"/>
      <c r="H27" s="1389"/>
      <c r="I27" s="1389"/>
    </row>
    <row r="28" spans="1:9" s="1398" customFormat="1" ht="19.5" customHeight="1">
      <c r="A28" s="3509"/>
      <c r="B28" s="3509"/>
      <c r="C28" s="1394" t="s">
        <v>1517</v>
      </c>
      <c r="D28" s="1395"/>
      <c r="E28" s="1393">
        <v>0.9</v>
      </c>
      <c r="F28" s="1396" t="s">
        <v>1518</v>
      </c>
      <c r="G28" s="1397"/>
      <c r="H28" s="1389"/>
      <c r="I28" s="1389"/>
    </row>
    <row r="29" spans="1:9" s="1398" customFormat="1" ht="19.5" customHeight="1">
      <c r="A29" s="3509"/>
      <c r="B29" s="3509"/>
      <c r="C29" s="1394" t="s">
        <v>1519</v>
      </c>
      <c r="D29" s="1395"/>
      <c r="E29" s="1393">
        <v>0.9</v>
      </c>
      <c r="F29" s="1396" t="s">
        <v>1520</v>
      </c>
      <c r="G29" s="1397"/>
      <c r="H29" s="1389"/>
      <c r="I29" s="1389"/>
    </row>
    <row r="30" spans="1:9" s="1398" customFormat="1" ht="19.5" customHeight="1">
      <c r="A30" s="3509"/>
      <c r="B30" s="3509"/>
      <c r="C30" s="1394" t="s">
        <v>1521</v>
      </c>
      <c r="D30" s="1395"/>
      <c r="E30" s="1393">
        <v>0.9</v>
      </c>
      <c r="F30" s="1396" t="s">
        <v>1522</v>
      </c>
      <c r="G30" s="1397"/>
      <c r="H30" s="1389"/>
      <c r="I30" s="1389"/>
    </row>
    <row r="31" spans="1:9" s="1398" customFormat="1" ht="19.5" customHeight="1">
      <c r="A31" s="3509"/>
      <c r="B31" s="3509"/>
      <c r="C31" s="1394" t="s">
        <v>1523</v>
      </c>
      <c r="D31" s="1395"/>
      <c r="E31" s="1393">
        <v>0.8</v>
      </c>
      <c r="F31" s="1396" t="s">
        <v>1524</v>
      </c>
      <c r="G31" s="1397"/>
      <c r="H31" s="1389"/>
      <c r="I31" s="1389"/>
    </row>
    <row r="32" spans="1:9" s="1398" customFormat="1" ht="19.5" customHeight="1">
      <c r="A32" s="3509"/>
      <c r="B32" s="3509"/>
      <c r="C32" s="1394" t="s">
        <v>1525</v>
      </c>
      <c r="D32" s="1395"/>
      <c r="E32" s="1393">
        <v>0.8</v>
      </c>
      <c r="F32" s="1396" t="s">
        <v>1526</v>
      </c>
      <c r="G32" s="1397"/>
      <c r="H32" s="1389"/>
      <c r="I32" s="1389"/>
    </row>
    <row r="33" spans="1:9" s="1398" customFormat="1" ht="19.5" customHeight="1">
      <c r="A33" s="3509" t="s">
        <v>1116</v>
      </c>
      <c r="B33" s="1393" t="s">
        <v>1499</v>
      </c>
      <c r="C33" s="1394" t="s">
        <v>1527</v>
      </c>
      <c r="D33" s="1395"/>
      <c r="E33" s="1393">
        <v>1</v>
      </c>
      <c r="F33" s="1396" t="s">
        <v>1528</v>
      </c>
      <c r="G33" s="1397"/>
      <c r="H33" s="1389"/>
      <c r="I33" s="1389"/>
    </row>
    <row r="34" spans="1:9" s="1398" customFormat="1" ht="19.5" customHeight="1">
      <c r="A34" s="3509"/>
      <c r="B34" s="1393" t="s">
        <v>1502</v>
      </c>
      <c r="C34" s="1394" t="s">
        <v>1529</v>
      </c>
      <c r="D34" s="1395"/>
      <c r="E34" s="1393">
        <v>1.5</v>
      </c>
      <c r="F34" s="1396" t="s">
        <v>1530</v>
      </c>
      <c r="G34" s="1397"/>
      <c r="H34" s="1389"/>
      <c r="I34" s="1389"/>
    </row>
    <row r="35" spans="1:9" s="1398" customFormat="1" ht="19.5" customHeight="1">
      <c r="A35" s="3509" t="s">
        <v>1117</v>
      </c>
      <c r="B35" s="1393" t="s">
        <v>1499</v>
      </c>
      <c r="C35" s="1394" t="s">
        <v>1531</v>
      </c>
      <c r="D35" s="1395"/>
      <c r="E35" s="1393">
        <v>1</v>
      </c>
      <c r="F35" s="1396" t="s">
        <v>1532</v>
      </c>
      <c r="G35" s="1397"/>
      <c r="H35" s="1389"/>
      <c r="I35" s="1389"/>
    </row>
    <row r="36" spans="1:9" s="1398" customFormat="1" ht="19.5" customHeight="1">
      <c r="A36" s="3509"/>
      <c r="B36" s="3509" t="s">
        <v>1502</v>
      </c>
      <c r="C36" s="1394" t="s">
        <v>1533</v>
      </c>
      <c r="D36" s="1395"/>
      <c r="E36" s="1393">
        <v>1</v>
      </c>
      <c r="F36" s="1396" t="s">
        <v>1534</v>
      </c>
      <c r="G36" s="1397"/>
      <c r="H36" s="1389"/>
      <c r="I36" s="1389"/>
    </row>
    <row r="37" spans="1:9" s="1398" customFormat="1" ht="19.5" customHeight="1">
      <c r="A37" s="3509"/>
      <c r="B37" s="3509"/>
      <c r="C37" s="1394" t="s">
        <v>1535</v>
      </c>
      <c r="D37" s="1395"/>
      <c r="E37" s="1393">
        <v>1.5</v>
      </c>
      <c r="F37" s="1396" t="s">
        <v>1536</v>
      </c>
      <c r="G37" s="1397"/>
      <c r="H37" s="1389"/>
      <c r="I37" s="1389"/>
    </row>
    <row r="38" spans="1:9" s="1398" customFormat="1" ht="19.5" customHeight="1">
      <c r="A38" s="3509"/>
      <c r="B38" s="3509"/>
      <c r="C38" s="1394" t="s">
        <v>1537</v>
      </c>
      <c r="D38" s="1395"/>
      <c r="E38" s="1393">
        <v>1</v>
      </c>
      <c r="F38" s="1396" t="s">
        <v>1538</v>
      </c>
      <c r="G38" s="1397"/>
      <c r="H38" s="1389"/>
      <c r="I38" s="1389"/>
    </row>
    <row r="39" spans="1:9" s="1398" customFormat="1" ht="19.5" customHeight="1">
      <c r="A39" s="3509"/>
      <c r="B39" s="3509"/>
      <c r="C39" s="1394" t="s">
        <v>1539</v>
      </c>
      <c r="D39" s="1395"/>
      <c r="E39" s="1393">
        <v>1</v>
      </c>
      <c r="F39" s="1396" t="s">
        <v>1540</v>
      </c>
      <c r="G39" s="1397"/>
      <c r="H39" s="1389"/>
      <c r="I39" s="1389"/>
    </row>
    <row r="40" spans="1:9" s="1398" customFormat="1" ht="19.5" customHeight="1">
      <c r="A40" s="1399" t="s">
        <v>1541</v>
      </c>
      <c r="B40" s="1399"/>
      <c r="C40" s="1399"/>
      <c r="D40" s="1399"/>
      <c r="E40" s="1399"/>
      <c r="F40" s="1400"/>
      <c r="G40" s="1400"/>
      <c r="H40" s="1389"/>
      <c r="I40" s="1389"/>
    </row>
    <row r="42" spans="1:9" ht="19.5" customHeight="1">
      <c r="A42" s="1401"/>
      <c r="B42" s="1307" t="s">
        <v>1542</v>
      </c>
      <c r="C42" s="1307" t="s">
        <v>1542</v>
      </c>
      <c r="D42" s="1307" t="s">
        <v>1542</v>
      </c>
      <c r="E42" s="1320" t="s">
        <v>1542</v>
      </c>
      <c r="F42" s="1320" t="s">
        <v>1542</v>
      </c>
      <c r="G42" s="1320" t="s">
        <v>1543</v>
      </c>
      <c r="H42" s="1320" t="s">
        <v>1542</v>
      </c>
    </row>
    <row r="43" spans="1:9" ht="19.5" customHeight="1">
      <c r="A43" s="1402"/>
      <c r="B43" s="1320" t="s">
        <v>1114</v>
      </c>
      <c r="C43" s="1320" t="s">
        <v>1114</v>
      </c>
      <c r="D43" s="1320" t="s">
        <v>1114</v>
      </c>
      <c r="E43" s="1320" t="s">
        <v>1114</v>
      </c>
      <c r="F43" s="1307" t="s">
        <v>1115</v>
      </c>
      <c r="G43" s="1307" t="s">
        <v>1117</v>
      </c>
      <c r="H43" s="1307" t="s">
        <v>1544</v>
      </c>
    </row>
    <row r="44" spans="1:9" ht="19.5" customHeight="1">
      <c r="A44" s="1403"/>
      <c r="B44" s="1307">
        <v>1</v>
      </c>
      <c r="C44" s="1307">
        <v>2</v>
      </c>
      <c r="D44" s="1307">
        <v>3</v>
      </c>
      <c r="E44" s="1320">
        <v>4</v>
      </c>
      <c r="F44" s="1391" t="s">
        <v>1545</v>
      </c>
      <c r="G44" s="1391" t="s">
        <v>1545</v>
      </c>
      <c r="H44" s="1391" t="s">
        <v>1545</v>
      </c>
    </row>
    <row r="45" spans="1:9" ht="19.5" customHeight="1">
      <c r="A45" s="1404" t="s">
        <v>1088</v>
      </c>
      <c r="B45" s="1307">
        <v>0.8</v>
      </c>
      <c r="C45" s="1307">
        <v>0.5</v>
      </c>
      <c r="D45" s="1307">
        <v>0.36</v>
      </c>
      <c r="E45" s="1307">
        <v>0.3</v>
      </c>
      <c r="F45" s="1391">
        <v>0.3</v>
      </c>
      <c r="G45" s="1307">
        <v>0.3</v>
      </c>
      <c r="H45" s="1307">
        <v>0.25</v>
      </c>
    </row>
    <row r="46" spans="1:9" ht="19.5" customHeight="1">
      <c r="A46" s="1404" t="s">
        <v>1089</v>
      </c>
      <c r="B46" s="1307">
        <v>0.8</v>
      </c>
      <c r="C46" s="1307">
        <v>0.5</v>
      </c>
      <c r="D46" s="1307">
        <v>0.36</v>
      </c>
      <c r="E46" s="1307">
        <v>0.3</v>
      </c>
      <c r="F46" s="1307">
        <v>0.3</v>
      </c>
      <c r="G46" s="1307">
        <v>0.3</v>
      </c>
      <c r="H46" s="1307">
        <v>0.25</v>
      </c>
    </row>
    <row r="47" spans="1:9" ht="19.5" customHeight="1">
      <c r="A47" s="1404" t="s">
        <v>1090</v>
      </c>
      <c r="B47" s="1307">
        <v>0.7</v>
      </c>
      <c r="C47" s="1307">
        <v>0.4</v>
      </c>
      <c r="D47" s="1307">
        <v>0.28000000000000003</v>
      </c>
      <c r="E47" s="1307">
        <v>0.25</v>
      </c>
      <c r="F47" s="1307">
        <v>0.25</v>
      </c>
      <c r="G47" s="1307">
        <v>0.25</v>
      </c>
      <c r="H47" s="1307">
        <v>0.2</v>
      </c>
    </row>
    <row r="48" spans="1:9" ht="19.5" customHeight="1">
      <c r="A48" s="1404" t="s">
        <v>1091</v>
      </c>
      <c r="B48" s="1307">
        <v>0.7</v>
      </c>
      <c r="C48" s="1307">
        <v>0.4</v>
      </c>
      <c r="D48" s="1307">
        <v>0.28000000000000003</v>
      </c>
      <c r="E48" s="1307">
        <v>0.25</v>
      </c>
      <c r="F48" s="1307">
        <v>0.25</v>
      </c>
      <c r="G48" s="1307">
        <v>0.25</v>
      </c>
      <c r="H48" s="1307">
        <v>0.2</v>
      </c>
    </row>
    <row r="49" spans="1:8" s="1389" customFormat="1" ht="19.5" customHeight="1">
      <c r="A49" s="1404" t="s">
        <v>1092</v>
      </c>
      <c r="B49" s="1307">
        <v>0.7</v>
      </c>
      <c r="C49" s="1307">
        <v>0.4</v>
      </c>
      <c r="D49" s="1307">
        <v>0.28000000000000003</v>
      </c>
      <c r="E49" s="1307">
        <v>0.25</v>
      </c>
      <c r="F49" s="1307">
        <v>0.25</v>
      </c>
      <c r="G49" s="1307">
        <v>0.25</v>
      </c>
      <c r="H49" s="1307">
        <v>0.2</v>
      </c>
    </row>
    <row r="50" spans="1:8" s="1389" customFormat="1" ht="19.5" customHeight="1">
      <c r="A50" s="1404" t="s">
        <v>1093</v>
      </c>
      <c r="B50" s="1307">
        <v>0.7</v>
      </c>
      <c r="C50" s="1307">
        <v>0.4</v>
      </c>
      <c r="D50" s="1307">
        <v>0.28000000000000003</v>
      </c>
      <c r="E50" s="1307">
        <v>0.25</v>
      </c>
      <c r="F50" s="1307">
        <v>0.25</v>
      </c>
      <c r="G50" s="1307">
        <v>0.25</v>
      </c>
      <c r="H50" s="1307">
        <v>0.2</v>
      </c>
    </row>
    <row r="51" spans="1:8" s="1389" customFormat="1" ht="19.5" customHeight="1">
      <c r="A51" s="1404" t="s">
        <v>1094</v>
      </c>
      <c r="B51" s="1307">
        <v>0.7</v>
      </c>
      <c r="C51" s="1307">
        <v>0.4</v>
      </c>
      <c r="D51" s="1307">
        <v>0.28000000000000003</v>
      </c>
      <c r="E51" s="1307">
        <v>0.25</v>
      </c>
      <c r="F51" s="1307">
        <v>0.25</v>
      </c>
      <c r="G51" s="1307">
        <v>0.25</v>
      </c>
      <c r="H51" s="1307">
        <v>0.2</v>
      </c>
    </row>
    <row r="52" spans="1:8" s="1389" customFormat="1" ht="19.5" customHeight="1">
      <c r="A52" s="1404" t="s">
        <v>1095</v>
      </c>
      <c r="B52" s="1307">
        <v>0.6</v>
      </c>
      <c r="C52" s="1307">
        <v>0.3</v>
      </c>
      <c r="D52" s="1307">
        <v>0.2</v>
      </c>
      <c r="E52" s="1307">
        <v>0.2</v>
      </c>
      <c r="F52" s="1307">
        <v>0.2</v>
      </c>
      <c r="G52" s="1307">
        <v>0.2</v>
      </c>
      <c r="H52" s="1307">
        <v>0.15</v>
      </c>
    </row>
    <row r="53" spans="1:8" s="1389" customFormat="1" ht="19.5" customHeight="1">
      <c r="A53" s="1404" t="s">
        <v>1096</v>
      </c>
      <c r="B53" s="1307">
        <v>0.6</v>
      </c>
      <c r="C53" s="1307">
        <v>0.3</v>
      </c>
      <c r="D53" s="1307">
        <v>0.2</v>
      </c>
      <c r="E53" s="1307">
        <v>0.2</v>
      </c>
      <c r="F53" s="1307">
        <v>0.2</v>
      </c>
      <c r="G53" s="1307">
        <v>0.2</v>
      </c>
      <c r="H53" s="1307">
        <v>0.15</v>
      </c>
    </row>
    <row r="54" spans="1:8" s="1389" customFormat="1" ht="19.5" customHeight="1">
      <c r="A54" s="1404" t="s">
        <v>1097</v>
      </c>
      <c r="B54" s="1307">
        <v>0.6</v>
      </c>
      <c r="C54" s="1307">
        <v>0.3</v>
      </c>
      <c r="D54" s="1307">
        <v>0.2</v>
      </c>
      <c r="E54" s="1307">
        <v>0.2</v>
      </c>
      <c r="F54" s="1307">
        <v>0.2</v>
      </c>
      <c r="G54" s="1307">
        <v>0.2</v>
      </c>
      <c r="H54" s="1307">
        <v>0.15</v>
      </c>
    </row>
    <row r="55" spans="1:8" s="1389" customFormat="1" ht="19.5" customHeight="1">
      <c r="A55" s="1404" t="s">
        <v>1098</v>
      </c>
      <c r="B55" s="1307">
        <v>0.6</v>
      </c>
      <c r="C55" s="1307">
        <v>0.3</v>
      </c>
      <c r="D55" s="1307">
        <v>0.2</v>
      </c>
      <c r="E55" s="1307">
        <v>0.2</v>
      </c>
      <c r="F55" s="1307">
        <v>0.2</v>
      </c>
      <c r="G55" s="1307">
        <v>0.2</v>
      </c>
      <c r="H55" s="1307">
        <v>0.15</v>
      </c>
    </row>
    <row r="56" spans="1:8" s="1389" customFormat="1" ht="19.5" customHeight="1">
      <c r="A56" s="1404" t="s">
        <v>1099</v>
      </c>
      <c r="B56" s="1307">
        <v>0.6</v>
      </c>
      <c r="C56" s="1307">
        <v>0.3</v>
      </c>
      <c r="D56" s="1307">
        <v>0.2</v>
      </c>
      <c r="E56" s="1307">
        <v>0.2</v>
      </c>
      <c r="F56" s="1307">
        <v>0.2</v>
      </c>
      <c r="G56" s="1307">
        <v>0.2</v>
      </c>
      <c r="H56" s="1307">
        <v>0.15</v>
      </c>
    </row>
    <row r="58" spans="1:8" s="1389" customFormat="1" ht="19.5" customHeight="1">
      <c r="A58" s="1405"/>
      <c r="B58" s="1387"/>
      <c r="C58" s="1387"/>
      <c r="D58" s="1387" t="s">
        <v>1546</v>
      </c>
      <c r="E58" s="1387"/>
      <c r="F58" s="1387"/>
    </row>
    <row r="59" spans="1:8" s="1389" customFormat="1" ht="19.5" customHeight="1">
      <c r="A59" s="1393" t="s">
        <v>1547</v>
      </c>
      <c r="B59" s="1393" t="s">
        <v>1548</v>
      </c>
      <c r="C59" s="1393" t="s">
        <v>1549</v>
      </c>
      <c r="D59" s="1393" t="s">
        <v>1550</v>
      </c>
      <c r="E59" s="1393" t="s">
        <v>1551</v>
      </c>
      <c r="F59" s="1393" t="s">
        <v>1552</v>
      </c>
    </row>
    <row r="60" spans="1:8" ht="13.5">
      <c r="A60" s="1600"/>
      <c r="B60" s="1600"/>
      <c r="C60" s="1600" t="s">
        <v>1684</v>
      </c>
      <c r="D60" s="1600"/>
      <c r="E60" s="1406" t="s">
        <v>20</v>
      </c>
      <c r="F60" s="1600" t="s">
        <v>20</v>
      </c>
    </row>
    <row r="61" spans="1:8" s="1389" customFormat="1" ht="24">
      <c r="A61" s="1393">
        <v>1</v>
      </c>
      <c r="B61" s="3509" t="s">
        <v>1553</v>
      </c>
      <c r="C61" s="1307" t="s">
        <v>1554</v>
      </c>
      <c r="D61" s="1307" t="s">
        <v>1555</v>
      </c>
      <c r="E61" s="1406">
        <v>0.5</v>
      </c>
      <c r="F61" s="1393">
        <v>80</v>
      </c>
    </row>
    <row r="62" spans="1:8" s="1389" customFormat="1" ht="24">
      <c r="A62" s="1393">
        <v>2</v>
      </c>
      <c r="B62" s="3509"/>
      <c r="C62" s="1307" t="s">
        <v>1556</v>
      </c>
      <c r="D62" s="1307" t="s">
        <v>1557</v>
      </c>
      <c r="E62" s="1406">
        <v>0.5</v>
      </c>
      <c r="F62" s="1393">
        <v>80</v>
      </c>
    </row>
    <row r="63" spans="1:8" s="1389" customFormat="1" ht="36">
      <c r="A63" s="1393">
        <v>3</v>
      </c>
      <c r="B63" s="3509"/>
      <c r="C63" s="1307" t="s">
        <v>1558</v>
      </c>
      <c r="D63" s="1307" t="s">
        <v>1559</v>
      </c>
      <c r="E63" s="1406">
        <v>0.5</v>
      </c>
      <c r="F63" s="1393">
        <v>80</v>
      </c>
    </row>
    <row r="64" spans="1:8" s="1389" customFormat="1" ht="36">
      <c r="A64" s="1393">
        <v>4</v>
      </c>
      <c r="B64" s="3509"/>
      <c r="C64" s="1307" t="s">
        <v>1560</v>
      </c>
      <c r="D64" s="1307" t="s">
        <v>1561</v>
      </c>
      <c r="E64" s="1406">
        <v>0.4</v>
      </c>
      <c r="F64" s="1393">
        <v>60</v>
      </c>
    </row>
    <row r="65" spans="1:6" s="1389" customFormat="1" ht="36">
      <c r="A65" s="1393">
        <v>5</v>
      </c>
      <c r="B65" s="3509"/>
      <c r="C65" s="1307" t="s">
        <v>1562</v>
      </c>
      <c r="D65" s="1307" t="s">
        <v>1563</v>
      </c>
      <c r="E65" s="1406">
        <v>0.2</v>
      </c>
      <c r="F65" s="1393">
        <v>30</v>
      </c>
    </row>
    <row r="66" spans="1:6" s="1389" customFormat="1" ht="36">
      <c r="A66" s="1393">
        <v>6</v>
      </c>
      <c r="B66" s="3509"/>
      <c r="C66" s="1307" t="s">
        <v>1564</v>
      </c>
      <c r="D66" s="1307" t="s">
        <v>1565</v>
      </c>
      <c r="E66" s="1406">
        <v>0.3</v>
      </c>
      <c r="F66" s="1393">
        <v>50</v>
      </c>
    </row>
    <row r="67" spans="1:6" s="1389" customFormat="1" ht="36">
      <c r="A67" s="1393">
        <v>7</v>
      </c>
      <c r="B67" s="3509"/>
      <c r="C67" s="1307" t="s">
        <v>1566</v>
      </c>
      <c r="D67" s="1307" t="s">
        <v>1567</v>
      </c>
      <c r="E67" s="1406">
        <v>0.2</v>
      </c>
      <c r="F67" s="1393">
        <v>30</v>
      </c>
    </row>
    <row r="68" spans="1:6" s="1389" customFormat="1" ht="36">
      <c r="A68" s="1393">
        <v>8</v>
      </c>
      <c r="B68" s="3509"/>
      <c r="C68" s="1307" t="s">
        <v>1568</v>
      </c>
      <c r="D68" s="1307" t="s">
        <v>1569</v>
      </c>
      <c r="E68" s="1406">
        <v>0.2</v>
      </c>
      <c r="F68" s="1393">
        <v>30</v>
      </c>
    </row>
    <row r="69" spans="1:6" s="1389" customFormat="1" ht="36">
      <c r="A69" s="1393">
        <v>9</v>
      </c>
      <c r="B69" s="3509"/>
      <c r="C69" s="1307" t="s">
        <v>1570</v>
      </c>
      <c r="D69" s="1307" t="s">
        <v>1571</v>
      </c>
      <c r="E69" s="1406">
        <v>0.2</v>
      </c>
      <c r="F69" s="1393">
        <v>30</v>
      </c>
    </row>
    <row r="70" spans="1:6" s="1389" customFormat="1" ht="48">
      <c r="A70" s="1393">
        <v>10</v>
      </c>
      <c r="B70" s="3509"/>
      <c r="C70" s="1307" t="s">
        <v>1572</v>
      </c>
      <c r="D70" s="1307" t="s">
        <v>1573</v>
      </c>
      <c r="E70" s="1406">
        <v>0.2</v>
      </c>
      <c r="F70" s="1393">
        <v>30</v>
      </c>
    </row>
    <row r="71" spans="1:6" s="1389" customFormat="1" ht="48">
      <c r="A71" s="1393">
        <v>11</v>
      </c>
      <c r="B71" s="3509"/>
      <c r="C71" s="1307" t="s">
        <v>1574</v>
      </c>
      <c r="D71" s="1307" t="s">
        <v>1575</v>
      </c>
      <c r="E71" s="1406">
        <v>0.2</v>
      </c>
      <c r="F71" s="1393">
        <v>30</v>
      </c>
    </row>
    <row r="72" spans="1:6" s="1389" customFormat="1" ht="36">
      <c r="A72" s="1393">
        <v>12</v>
      </c>
      <c r="B72" s="3509"/>
      <c r="C72" s="1307" t="s">
        <v>1576</v>
      </c>
      <c r="D72" s="1307" t="s">
        <v>1577</v>
      </c>
      <c r="E72" s="1406">
        <v>0.5</v>
      </c>
      <c r="F72" s="1393">
        <v>80</v>
      </c>
    </row>
    <row r="73" spans="1:6" s="1389" customFormat="1" ht="24">
      <c r="A73" s="1393">
        <v>13</v>
      </c>
      <c r="B73" s="3509"/>
      <c r="C73" s="1307" t="s">
        <v>1578</v>
      </c>
      <c r="D73" s="1307" t="s">
        <v>1579</v>
      </c>
      <c r="E73" s="1406">
        <v>0.4</v>
      </c>
      <c r="F73" s="1393">
        <v>60</v>
      </c>
    </row>
    <row r="74" spans="1:6" s="1389" customFormat="1" ht="24">
      <c r="A74" s="1393">
        <v>14</v>
      </c>
      <c r="B74" s="3509"/>
      <c r="C74" s="1307" t="s">
        <v>1580</v>
      </c>
      <c r="D74" s="1307" t="s">
        <v>1581</v>
      </c>
      <c r="E74" s="1406">
        <v>0.2</v>
      </c>
      <c r="F74" s="1393">
        <v>30</v>
      </c>
    </row>
    <row r="75" spans="1:6" s="1389" customFormat="1" ht="24">
      <c r="A75" s="1393">
        <v>15</v>
      </c>
      <c r="B75" s="3509"/>
      <c r="C75" s="1307" t="s">
        <v>1582</v>
      </c>
      <c r="D75" s="1307" t="s">
        <v>1583</v>
      </c>
      <c r="E75" s="1406">
        <v>0.2</v>
      </c>
      <c r="F75" s="1393">
        <v>30</v>
      </c>
    </row>
    <row r="76" spans="1:6" s="1389" customFormat="1" ht="24">
      <c r="A76" s="1393">
        <v>16</v>
      </c>
      <c r="B76" s="3509" t="s">
        <v>1584</v>
      </c>
      <c r="C76" s="1307" t="s">
        <v>1585</v>
      </c>
      <c r="D76" s="1307" t="s">
        <v>1586</v>
      </c>
      <c r="E76" s="1406">
        <v>0.5</v>
      </c>
      <c r="F76" s="1393">
        <v>80</v>
      </c>
    </row>
    <row r="77" spans="1:6" s="1389" customFormat="1" ht="24">
      <c r="A77" s="1393">
        <v>17</v>
      </c>
      <c r="B77" s="3509"/>
      <c r="C77" s="1307" t="s">
        <v>1587</v>
      </c>
      <c r="D77" s="1307" t="s">
        <v>1588</v>
      </c>
      <c r="E77" s="1406">
        <v>0.5</v>
      </c>
      <c r="F77" s="1393">
        <v>80</v>
      </c>
    </row>
    <row r="78" spans="1:6" s="1389" customFormat="1" ht="24">
      <c r="A78" s="1393">
        <v>18</v>
      </c>
      <c r="B78" s="3509"/>
      <c r="C78" s="1307" t="s">
        <v>1589</v>
      </c>
      <c r="D78" s="1307" t="s">
        <v>1590</v>
      </c>
      <c r="E78" s="1406">
        <v>0.2</v>
      </c>
      <c r="F78" s="1393">
        <v>30</v>
      </c>
    </row>
    <row r="79" spans="1:6" s="1389" customFormat="1" ht="24">
      <c r="A79" s="1393">
        <v>19</v>
      </c>
      <c r="B79" s="3509"/>
      <c r="C79" s="1307" t="s">
        <v>1591</v>
      </c>
      <c r="D79" s="1307" t="s">
        <v>1592</v>
      </c>
      <c r="E79" s="1406">
        <v>0.5</v>
      </c>
      <c r="F79" s="1393">
        <v>80</v>
      </c>
    </row>
    <row r="80" spans="1:6" s="1389" customFormat="1" ht="36">
      <c r="A80" s="1393">
        <v>20</v>
      </c>
      <c r="B80" s="3509"/>
      <c r="C80" s="1307" t="s">
        <v>1593</v>
      </c>
      <c r="D80" s="1307" t="s">
        <v>1594</v>
      </c>
      <c r="E80" s="1406">
        <v>0.2</v>
      </c>
      <c r="F80" s="1393">
        <v>30</v>
      </c>
    </row>
    <row r="81" spans="1:6" s="1389" customFormat="1" ht="36">
      <c r="A81" s="1393">
        <v>21</v>
      </c>
      <c r="B81" s="3509"/>
      <c r="C81" s="1307" t="s">
        <v>1595</v>
      </c>
      <c r="D81" s="1307" t="s">
        <v>1596</v>
      </c>
      <c r="E81" s="1406">
        <v>0.2</v>
      </c>
      <c r="F81" s="1393">
        <v>30</v>
      </c>
    </row>
    <row r="82" spans="1:6" s="1389" customFormat="1" ht="48">
      <c r="A82" s="1393">
        <v>22</v>
      </c>
      <c r="B82" s="3509"/>
      <c r="C82" s="1307" t="s">
        <v>1597</v>
      </c>
      <c r="D82" s="1307" t="s">
        <v>1598</v>
      </c>
      <c r="E82" s="1406">
        <v>0.2</v>
      </c>
      <c r="F82" s="1393">
        <v>30</v>
      </c>
    </row>
    <row r="83" spans="1:6" s="1389" customFormat="1" ht="48">
      <c r="A83" s="1393">
        <v>23</v>
      </c>
      <c r="B83" s="3509"/>
      <c r="C83" s="1307" t="s">
        <v>1599</v>
      </c>
      <c r="D83" s="1307" t="s">
        <v>1600</v>
      </c>
      <c r="E83" s="1406">
        <v>0.2</v>
      </c>
      <c r="F83" s="1393">
        <v>30</v>
      </c>
    </row>
    <row r="84" spans="1:6" s="1389" customFormat="1" ht="36">
      <c r="A84" s="1393">
        <v>24</v>
      </c>
      <c r="B84" s="3509"/>
      <c r="C84" s="1307" t="s">
        <v>1601</v>
      </c>
      <c r="D84" s="1307" t="s">
        <v>1602</v>
      </c>
      <c r="E84" s="1406">
        <v>0.2</v>
      </c>
      <c r="F84" s="1393">
        <v>30</v>
      </c>
    </row>
    <row r="85" spans="1:6" s="1389" customFormat="1" ht="36">
      <c r="A85" s="1393">
        <v>25</v>
      </c>
      <c r="B85" s="3509"/>
      <c r="C85" s="1307" t="s">
        <v>1603</v>
      </c>
      <c r="D85" s="1307" t="s">
        <v>1604</v>
      </c>
      <c r="E85" s="1406">
        <v>0.5</v>
      </c>
      <c r="F85" s="1393">
        <v>80</v>
      </c>
    </row>
    <row r="86" spans="1:6" s="1389" customFormat="1" ht="36">
      <c r="A86" s="1393">
        <v>26</v>
      </c>
      <c r="B86" s="3509"/>
      <c r="C86" s="1307" t="s">
        <v>1605</v>
      </c>
      <c r="D86" s="1307" t="s">
        <v>1606</v>
      </c>
      <c r="E86" s="1406">
        <v>0.2</v>
      </c>
      <c r="F86" s="1393">
        <v>30</v>
      </c>
    </row>
    <row r="87" spans="1:6" s="1389" customFormat="1" ht="36">
      <c r="A87" s="1393">
        <v>27</v>
      </c>
      <c r="B87" s="3509"/>
      <c r="C87" s="1307" t="s">
        <v>1607</v>
      </c>
      <c r="D87" s="1307" t="s">
        <v>1608</v>
      </c>
      <c r="E87" s="1406">
        <v>0.2</v>
      </c>
      <c r="F87" s="1393">
        <v>30</v>
      </c>
    </row>
    <row r="88" spans="1:6" s="1389" customFormat="1" ht="36">
      <c r="A88" s="1393">
        <v>28</v>
      </c>
      <c r="B88" s="3509"/>
      <c r="C88" s="1307" t="s">
        <v>1609</v>
      </c>
      <c r="D88" s="1307" t="s">
        <v>1610</v>
      </c>
      <c r="E88" s="1406">
        <v>0.2</v>
      </c>
      <c r="F88" s="1393">
        <v>30</v>
      </c>
    </row>
    <row r="89" spans="1:6" s="1389" customFormat="1" ht="24">
      <c r="A89" s="1393">
        <v>29</v>
      </c>
      <c r="B89" s="3509"/>
      <c r="C89" s="1307" t="s">
        <v>1611</v>
      </c>
      <c r="D89" s="1307" t="s">
        <v>1612</v>
      </c>
      <c r="E89" s="1406">
        <v>0.2</v>
      </c>
      <c r="F89" s="1393">
        <v>30</v>
      </c>
    </row>
    <row r="90" spans="1:6" s="1389" customFormat="1" ht="24">
      <c r="A90" s="1393">
        <v>30</v>
      </c>
      <c r="B90" s="3509"/>
      <c r="C90" s="1307" t="s">
        <v>1613</v>
      </c>
      <c r="D90" s="1307" t="s">
        <v>1614</v>
      </c>
      <c r="E90" s="1406">
        <v>0.2</v>
      </c>
      <c r="F90" s="1393">
        <v>30</v>
      </c>
    </row>
    <row r="91" spans="1:6" s="1389" customFormat="1" ht="36">
      <c r="A91" s="1393">
        <v>31</v>
      </c>
      <c r="B91" s="3509"/>
      <c r="C91" s="1307" t="s">
        <v>1615</v>
      </c>
      <c r="D91" s="1307" t="s">
        <v>1616</v>
      </c>
      <c r="E91" s="1406">
        <v>0.2</v>
      </c>
      <c r="F91" s="1393">
        <v>30</v>
      </c>
    </row>
    <row r="92" spans="1:6" s="1389" customFormat="1" ht="24">
      <c r="A92" s="1393">
        <v>32</v>
      </c>
      <c r="B92" s="3509" t="s">
        <v>1617</v>
      </c>
      <c r="C92" s="1393" t="s">
        <v>1618</v>
      </c>
      <c r="D92" s="1307" t="s">
        <v>1619</v>
      </c>
      <c r="E92" s="1406">
        <v>0.2</v>
      </c>
      <c r="F92" s="1393">
        <v>30</v>
      </c>
    </row>
    <row r="93" spans="1:6" s="1389" customFormat="1" ht="36">
      <c r="A93" s="1393">
        <v>33</v>
      </c>
      <c r="B93" s="3509"/>
      <c r="C93" s="1393" t="s">
        <v>1620</v>
      </c>
      <c r="D93" s="1307" t="s">
        <v>1621</v>
      </c>
      <c r="E93" s="1406">
        <v>0.2</v>
      </c>
      <c r="F93" s="1393">
        <v>30</v>
      </c>
    </row>
    <row r="94" spans="1:6" s="1389" customFormat="1" ht="48">
      <c r="A94" s="1393">
        <v>34</v>
      </c>
      <c r="B94" s="3509"/>
      <c r="C94" s="1393" t="s">
        <v>1622</v>
      </c>
      <c r="D94" s="1307" t="s">
        <v>1623</v>
      </c>
      <c r="E94" s="1406">
        <v>0.2</v>
      </c>
      <c r="F94" s="1393">
        <v>30</v>
      </c>
    </row>
    <row r="95" spans="1:6" s="1389" customFormat="1" ht="36">
      <c r="A95" s="1393">
        <v>35</v>
      </c>
      <c r="B95" s="3509"/>
      <c r="C95" s="1393" t="s">
        <v>1624</v>
      </c>
      <c r="D95" s="1307" t="s">
        <v>1625</v>
      </c>
      <c r="E95" s="1406">
        <v>0.2</v>
      </c>
      <c r="F95" s="1393">
        <v>30</v>
      </c>
    </row>
    <row r="96" spans="1:6" s="1389" customFormat="1" ht="48">
      <c r="A96" s="1393">
        <v>36</v>
      </c>
      <c r="B96" s="3509"/>
      <c r="C96" s="1307" t="s">
        <v>1626</v>
      </c>
      <c r="D96" s="1307" t="s">
        <v>1627</v>
      </c>
      <c r="E96" s="1406">
        <v>0.2</v>
      </c>
      <c r="F96" s="1393">
        <v>30</v>
      </c>
    </row>
    <row r="97" spans="1:6" s="1389" customFormat="1" ht="36">
      <c r="A97" s="1393">
        <v>37</v>
      </c>
      <c r="B97" s="3509"/>
      <c r="C97" s="1393" t="s">
        <v>1628</v>
      </c>
      <c r="D97" s="1307" t="s">
        <v>1629</v>
      </c>
      <c r="E97" s="1406">
        <v>0.2</v>
      </c>
      <c r="F97" s="1393">
        <v>30</v>
      </c>
    </row>
    <row r="98" spans="1:6" s="1389" customFormat="1" ht="36">
      <c r="A98" s="1393">
        <v>38</v>
      </c>
      <c r="B98" s="3509"/>
      <c r="C98" s="1393" t="s">
        <v>1630</v>
      </c>
      <c r="D98" s="1307" t="s">
        <v>1631</v>
      </c>
      <c r="E98" s="1406">
        <v>0.2</v>
      </c>
      <c r="F98" s="1393">
        <v>30</v>
      </c>
    </row>
    <row r="99" spans="1:6" s="1389" customFormat="1" ht="36">
      <c r="A99" s="1393">
        <v>39</v>
      </c>
      <c r="B99" s="3509" t="s">
        <v>1632</v>
      </c>
      <c r="C99" s="1393" t="s">
        <v>1633</v>
      </c>
      <c r="D99" s="1307" t="s">
        <v>1634</v>
      </c>
      <c r="E99" s="1406">
        <v>0.3</v>
      </c>
      <c r="F99" s="1393">
        <v>50</v>
      </c>
    </row>
    <row r="100" spans="1:6" s="1389" customFormat="1" ht="24">
      <c r="A100" s="1393">
        <v>40</v>
      </c>
      <c r="B100" s="3509"/>
      <c r="C100" s="1393" t="s">
        <v>1635</v>
      </c>
      <c r="D100" s="1307" t="s">
        <v>1636</v>
      </c>
      <c r="E100" s="1406">
        <v>0.2</v>
      </c>
      <c r="F100" s="1393">
        <v>30</v>
      </c>
    </row>
    <row r="101" spans="1:6" s="1389" customFormat="1" ht="36">
      <c r="A101" s="1393">
        <v>41</v>
      </c>
      <c r="B101" s="3509"/>
      <c r="C101" s="1393" t="s">
        <v>1637</v>
      </c>
      <c r="D101" s="1307" t="s">
        <v>1634</v>
      </c>
      <c r="E101" s="1406">
        <v>0.2</v>
      </c>
      <c r="F101" s="1393">
        <v>30</v>
      </c>
    </row>
    <row r="102" spans="1:6" s="1389" customFormat="1" ht="48">
      <c r="A102" s="1393">
        <v>42</v>
      </c>
      <c r="B102" s="1393" t="s">
        <v>1638</v>
      </c>
      <c r="C102" s="1307" t="s">
        <v>1639</v>
      </c>
      <c r="D102" s="1307" t="s">
        <v>1640</v>
      </c>
      <c r="E102" s="1406">
        <v>0.2</v>
      </c>
      <c r="F102" s="1393">
        <v>30</v>
      </c>
    </row>
    <row r="103" spans="1:6" s="1389" customFormat="1" ht="24">
      <c r="A103" s="1393">
        <v>43</v>
      </c>
      <c r="B103" s="1393" t="s">
        <v>1641</v>
      </c>
      <c r="C103" s="1393" t="s">
        <v>1642</v>
      </c>
      <c r="D103" s="1307" t="s">
        <v>1643</v>
      </c>
      <c r="E103" s="1406">
        <v>0.2</v>
      </c>
      <c r="F103" s="1393">
        <v>30</v>
      </c>
    </row>
    <row r="104" spans="1:6" s="1389" customFormat="1" ht="36">
      <c r="A104" s="1393">
        <v>44</v>
      </c>
      <c r="B104" s="1393" t="s">
        <v>1644</v>
      </c>
      <c r="C104" s="1393" t="s">
        <v>1645</v>
      </c>
      <c r="D104" s="1307" t="s">
        <v>1646</v>
      </c>
      <c r="E104" s="1406">
        <v>0.2</v>
      </c>
      <c r="F104" s="1393">
        <v>30</v>
      </c>
    </row>
    <row r="105" spans="1:6" s="1389" customFormat="1" ht="36">
      <c r="A105" s="1393">
        <v>45</v>
      </c>
      <c r="B105" s="3509" t="s">
        <v>1647</v>
      </c>
      <c r="C105" s="1393" t="s">
        <v>1648</v>
      </c>
      <c r="D105" s="1307" t="s">
        <v>1649</v>
      </c>
      <c r="E105" s="1406">
        <v>0.2</v>
      </c>
      <c r="F105" s="1393">
        <v>30</v>
      </c>
    </row>
    <row r="106" spans="1:6" s="1389" customFormat="1" ht="36">
      <c r="A106" s="1393">
        <v>46</v>
      </c>
      <c r="B106" s="3509"/>
      <c r="C106" s="1393" t="s">
        <v>1650</v>
      </c>
      <c r="D106" s="1307" t="s">
        <v>1651</v>
      </c>
      <c r="E106" s="1406">
        <v>0.2</v>
      </c>
      <c r="F106" s="1393">
        <v>30</v>
      </c>
    </row>
    <row r="107" spans="1:6" s="1389" customFormat="1" ht="36">
      <c r="A107" s="1393">
        <v>47</v>
      </c>
      <c r="B107" s="3509" t="s">
        <v>1652</v>
      </c>
      <c r="C107" s="1393" t="s">
        <v>1653</v>
      </c>
      <c r="D107" s="1307" t="s">
        <v>1654</v>
      </c>
      <c r="E107" s="1406">
        <v>0.3</v>
      </c>
      <c r="F107" s="1393">
        <v>50</v>
      </c>
    </row>
    <row r="108" spans="1:6" s="1389" customFormat="1" ht="36">
      <c r="A108" s="1393">
        <v>48</v>
      </c>
      <c r="B108" s="3509"/>
      <c r="C108" s="1393" t="s">
        <v>1655</v>
      </c>
      <c r="D108" s="1307" t="s">
        <v>1656</v>
      </c>
      <c r="E108" s="1406">
        <v>0.2</v>
      </c>
      <c r="F108" s="1393">
        <v>30</v>
      </c>
    </row>
    <row r="109" spans="1:6" s="1389" customFormat="1" ht="36">
      <c r="A109" s="1393">
        <v>49</v>
      </c>
      <c r="B109" s="1393" t="s">
        <v>1657</v>
      </c>
      <c r="C109" s="1393" t="s">
        <v>1658</v>
      </c>
      <c r="D109" s="1307" t="s">
        <v>1659</v>
      </c>
      <c r="E109" s="1406">
        <v>0.2</v>
      </c>
      <c r="F109" s="1393">
        <v>30</v>
      </c>
    </row>
    <row r="110" spans="1:6" s="1389" customFormat="1" ht="36">
      <c r="A110" s="1393">
        <v>50</v>
      </c>
      <c r="B110" s="1393" t="s">
        <v>1660</v>
      </c>
      <c r="C110" s="1393" t="s">
        <v>1661</v>
      </c>
      <c r="D110" s="1307" t="s">
        <v>1662</v>
      </c>
      <c r="E110" s="1406">
        <v>0.2</v>
      </c>
      <c r="F110" s="1393">
        <v>30</v>
      </c>
    </row>
    <row r="111" spans="1:6" s="1389" customFormat="1" ht="36">
      <c r="A111" s="1393">
        <v>51</v>
      </c>
      <c r="B111" s="3509" t="s">
        <v>1663</v>
      </c>
      <c r="C111" s="1393" t="s">
        <v>1664</v>
      </c>
      <c r="D111" s="1307" t="s">
        <v>1665</v>
      </c>
      <c r="E111" s="1406">
        <v>0.2</v>
      </c>
      <c r="F111" s="1393">
        <v>30</v>
      </c>
    </row>
    <row r="112" spans="1:6" s="1389" customFormat="1" ht="24">
      <c r="A112" s="1393">
        <v>52</v>
      </c>
      <c r="B112" s="3509"/>
      <c r="C112" s="1393" t="s">
        <v>1666</v>
      </c>
      <c r="D112" s="1307" t="s">
        <v>1667</v>
      </c>
      <c r="E112" s="1406">
        <v>0.2</v>
      </c>
      <c r="F112" s="1393">
        <v>30</v>
      </c>
    </row>
    <row r="113" spans="1:6" s="1389" customFormat="1" ht="24">
      <c r="A113" s="1393">
        <v>53</v>
      </c>
      <c r="B113" s="3509"/>
      <c r="C113" s="1393" t="s">
        <v>1668</v>
      </c>
      <c r="D113" s="1307" t="s">
        <v>1669</v>
      </c>
      <c r="E113" s="1406">
        <v>0.2</v>
      </c>
      <c r="F113" s="1393">
        <v>30</v>
      </c>
    </row>
    <row r="114" spans="1:6" ht="36">
      <c r="A114" s="1393">
        <v>54</v>
      </c>
      <c r="B114" s="1393" t="s">
        <v>1670</v>
      </c>
      <c r="C114" s="1393" t="s">
        <v>1671</v>
      </c>
      <c r="D114" s="1307" t="s">
        <v>1672</v>
      </c>
      <c r="E114" s="1406">
        <v>0.2</v>
      </c>
      <c r="F114" s="1393">
        <v>30</v>
      </c>
    </row>
    <row r="115" spans="1:6" ht="24">
      <c r="A115" s="1393">
        <v>55</v>
      </c>
      <c r="B115" s="1393" t="s">
        <v>1673</v>
      </c>
      <c r="C115" s="1393" t="s">
        <v>1674</v>
      </c>
      <c r="D115" s="1307" t="s">
        <v>1675</v>
      </c>
      <c r="E115" s="1406">
        <v>0.2</v>
      </c>
      <c r="F115" s="1393">
        <v>30</v>
      </c>
    </row>
    <row r="116" spans="1:6" ht="24">
      <c r="A116" s="1393">
        <v>56</v>
      </c>
      <c r="B116" s="3509" t="s">
        <v>1676</v>
      </c>
      <c r="C116" s="1393" t="s">
        <v>1677</v>
      </c>
      <c r="D116" s="1307" t="s">
        <v>1678</v>
      </c>
      <c r="E116" s="1406">
        <v>0.2</v>
      </c>
      <c r="F116" s="1393">
        <v>30</v>
      </c>
    </row>
    <row r="117" spans="1:6" ht="36">
      <c r="A117" s="1393">
        <v>57</v>
      </c>
      <c r="B117" s="3509"/>
      <c r="C117" s="1393" t="s">
        <v>1679</v>
      </c>
      <c r="D117" s="1307" t="s">
        <v>1680</v>
      </c>
      <c r="E117" s="1406">
        <v>0.2</v>
      </c>
      <c r="F117" s="1393">
        <v>30</v>
      </c>
    </row>
    <row r="118" spans="1:6" ht="36">
      <c r="A118" s="1393">
        <v>58</v>
      </c>
      <c r="B118" s="1393" t="s">
        <v>1681</v>
      </c>
      <c r="C118" s="1393" t="s">
        <v>1682</v>
      </c>
      <c r="D118" s="1307" t="s">
        <v>1683</v>
      </c>
      <c r="E118" s="1406">
        <v>0.2</v>
      </c>
      <c r="F118" s="1393">
        <v>30</v>
      </c>
    </row>
    <row r="119" spans="1:6" ht="13.5">
      <c r="A119" s="1393"/>
      <c r="B119" s="1393"/>
      <c r="C119" s="1393" t="s">
        <v>1684</v>
      </c>
      <c r="D119" s="1393"/>
      <c r="E119" s="1406" t="s">
        <v>1494</v>
      </c>
      <c r="F119" s="1393" t="s">
        <v>1494</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1686</v>
      </c>
      <c r="B1" s="1417"/>
      <c r="C1" s="1417"/>
      <c r="D1" s="1417"/>
      <c r="E1" s="1417"/>
      <c r="F1" s="1417"/>
      <c r="G1" s="1417"/>
      <c r="H1" s="1417"/>
      <c r="I1" s="1417"/>
      <c r="J1" s="1417"/>
      <c r="K1" s="1417"/>
      <c r="L1" s="1417"/>
      <c r="M1" s="1417"/>
      <c r="N1" s="1417"/>
    </row>
    <row r="2" spans="1:14">
      <c r="A2" s="1419" t="s">
        <v>1685</v>
      </c>
      <c r="B2" s="1420" t="s">
        <v>1088</v>
      </c>
      <c r="C2" s="1420" t="s">
        <v>1089</v>
      </c>
      <c r="D2" s="1420" t="s">
        <v>1090</v>
      </c>
      <c r="E2" s="1420" t="s">
        <v>1091</v>
      </c>
      <c r="F2" s="1420" t="s">
        <v>1092</v>
      </c>
      <c r="G2" s="1420" t="s">
        <v>1093</v>
      </c>
      <c r="H2" s="1421" t="s">
        <v>1094</v>
      </c>
      <c r="I2" s="1421" t="s">
        <v>1095</v>
      </c>
      <c r="J2" s="1422" t="s">
        <v>1096</v>
      </c>
      <c r="K2" s="1422" t="s">
        <v>1097</v>
      </c>
      <c r="L2" s="1422" t="s">
        <v>1098</v>
      </c>
      <c r="M2" s="1422" t="s">
        <v>1099</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1687</v>
      </c>
      <c r="B103" s="1417"/>
      <c r="C103" s="1417"/>
      <c r="D103" s="1417"/>
      <c r="E103" s="1417"/>
      <c r="F103" s="1417"/>
      <c r="G103" s="1417"/>
      <c r="H103" s="1417"/>
      <c r="I103" s="1417"/>
      <c r="J103" s="1417"/>
      <c r="K103" s="1417"/>
      <c r="L103" s="1417"/>
      <c r="M103" s="1417"/>
      <c r="N103" s="1417"/>
    </row>
    <row r="104" spans="1:14" ht="14.25">
      <c r="A104" s="1419" t="s">
        <v>1685</v>
      </c>
      <c r="B104" s="1420" t="s">
        <v>1088</v>
      </c>
      <c r="C104" s="1420" t="s">
        <v>1089</v>
      </c>
      <c r="D104" s="1420" t="s">
        <v>1090</v>
      </c>
      <c r="E104" s="1420" t="s">
        <v>1091</v>
      </c>
      <c r="F104" s="1420" t="s">
        <v>1092</v>
      </c>
      <c r="G104" s="1420" t="s">
        <v>1093</v>
      </c>
      <c r="H104" s="1421" t="s">
        <v>1094</v>
      </c>
      <c r="I104" s="1421" t="s">
        <v>1095</v>
      </c>
      <c r="J104" s="1422" t="s">
        <v>1096</v>
      </c>
      <c r="K104" s="1422" t="s">
        <v>1097</v>
      </c>
      <c r="L104" s="1422" t="s">
        <v>1098</v>
      </c>
      <c r="M104" s="1422" t="s">
        <v>1099</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1688</v>
      </c>
      <c r="B205" s="1417"/>
      <c r="C205" s="1417"/>
      <c r="D205" s="1417"/>
      <c r="E205" s="1417"/>
      <c r="F205" s="1417"/>
      <c r="G205" s="1417"/>
      <c r="H205" s="1417"/>
      <c r="I205" s="1417"/>
      <c r="J205" s="1417"/>
      <c r="K205" s="1417"/>
      <c r="L205" s="1417"/>
      <c r="M205" s="1417"/>
    </row>
    <row r="206" spans="1:13">
      <c r="A206" s="1419" t="s">
        <v>1685</v>
      </c>
      <c r="B206" s="1420" t="s">
        <v>1088</v>
      </c>
      <c r="C206" s="1420" t="s">
        <v>1089</v>
      </c>
      <c r="D206" s="1420" t="s">
        <v>1090</v>
      </c>
      <c r="E206" s="1420" t="s">
        <v>1091</v>
      </c>
      <c r="F206" s="1420" t="s">
        <v>1092</v>
      </c>
      <c r="G206" s="1420" t="s">
        <v>1093</v>
      </c>
      <c r="H206" s="1421" t="s">
        <v>1094</v>
      </c>
      <c r="I206" s="1421" t="s">
        <v>1095</v>
      </c>
      <c r="J206" s="1422" t="s">
        <v>1096</v>
      </c>
      <c r="K206" s="1422" t="s">
        <v>1097</v>
      </c>
      <c r="L206" s="1422" t="s">
        <v>1098</v>
      </c>
      <c r="M206" s="1422" t="s">
        <v>1099</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1689</v>
      </c>
      <c r="B307" s="1417"/>
      <c r="C307" s="1417"/>
      <c r="D307" s="1417"/>
      <c r="E307" s="1417"/>
      <c r="F307" s="1417"/>
      <c r="G307" s="1417"/>
      <c r="H307" s="1417"/>
      <c r="I307" s="1417"/>
      <c r="J307" s="1417"/>
      <c r="K307" s="1417"/>
      <c r="L307" s="1417"/>
      <c r="M307" s="1417"/>
    </row>
    <row r="308" spans="1:13">
      <c r="A308" s="1419" t="s">
        <v>1685</v>
      </c>
      <c r="B308" s="1420" t="s">
        <v>1088</v>
      </c>
      <c r="C308" s="1420" t="s">
        <v>1089</v>
      </c>
      <c r="D308" s="1420" t="s">
        <v>1090</v>
      </c>
      <c r="E308" s="1420" t="s">
        <v>1091</v>
      </c>
      <c r="F308" s="1420" t="s">
        <v>1092</v>
      </c>
      <c r="G308" s="1420" t="s">
        <v>1093</v>
      </c>
      <c r="H308" s="1421" t="s">
        <v>1094</v>
      </c>
      <c r="I308" s="1421" t="s">
        <v>1095</v>
      </c>
      <c r="J308" s="1422" t="s">
        <v>1096</v>
      </c>
      <c r="K308" s="1422" t="s">
        <v>1097</v>
      </c>
      <c r="L308" s="1422" t="s">
        <v>1098</v>
      </c>
      <c r="M308" s="1422" t="s">
        <v>1099</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27" t="s">
        <v>2577</v>
      </c>
      <c r="C1" s="3527"/>
      <c r="D1" s="3527"/>
      <c r="E1" s="3527"/>
      <c r="F1" s="3527"/>
      <c r="G1" s="3523" t="s">
        <v>2578</v>
      </c>
      <c r="H1" s="3523"/>
      <c r="I1" s="3523"/>
      <c r="J1" s="3523"/>
      <c r="K1" s="3523"/>
      <c r="L1" s="3523"/>
      <c r="N1" s="3523" t="s">
        <v>2579</v>
      </c>
      <c r="O1" s="3523"/>
      <c r="P1" s="3523"/>
      <c r="Q1" s="3523"/>
      <c r="R1" s="2661"/>
      <c r="S1" s="3523" t="s">
        <v>2580</v>
      </c>
      <c r="T1" s="3523"/>
      <c r="U1" s="3523"/>
      <c r="V1" s="3523"/>
      <c r="X1" s="3522" t="s">
        <v>2581</v>
      </c>
      <c r="Y1" s="3523"/>
      <c r="Z1" s="3523"/>
      <c r="AA1" s="3523"/>
      <c r="AB1" s="3523"/>
      <c r="AD1" s="3522" t="s">
        <v>2582</v>
      </c>
      <c r="AE1" s="3523"/>
      <c r="AF1" s="3523"/>
      <c r="AG1" s="3523"/>
      <c r="AH1" s="3523"/>
    </row>
    <row r="2" spans="1:34" s="2662" customFormat="1" ht="14.25" thickBot="1">
      <c r="B2" s="2663" t="s">
        <v>2583</v>
      </c>
      <c r="C2" s="2663" t="s">
        <v>2584</v>
      </c>
      <c r="D2" s="2664" t="s">
        <v>2585</v>
      </c>
      <c r="E2" s="2664" t="s">
        <v>2586</v>
      </c>
      <c r="F2" s="2663" t="s">
        <v>2587</v>
      </c>
      <c r="G2" s="2665"/>
      <c r="H2" s="2666"/>
      <c r="I2" s="2663" t="s">
        <v>2906</v>
      </c>
      <c r="J2" s="2664" t="s">
        <v>2907</v>
      </c>
      <c r="K2" s="2664" t="s">
        <v>2908</v>
      </c>
      <c r="L2" s="2663" t="s">
        <v>2909</v>
      </c>
      <c r="N2" s="2663" t="s">
        <v>2583</v>
      </c>
      <c r="O2" s="2664" t="s">
        <v>2910</v>
      </c>
      <c r="P2" s="2664" t="s">
        <v>1766</v>
      </c>
      <c r="Q2" s="2663" t="s">
        <v>2587</v>
      </c>
      <c r="R2" s="2667"/>
      <c r="S2" s="2663" t="s">
        <v>2583</v>
      </c>
      <c r="T2" s="2664" t="s">
        <v>2910</v>
      </c>
      <c r="U2" s="2664" t="s">
        <v>1766</v>
      </c>
      <c r="V2" s="2663" t="s">
        <v>2587</v>
      </c>
      <c r="X2" s="2663" t="s">
        <v>2588</v>
      </c>
      <c r="Y2" s="2663" t="s">
        <v>2589</v>
      </c>
      <c r="Z2" s="2664" t="s">
        <v>2590</v>
      </c>
      <c r="AA2" s="2664" t="s">
        <v>2591</v>
      </c>
      <c r="AB2" s="2663" t="s">
        <v>2592</v>
      </c>
      <c r="AD2" s="2663" t="s">
        <v>2588</v>
      </c>
      <c r="AE2" s="2663" t="s">
        <v>2589</v>
      </c>
      <c r="AF2" s="2664" t="s">
        <v>2590</v>
      </c>
      <c r="AG2" s="2664" t="s">
        <v>2591</v>
      </c>
      <c r="AH2" s="2663" t="s">
        <v>2592</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2593</v>
      </c>
      <c r="B4" s="2677"/>
      <c r="C4" s="2677"/>
      <c r="D4" s="2677"/>
      <c r="E4" s="2677"/>
      <c r="F4" s="2677"/>
      <c r="G4" s="3528">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2594</v>
      </c>
      <c r="B5" s="2683">
        <f>B6*(1+N5)</f>
        <v>429.62688667359998</v>
      </c>
      <c r="C5" s="2683">
        <f t="shared" ref="C5" si="2">C6*(1+O5)</f>
        <v>318.97763788800006</v>
      </c>
      <c r="D5" s="2998">
        <f>C5</f>
        <v>318.97763788800006</v>
      </c>
      <c r="E5" s="2683">
        <f t="shared" ref="E5:F7" si="3">E6*(1+P5)</f>
        <v>613.03761713879999</v>
      </c>
      <c r="F5" s="2683">
        <f t="shared" si="3"/>
        <v>278.506175276448</v>
      </c>
      <c r="G5" s="3525"/>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2596</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2905</v>
      </c>
      <c r="B6" s="2697">
        <f>B7*(1+N6)</f>
        <v>419.31181600000002</v>
      </c>
      <c r="C6" s="2697">
        <f t="shared" ref="C6" si="7">C7*(1+O6)</f>
        <v>313.95436800000004</v>
      </c>
      <c r="D6" s="2697">
        <f>C6</f>
        <v>313.95436800000004</v>
      </c>
      <c r="E6" s="2697">
        <f t="shared" si="3"/>
        <v>596.63028431999999</v>
      </c>
      <c r="F6" s="2697">
        <f t="shared" si="3"/>
        <v>274.74220703999998</v>
      </c>
      <c r="G6" s="3525"/>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2595</v>
      </c>
      <c r="B7" s="2697">
        <f>B8*(1+N7)</f>
        <v>405.524</v>
      </c>
      <c r="C7" s="2697">
        <f t="shared" ref="C7" si="11">C8*(1+O7)</f>
        <v>307.79840000000002</v>
      </c>
      <c r="D7" s="2697">
        <f>C7</f>
        <v>307.79840000000002</v>
      </c>
      <c r="E7" s="2697">
        <f t="shared" si="3"/>
        <v>574.67759999999998</v>
      </c>
      <c r="F7" s="2697">
        <f t="shared" si="3"/>
        <v>270.20280000000002</v>
      </c>
      <c r="G7" s="3526"/>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2597</v>
      </c>
      <c r="B8" s="2689">
        <v>392</v>
      </c>
      <c r="C8" s="2689">
        <v>302</v>
      </c>
      <c r="D8" s="2689">
        <f>C8</f>
        <v>302</v>
      </c>
      <c r="E8" s="2689">
        <v>553</v>
      </c>
      <c r="F8" s="2690">
        <v>266</v>
      </c>
      <c r="G8" s="3528">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1075</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25"/>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1065</v>
      </c>
      <c r="B10" s="2697">
        <f t="shared" si="14"/>
        <v>360.06949782209392</v>
      </c>
      <c r="C10" s="2697">
        <f t="shared" si="14"/>
        <v>289.84672674747821</v>
      </c>
      <c r="D10" s="2697">
        <f t="shared" si="15"/>
        <v>289.84672674747821</v>
      </c>
      <c r="E10" s="2697">
        <f t="shared" si="16"/>
        <v>501.06543001181495</v>
      </c>
      <c r="F10" s="2697">
        <f t="shared" si="16"/>
        <v>256.82882500744967</v>
      </c>
      <c r="G10" s="3525"/>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1074</v>
      </c>
      <c r="B11" s="2697">
        <f t="shared" si="14"/>
        <v>346.720748986128</v>
      </c>
      <c r="C11" s="2697">
        <f t="shared" si="14"/>
        <v>284.30282172386285</v>
      </c>
      <c r="D11" s="2697">
        <f t="shared" si="15"/>
        <v>284.30282172386285</v>
      </c>
      <c r="E11" s="2697">
        <f t="shared" si="16"/>
        <v>479.58023546306947</v>
      </c>
      <c r="F11" s="2697">
        <f t="shared" si="16"/>
        <v>253.25788877571213</v>
      </c>
      <c r="G11" s="3526"/>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1073</v>
      </c>
      <c r="B12" s="2689">
        <v>333</v>
      </c>
      <c r="C12" s="2689">
        <v>277</v>
      </c>
      <c r="D12" s="2689">
        <f t="shared" si="15"/>
        <v>277</v>
      </c>
      <c r="E12" s="2689">
        <v>459</v>
      </c>
      <c r="F12" s="2690">
        <v>249</v>
      </c>
      <c r="G12" s="3524">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1072</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25"/>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1071</v>
      </c>
      <c r="B14" s="2697">
        <f t="shared" si="18"/>
        <v>322.34053690220776</v>
      </c>
      <c r="C14" s="2697">
        <f t="shared" si="18"/>
        <v>271.46160770422546</v>
      </c>
      <c r="D14" s="2697">
        <f t="shared" si="15"/>
        <v>271.46160770422546</v>
      </c>
      <c r="E14" s="2697">
        <f t="shared" si="19"/>
        <v>442.69434542172456</v>
      </c>
      <c r="F14" s="2697">
        <f t="shared" si="19"/>
        <v>241.34030753190925</v>
      </c>
      <c r="G14" s="3525"/>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1070</v>
      </c>
      <c r="B15" s="2697">
        <f t="shared" si="18"/>
        <v>319.87748030386797</v>
      </c>
      <c r="C15" s="2697">
        <f t="shared" si="18"/>
        <v>269.60135833173649</v>
      </c>
      <c r="D15" s="2697">
        <f t="shared" si="15"/>
        <v>269.60135833173649</v>
      </c>
      <c r="E15" s="2697">
        <f t="shared" si="19"/>
        <v>439.18089823583784</v>
      </c>
      <c r="F15" s="2697">
        <f t="shared" si="19"/>
        <v>239.23503918706311</v>
      </c>
      <c r="G15" s="3526"/>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1069</v>
      </c>
      <c r="B16" s="2710">
        <v>318</v>
      </c>
      <c r="C16" s="2710">
        <v>268</v>
      </c>
      <c r="D16" s="2710">
        <f t="shared" si="15"/>
        <v>268</v>
      </c>
      <c r="E16" s="2710">
        <v>437</v>
      </c>
      <c r="F16" s="2711">
        <v>237</v>
      </c>
      <c r="G16" s="3524">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1068</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25"/>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1067</v>
      </c>
      <c r="B18" s="2697">
        <f t="shared" si="20"/>
        <v>314.72141172386546</v>
      </c>
      <c r="C18" s="2697">
        <f t="shared" si="20"/>
        <v>263.03901319069001</v>
      </c>
      <c r="D18" s="2697">
        <f t="shared" si="15"/>
        <v>263.03901319069001</v>
      </c>
      <c r="E18" s="2697">
        <f t="shared" si="21"/>
        <v>433.65745506782821</v>
      </c>
      <c r="F18" s="2697">
        <f t="shared" si="21"/>
        <v>233.23005080045735</v>
      </c>
      <c r="G18" s="3525"/>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1066</v>
      </c>
      <c r="B19" s="2715">
        <f t="shared" si="20"/>
        <v>307.34512863658733</v>
      </c>
      <c r="C19" s="2715">
        <f t="shared" si="20"/>
        <v>257.80556031626975</v>
      </c>
      <c r="D19" s="2715">
        <f t="shared" si="15"/>
        <v>257.80556031626975</v>
      </c>
      <c r="E19" s="2715">
        <f t="shared" si="21"/>
        <v>422.70928459677179</v>
      </c>
      <c r="F19" s="2715">
        <f t="shared" si="21"/>
        <v>229.73803270336617</v>
      </c>
      <c r="G19" s="3526"/>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2800</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2598</v>
      </c>
      <c r="B20" s="2689">
        <v>299</v>
      </c>
      <c r="C20" s="2689">
        <v>252</v>
      </c>
      <c r="D20" s="2689">
        <f t="shared" si="15"/>
        <v>252</v>
      </c>
      <c r="E20" s="2689">
        <v>409</v>
      </c>
      <c r="F20" s="2690">
        <v>227</v>
      </c>
      <c r="G20" s="3529">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2599</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30"/>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2600</v>
      </c>
      <c r="B22" s="2697">
        <f t="shared" si="24"/>
        <v>288.2649053828776</v>
      </c>
      <c r="C22" s="2697">
        <f t="shared" si="24"/>
        <v>243.64564425013293</v>
      </c>
      <c r="D22" s="2697">
        <f t="shared" si="15"/>
        <v>243.64564425013293</v>
      </c>
      <c r="E22" s="2697">
        <f t="shared" si="25"/>
        <v>393.31080825986544</v>
      </c>
      <c r="F22" s="2697">
        <f t="shared" si="25"/>
        <v>223.07903790551154</v>
      </c>
      <c r="G22" s="3530"/>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2601</v>
      </c>
      <c r="B23" s="2697">
        <f t="shared" si="24"/>
        <v>282.50186729015837</v>
      </c>
      <c r="C23" s="2697">
        <f t="shared" si="24"/>
        <v>238.09796174155468</v>
      </c>
      <c r="D23" s="2697">
        <f t="shared" si="15"/>
        <v>238.09796174155468</v>
      </c>
      <c r="E23" s="2697">
        <f t="shared" si="25"/>
        <v>385.33438646014054</v>
      </c>
      <c r="F23" s="2697">
        <f t="shared" si="25"/>
        <v>221.55034055567739</v>
      </c>
      <c r="G23" s="3531"/>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2602</v>
      </c>
      <c r="B24" s="2731">
        <v>278</v>
      </c>
      <c r="C24" s="2731">
        <v>234</v>
      </c>
      <c r="D24" s="2731">
        <f t="shared" si="15"/>
        <v>234</v>
      </c>
      <c r="E24" s="2731">
        <v>379</v>
      </c>
      <c r="F24" s="2732">
        <v>220</v>
      </c>
      <c r="G24" s="3524">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2603</v>
      </c>
      <c r="B25" s="2697">
        <f>B24/(1+N24)</f>
        <v>275.49301357645425</v>
      </c>
      <c r="C25" s="2697">
        <f>C24/(1+O24)</f>
        <v>232.41954707985698</v>
      </c>
      <c r="D25" s="2697">
        <f t="shared" si="15"/>
        <v>232.41954707985698</v>
      </c>
      <c r="E25" s="2697">
        <f t="shared" ref="E25:F27" si="26">E24/(1+P24)</f>
        <v>375.32184591008121</v>
      </c>
      <c r="F25" s="2697">
        <f t="shared" si="26"/>
        <v>218.03766105054513</v>
      </c>
      <c r="G25" s="3525"/>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2604</v>
      </c>
      <c r="B26" s="2697">
        <f>B25/(1+N25)</f>
        <v>275.24529281292263</v>
      </c>
      <c r="C26" s="2697">
        <f>C25/(1+O25)</f>
        <v>231.74747938962707</v>
      </c>
      <c r="D26" s="2697">
        <f t="shared" si="15"/>
        <v>231.74747938962707</v>
      </c>
      <c r="E26" s="2697">
        <f t="shared" si="26"/>
        <v>375.35938184826603</v>
      </c>
      <c r="F26" s="2697">
        <f t="shared" si="26"/>
        <v>216.78033510692495</v>
      </c>
      <c r="G26" s="3525"/>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2605</v>
      </c>
      <c r="B27" s="2697">
        <f>B26/(1+N26)</f>
        <v>275.19025476197027</v>
      </c>
      <c r="C27" s="2733">
        <v>232</v>
      </c>
      <c r="D27" s="2733">
        <f t="shared" si="15"/>
        <v>232</v>
      </c>
      <c r="E27" s="2697">
        <f t="shared" si="26"/>
        <v>375.65990977608692</v>
      </c>
      <c r="F27" s="2697">
        <f t="shared" si="26"/>
        <v>214.12518283971252</v>
      </c>
      <c r="G27" s="3526"/>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2606</v>
      </c>
      <c r="B28" s="2689">
        <v>275</v>
      </c>
      <c r="C28" s="2689">
        <v>232</v>
      </c>
      <c r="D28" s="2689">
        <f t="shared" si="15"/>
        <v>232</v>
      </c>
      <c r="E28" s="2689">
        <v>376</v>
      </c>
      <c r="F28" s="2690">
        <v>213</v>
      </c>
      <c r="G28" s="3524">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2607</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25">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2608</v>
      </c>
      <c r="B30" s="2697">
        <f t="shared" si="27"/>
        <v>275.19335084830601</v>
      </c>
      <c r="C30" s="2697">
        <f t="shared" si="27"/>
        <v>230.18088050139744</v>
      </c>
      <c r="D30" s="2697">
        <f t="shared" si="15"/>
        <v>230.18088050139744</v>
      </c>
      <c r="E30" s="2697">
        <f t="shared" si="28"/>
        <v>377.58482925212331</v>
      </c>
      <c r="F30" s="2697">
        <f t="shared" si="28"/>
        <v>210.90687997847917</v>
      </c>
      <c r="G30" s="3525">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2609</v>
      </c>
      <c r="B31" s="2697">
        <f t="shared" si="27"/>
        <v>276.29854502841971</v>
      </c>
      <c r="C31" s="2697">
        <f t="shared" si="27"/>
        <v>229.79023709833027</v>
      </c>
      <c r="D31" s="2697">
        <f t="shared" si="15"/>
        <v>229.79023709833027</v>
      </c>
      <c r="E31" s="2697">
        <f t="shared" si="28"/>
        <v>379.78759731655936</v>
      </c>
      <c r="F31" s="2697">
        <f t="shared" si="28"/>
        <v>211.32953905659235</v>
      </c>
      <c r="G31" s="3526">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2610</v>
      </c>
      <c r="B32" s="2689">
        <v>269</v>
      </c>
      <c r="C32" s="2689">
        <v>221</v>
      </c>
      <c r="D32" s="2689">
        <f t="shared" si="15"/>
        <v>221</v>
      </c>
      <c r="E32" s="2689">
        <v>373</v>
      </c>
      <c r="F32" s="2690">
        <v>196</v>
      </c>
      <c r="G32" s="3524">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2611</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25">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2612</v>
      </c>
      <c r="B34" s="2697">
        <f t="shared" si="29"/>
        <v>242.95398227588385</v>
      </c>
      <c r="C34" s="2697">
        <f t="shared" si="29"/>
        <v>199.59137053614126</v>
      </c>
      <c r="D34" s="2697">
        <f t="shared" si="15"/>
        <v>199.59137053614126</v>
      </c>
      <c r="E34" s="2697">
        <f t="shared" si="30"/>
        <v>335.92189522342125</v>
      </c>
      <c r="F34" s="2697">
        <f t="shared" si="30"/>
        <v>183.10139991109489</v>
      </c>
      <c r="G34" s="3525">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2613</v>
      </c>
      <c r="B35" s="2697">
        <f t="shared" si="29"/>
        <v>232.06990378821649</v>
      </c>
      <c r="C35" s="2697">
        <f t="shared" si="29"/>
        <v>192.74878854286936</v>
      </c>
      <c r="D35" s="2697">
        <f t="shared" si="15"/>
        <v>192.74878854286936</v>
      </c>
      <c r="E35" s="2697">
        <f t="shared" si="30"/>
        <v>319.71247284992984</v>
      </c>
      <c r="F35" s="2697">
        <f t="shared" si="30"/>
        <v>175.67053622862409</v>
      </c>
      <c r="G35" s="3526">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2614</v>
      </c>
      <c r="B36" s="2689">
        <v>220</v>
      </c>
      <c r="C36" s="2689">
        <v>187</v>
      </c>
      <c r="D36" s="2689">
        <f t="shared" si="15"/>
        <v>187</v>
      </c>
      <c r="E36" s="2689">
        <v>301</v>
      </c>
      <c r="F36" s="2690">
        <v>168</v>
      </c>
      <c r="G36" s="3524">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2615</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25">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2616</v>
      </c>
      <c r="B38" s="2697">
        <f t="shared" si="31"/>
        <v>210.630522469011</v>
      </c>
      <c r="C38" s="2697">
        <f t="shared" si="31"/>
        <v>181.69567812247232</v>
      </c>
      <c r="D38" s="2697">
        <f t="shared" si="15"/>
        <v>181.69567812247232</v>
      </c>
      <c r="E38" s="2697">
        <f t="shared" si="32"/>
        <v>286.13517466736738</v>
      </c>
      <c r="F38" s="2697">
        <f t="shared" si="32"/>
        <v>165.47535084591149</v>
      </c>
      <c r="G38" s="3525">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2617</v>
      </c>
      <c r="B39" s="2697">
        <f t="shared" si="31"/>
        <v>208.83454537875372</v>
      </c>
      <c r="C39" s="2697">
        <f t="shared" si="31"/>
        <v>183.77230517090351</v>
      </c>
      <c r="D39" s="2697">
        <f t="shared" si="15"/>
        <v>183.77230517090351</v>
      </c>
      <c r="E39" s="2697">
        <f t="shared" si="32"/>
        <v>281.10342338870947</v>
      </c>
      <c r="F39" s="2697">
        <f t="shared" si="32"/>
        <v>168.97309388942256</v>
      </c>
      <c r="G39" s="3526">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2618</v>
      </c>
      <c r="B40" s="2731">
        <v>214</v>
      </c>
      <c r="C40" s="2731">
        <v>188</v>
      </c>
      <c r="D40" s="2731">
        <f t="shared" si="15"/>
        <v>188</v>
      </c>
      <c r="E40" s="2731">
        <v>289</v>
      </c>
      <c r="F40" s="2732">
        <v>166</v>
      </c>
      <c r="G40" s="3524">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2619</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25">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2620</v>
      </c>
      <c r="B42" s="2697">
        <f t="shared" si="33"/>
        <v>206.31694671589116</v>
      </c>
      <c r="C42" s="2697">
        <f t="shared" si="33"/>
        <v>183.61041121036101</v>
      </c>
      <c r="D42" s="2697">
        <f t="shared" si="15"/>
        <v>183.61041121036101</v>
      </c>
      <c r="E42" s="2697">
        <f t="shared" si="34"/>
        <v>276.66850301795557</v>
      </c>
      <c r="F42" s="2697">
        <f t="shared" si="34"/>
        <v>165.1360938278614</v>
      </c>
      <c r="G42" s="3525">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2621</v>
      </c>
      <c r="B43" s="2734">
        <f t="shared" si="33"/>
        <v>196.62341248059772</v>
      </c>
      <c r="C43" s="2734">
        <f t="shared" si="33"/>
        <v>170.99125648199012</v>
      </c>
      <c r="D43" s="2734">
        <f t="shared" si="15"/>
        <v>170.99125648199012</v>
      </c>
      <c r="E43" s="2734">
        <f t="shared" si="34"/>
        <v>266.07857570490052</v>
      </c>
      <c r="F43" s="2734">
        <f t="shared" si="34"/>
        <v>154.53499328828505</v>
      </c>
      <c r="G43" s="3526">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2622</v>
      </c>
      <c r="B44" s="2689">
        <v>188</v>
      </c>
      <c r="C44" s="2689">
        <v>165</v>
      </c>
      <c r="D44" s="2689">
        <f t="shared" si="15"/>
        <v>165</v>
      </c>
      <c r="E44" s="2689">
        <v>254</v>
      </c>
      <c r="F44" s="2690">
        <v>148</v>
      </c>
      <c r="G44" s="3524">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2623</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25">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2624</v>
      </c>
      <c r="B46" s="2697">
        <f t="shared" si="37"/>
        <v>168.82017748715555</v>
      </c>
      <c r="C46" s="2697">
        <f t="shared" si="37"/>
        <v>148.06267029972753</v>
      </c>
      <c r="D46" s="2697">
        <f t="shared" si="15"/>
        <v>148.06267029972753</v>
      </c>
      <c r="E46" s="2697">
        <f t="shared" si="38"/>
        <v>216.46288379323747</v>
      </c>
      <c r="F46" s="2697">
        <f t="shared" si="38"/>
        <v>134.23529411764704</v>
      </c>
      <c r="G46" s="3525">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2625</v>
      </c>
      <c r="B47" s="2697">
        <f t="shared" si="37"/>
        <v>163.84913591779542</v>
      </c>
      <c r="C47" s="2697">
        <f t="shared" si="37"/>
        <v>145.0283378746594</v>
      </c>
      <c r="D47" s="2697">
        <f t="shared" si="15"/>
        <v>145.0283378746594</v>
      </c>
      <c r="E47" s="2697">
        <f t="shared" si="38"/>
        <v>204.95180722891567</v>
      </c>
      <c r="F47" s="2697">
        <f t="shared" si="38"/>
        <v>125.95920303605313</v>
      </c>
      <c r="G47" s="3526">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2626</v>
      </c>
      <c r="B48" s="2710">
        <v>159</v>
      </c>
      <c r="C48" s="2710">
        <v>141</v>
      </c>
      <c r="D48" s="2710">
        <f t="shared" si="15"/>
        <v>141</v>
      </c>
      <c r="E48" s="2710">
        <v>195</v>
      </c>
      <c r="F48" s="2711">
        <v>122</v>
      </c>
      <c r="G48" s="3524">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2627</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25">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2628</v>
      </c>
      <c r="B50" s="2697">
        <f t="shared" si="41"/>
        <v>146.57412060301507</v>
      </c>
      <c r="C50" s="2697">
        <f t="shared" si="41"/>
        <v>136.46831955922866</v>
      </c>
      <c r="D50" s="2697">
        <f t="shared" si="15"/>
        <v>136.46831955922866</v>
      </c>
      <c r="E50" s="2697">
        <f t="shared" si="42"/>
        <v>166.73864894795128</v>
      </c>
      <c r="F50" s="2697">
        <f t="shared" si="42"/>
        <v>115.05882352941177</v>
      </c>
      <c r="G50" s="3525">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2629</v>
      </c>
      <c r="B51" s="2697">
        <f t="shared" si="41"/>
        <v>144.04145728643215</v>
      </c>
      <c r="C51" s="2697">
        <f t="shared" si="41"/>
        <v>136.12396694214877</v>
      </c>
      <c r="D51" s="2697">
        <f t="shared" si="15"/>
        <v>136.12396694214877</v>
      </c>
      <c r="E51" s="2697">
        <f t="shared" si="42"/>
        <v>158.32225913621264</v>
      </c>
      <c r="F51" s="2697">
        <f t="shared" si="42"/>
        <v>114.04278074866311</v>
      </c>
      <c r="G51" s="3526">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2630</v>
      </c>
      <c r="B52" s="2710">
        <v>138</v>
      </c>
      <c r="C52" s="2710">
        <v>131</v>
      </c>
      <c r="D52" s="2710">
        <f t="shared" si="15"/>
        <v>131</v>
      </c>
      <c r="E52" s="2710">
        <v>155</v>
      </c>
      <c r="F52" s="2711">
        <v>114</v>
      </c>
      <c r="G52" s="3524">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2631</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25">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2632</v>
      </c>
      <c r="B54" s="2697">
        <f t="shared" si="45"/>
        <v>124.29032258064517</v>
      </c>
      <c r="C54" s="2697">
        <f t="shared" si="45"/>
        <v>123.8968609865471</v>
      </c>
      <c r="D54" s="2697">
        <f t="shared" si="15"/>
        <v>123.8968609865471</v>
      </c>
      <c r="E54" s="2697">
        <f t="shared" si="46"/>
        <v>138.00507614213197</v>
      </c>
      <c r="F54" s="2697">
        <f t="shared" si="46"/>
        <v>107.96106557377048</v>
      </c>
      <c r="G54" s="3525">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2633</v>
      </c>
      <c r="B55" s="2697">
        <f t="shared" si="45"/>
        <v>122.57204301075269</v>
      </c>
      <c r="C55" s="2697">
        <f t="shared" si="45"/>
        <v>123.4932735426009</v>
      </c>
      <c r="D55" s="2697">
        <f t="shared" si="15"/>
        <v>123.4932735426009</v>
      </c>
      <c r="E55" s="2697">
        <f t="shared" si="46"/>
        <v>129.82233502538071</v>
      </c>
      <c r="F55" s="2697">
        <f t="shared" si="46"/>
        <v>107.39446721311475</v>
      </c>
      <c r="G55" s="3526">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2634</v>
      </c>
      <c r="B56" s="2731">
        <v>121</v>
      </c>
      <c r="C56" s="2731">
        <v>122</v>
      </c>
      <c r="D56" s="2731">
        <f t="shared" si="15"/>
        <v>122</v>
      </c>
      <c r="E56" s="2731">
        <v>124</v>
      </c>
      <c r="F56" s="2732">
        <v>107</v>
      </c>
      <c r="G56" s="3524">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2635</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25">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2636</v>
      </c>
      <c r="B58" s="2697">
        <f t="shared" si="49"/>
        <v>116.99099099099099</v>
      </c>
      <c r="C58" s="2697">
        <f t="shared" si="49"/>
        <v>118.84848484848486</v>
      </c>
      <c r="D58" s="2697">
        <f t="shared" si="15"/>
        <v>118.84848484848486</v>
      </c>
      <c r="E58" s="2697">
        <f t="shared" si="50"/>
        <v>117.60960960960961</v>
      </c>
      <c r="F58" s="2697">
        <f t="shared" si="50"/>
        <v>104</v>
      </c>
      <c r="G58" s="3525">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2637</v>
      </c>
      <c r="B59" s="2734">
        <f t="shared" si="49"/>
        <v>112.48648648648648</v>
      </c>
      <c r="C59" s="2734">
        <f t="shared" si="49"/>
        <v>115.21212121212122</v>
      </c>
      <c r="D59" s="2734">
        <f t="shared" si="15"/>
        <v>115.21212121212122</v>
      </c>
      <c r="E59" s="2734">
        <f t="shared" si="50"/>
        <v>110.4024024024024</v>
      </c>
      <c r="F59" s="2734">
        <f t="shared" si="50"/>
        <v>104</v>
      </c>
      <c r="G59" s="3526">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2638</v>
      </c>
      <c r="B60" s="2752">
        <v>111</v>
      </c>
      <c r="C60" s="2752">
        <v>114</v>
      </c>
      <c r="D60" s="2752">
        <f t="shared" si="15"/>
        <v>114</v>
      </c>
      <c r="E60" s="2752">
        <v>108</v>
      </c>
      <c r="F60" s="2753">
        <v>104</v>
      </c>
      <c r="G60" s="3524">
        <v>2003</v>
      </c>
      <c r="H60" s="2742">
        <v>4</v>
      </c>
      <c r="I60" s="2754"/>
      <c r="J60" s="2754"/>
      <c r="K60" s="2754"/>
      <c r="L60" s="2754"/>
      <c r="N60" s="2755"/>
      <c r="O60" s="2754"/>
      <c r="P60" s="2754"/>
      <c r="Q60" s="2754"/>
      <c r="S60" s="2755"/>
      <c r="T60" s="2754"/>
      <c r="U60" s="2754"/>
      <c r="V60" s="2754"/>
      <c r="X60" s="2746"/>
      <c r="Y60" s="2746"/>
      <c r="Z60" s="2746"/>
    </row>
    <row r="61" spans="1:26">
      <c r="A61" s="2676" t="s">
        <v>2639</v>
      </c>
      <c r="B61" s="2756">
        <f t="shared" ref="B61:C63" si="51">B62+(B$60-B$64)/4</f>
        <v>109.75</v>
      </c>
      <c r="C61" s="2756">
        <f t="shared" si="51"/>
        <v>112.25</v>
      </c>
      <c r="D61" s="2756">
        <f t="shared" si="15"/>
        <v>112.25</v>
      </c>
      <c r="E61" s="2756">
        <f t="shared" ref="E61:F63" si="52">E62+(E$60-E$64)/4</f>
        <v>107.25</v>
      </c>
      <c r="F61" s="2756">
        <f t="shared" si="52"/>
        <v>103.5</v>
      </c>
      <c r="G61" s="3525">
        <v>2003</v>
      </c>
      <c r="H61" s="2707">
        <v>3</v>
      </c>
      <c r="I61" s="2754"/>
      <c r="J61" s="2754"/>
      <c r="K61" s="2754"/>
      <c r="L61" s="2754"/>
      <c r="X61" s="2746"/>
      <c r="Y61" s="2746"/>
      <c r="Z61" s="2746"/>
    </row>
    <row r="62" spans="1:26">
      <c r="A62" s="2676" t="s">
        <v>2640</v>
      </c>
      <c r="B62" s="2756">
        <f t="shared" si="51"/>
        <v>108.5</v>
      </c>
      <c r="C62" s="2756">
        <f t="shared" si="51"/>
        <v>110.5</v>
      </c>
      <c r="D62" s="2756">
        <f t="shared" si="15"/>
        <v>110.5</v>
      </c>
      <c r="E62" s="2756">
        <f t="shared" si="52"/>
        <v>106.5</v>
      </c>
      <c r="F62" s="2756">
        <f t="shared" si="52"/>
        <v>103</v>
      </c>
      <c r="G62" s="3525">
        <v>2003</v>
      </c>
      <c r="H62" s="2682">
        <v>2</v>
      </c>
      <c r="I62" s="2754"/>
      <c r="J62" s="2754"/>
      <c r="K62" s="2754"/>
      <c r="L62" s="2754"/>
      <c r="X62" s="2746"/>
      <c r="Y62" s="2746"/>
      <c r="Z62" s="2746"/>
    </row>
    <row r="63" spans="1:26" ht="13.5" thickBot="1">
      <c r="A63" s="2676" t="s">
        <v>2641</v>
      </c>
      <c r="B63" s="2756">
        <f t="shared" si="51"/>
        <v>107.25</v>
      </c>
      <c r="C63" s="2756">
        <f t="shared" si="51"/>
        <v>108.75</v>
      </c>
      <c r="D63" s="2756">
        <f t="shared" si="15"/>
        <v>108.75</v>
      </c>
      <c r="E63" s="2756">
        <f t="shared" si="52"/>
        <v>105.75</v>
      </c>
      <c r="F63" s="2756">
        <f t="shared" si="52"/>
        <v>102.5</v>
      </c>
      <c r="G63" s="3526">
        <v>2003</v>
      </c>
      <c r="H63" s="2757">
        <v>1</v>
      </c>
      <c r="I63" s="2754"/>
      <c r="J63" s="2754"/>
      <c r="K63" s="2754"/>
      <c r="L63" s="2754"/>
      <c r="S63" s="2692"/>
      <c r="T63" s="2693"/>
      <c r="U63" s="2693"/>
      <c r="X63" s="2746"/>
      <c r="Y63" s="2746"/>
      <c r="Z63" s="2746"/>
    </row>
    <row r="64" spans="1:26" ht="13.5" thickBot="1">
      <c r="A64" s="2676" t="s">
        <v>2642</v>
      </c>
      <c r="B64" s="2758">
        <v>106</v>
      </c>
      <c r="C64" s="2758">
        <v>107</v>
      </c>
      <c r="D64" s="2758">
        <f t="shared" si="15"/>
        <v>107</v>
      </c>
      <c r="E64" s="2758">
        <v>105</v>
      </c>
      <c r="F64" s="2759">
        <v>102</v>
      </c>
      <c r="G64" s="3524">
        <v>2002</v>
      </c>
      <c r="H64" s="2702">
        <v>4</v>
      </c>
      <c r="I64" s="2754"/>
      <c r="J64" s="2754"/>
      <c r="K64" s="2754"/>
      <c r="L64" s="2754"/>
      <c r="N64" s="2755"/>
      <c r="O64" s="2754"/>
      <c r="P64" s="2754"/>
      <c r="Q64" s="2754"/>
      <c r="S64" s="2755"/>
      <c r="T64" s="2754"/>
      <c r="U64" s="2754"/>
      <c r="V64" s="2754"/>
      <c r="X64" s="2746"/>
      <c r="Y64" s="2746"/>
      <c r="Z64" s="2746"/>
    </row>
    <row r="65" spans="1:26">
      <c r="A65" s="2676" t="s">
        <v>2643</v>
      </c>
      <c r="B65" s="2756">
        <f t="shared" ref="B65:C67" si="53">B66+(B$64-B$68)/4</f>
        <v>105</v>
      </c>
      <c r="C65" s="2756">
        <f t="shared" si="53"/>
        <v>106</v>
      </c>
      <c r="D65" s="2756">
        <f t="shared" si="15"/>
        <v>106</v>
      </c>
      <c r="E65" s="2756">
        <f t="shared" ref="E65:F67" si="54">E66+(E$64-E$68)/4</f>
        <v>104.5</v>
      </c>
      <c r="F65" s="2756">
        <f t="shared" si="54"/>
        <v>101.5</v>
      </c>
      <c r="G65" s="3525">
        <v>2002</v>
      </c>
      <c r="H65" s="2707">
        <v>3</v>
      </c>
      <c r="I65" s="2754"/>
      <c r="J65" s="2754"/>
      <c r="K65" s="2754"/>
      <c r="L65" s="2754"/>
      <c r="X65" s="2746"/>
      <c r="Y65" s="2746"/>
      <c r="Z65" s="2746"/>
    </row>
    <row r="66" spans="1:26">
      <c r="A66" s="2676" t="s">
        <v>2644</v>
      </c>
      <c r="B66" s="2756">
        <f t="shared" si="53"/>
        <v>104</v>
      </c>
      <c r="C66" s="2756">
        <f t="shared" si="53"/>
        <v>105</v>
      </c>
      <c r="D66" s="2756">
        <f t="shared" si="15"/>
        <v>105</v>
      </c>
      <c r="E66" s="2756">
        <f t="shared" si="54"/>
        <v>104</v>
      </c>
      <c r="F66" s="2756">
        <f t="shared" si="54"/>
        <v>101</v>
      </c>
      <c r="G66" s="3525">
        <v>2002</v>
      </c>
      <c r="H66" s="2682">
        <v>2</v>
      </c>
      <c r="I66" s="2754"/>
      <c r="J66" s="2754"/>
      <c r="K66" s="2754"/>
      <c r="L66" s="2754"/>
      <c r="X66" s="2746"/>
      <c r="Y66" s="2746"/>
      <c r="Z66" s="2746"/>
    </row>
    <row r="67" spans="1:26" s="2718" customFormat="1" ht="13.5" thickBot="1">
      <c r="A67" s="2714" t="s">
        <v>2645</v>
      </c>
      <c r="B67" s="2760">
        <f t="shared" si="53"/>
        <v>103</v>
      </c>
      <c r="C67" s="2760">
        <f t="shared" si="53"/>
        <v>104</v>
      </c>
      <c r="D67" s="2760">
        <f t="shared" si="15"/>
        <v>104</v>
      </c>
      <c r="E67" s="2760">
        <f t="shared" si="54"/>
        <v>103.5</v>
      </c>
      <c r="F67" s="2760">
        <f t="shared" si="54"/>
        <v>100.5</v>
      </c>
      <c r="G67" s="3526">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2646</v>
      </c>
      <c r="G70" s="2770"/>
      <c r="N70" s="2770"/>
      <c r="S70" s="2770"/>
    </row>
    <row r="71" spans="1:26" s="2769" customFormat="1">
      <c r="A71" s="2769" t="s">
        <v>2647</v>
      </c>
      <c r="G71" s="2770"/>
      <c r="N71" s="2770"/>
      <c r="S71" s="2770"/>
    </row>
    <row r="72" spans="1:26" s="2769" customFormat="1">
      <c r="A72" s="2769" t="s">
        <v>2648</v>
      </c>
      <c r="G72" s="2770"/>
      <c r="I72" s="2771"/>
      <c r="J72" s="2771"/>
      <c r="K72" s="2771"/>
      <c r="L72" s="2771"/>
      <c r="N72" s="2772"/>
      <c r="O72" s="2771"/>
      <c r="P72" s="2771"/>
      <c r="Q72" s="2771"/>
      <c r="S72" s="2772"/>
      <c r="T72" s="2771"/>
      <c r="U72" s="2771"/>
      <c r="V72" s="2771"/>
    </row>
    <row r="73" spans="1:26" s="2769" customFormat="1">
      <c r="A73" s="2769" t="s">
        <v>2649</v>
      </c>
      <c r="G73" s="2770"/>
      <c r="N73" s="2770"/>
      <c r="S73" s="2770"/>
    </row>
    <row r="80" spans="1:26" ht="13.5" thickBot="1"/>
    <row r="81" spans="14:22" s="2691" customFormat="1">
      <c r="N81" s="2706"/>
      <c r="S81" s="2773" t="s">
        <v>2650</v>
      </c>
      <c r="T81" s="2774" t="s">
        <v>2651</v>
      </c>
      <c r="U81" s="2774" t="s">
        <v>2652</v>
      </c>
      <c r="V81" s="2774" t="s">
        <v>2653</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2767</v>
      </c>
      <c r="C1" s="2987">
        <f>项目基本情况!D2</f>
        <v>42992</v>
      </c>
      <c r="D1" s="2982" t="s">
        <v>2768</v>
      </c>
      <c r="E1" s="2988">
        <f>'数据-取费表'!B23</f>
        <v>1.5</v>
      </c>
      <c r="F1" s="2982" t="s">
        <v>2769</v>
      </c>
      <c r="G1" s="2989">
        <f ca="1">INDIRECT("d"&amp;$K$1)/100</f>
        <v>4.7500000000000001E-2</v>
      </c>
      <c r="H1" s="2982" t="s">
        <v>2799</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2770</v>
      </c>
      <c r="E2" s="2924"/>
      <c r="F2" s="2924" t="s">
        <v>2771</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2772</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2773</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2774</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2775</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2776</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2777</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2778</v>
      </c>
      <c r="C10" s="2952"/>
      <c r="D10" s="2952"/>
      <c r="E10" s="2952"/>
      <c r="F10" s="2952"/>
      <c r="G10" s="2952"/>
      <c r="H10" s="2952"/>
      <c r="I10" s="2926"/>
      <c r="J10" s="2926"/>
      <c r="K10" s="2952"/>
      <c r="L10" s="2953" t="s">
        <v>2779</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2780</v>
      </c>
      <c r="C11" s="2957" t="s">
        <v>2781</v>
      </c>
      <c r="D11" s="2958" t="s">
        <v>2782</v>
      </c>
      <c r="E11" s="2959"/>
      <c r="F11" s="2958" t="s">
        <v>2783</v>
      </c>
      <c r="G11" s="2960"/>
      <c r="H11" s="2959"/>
      <c r="I11" s="2958" t="s">
        <v>2784</v>
      </c>
      <c r="J11" s="2959"/>
      <c r="K11" s="2955"/>
      <c r="L11" s="2956" t="s">
        <v>2780</v>
      </c>
      <c r="M11" s="2957" t="s">
        <v>2781</v>
      </c>
      <c r="N11" s="2956" t="s">
        <v>2785</v>
      </c>
      <c r="O11" s="2958" t="s">
        <v>2786</v>
      </c>
      <c r="P11" s="2960"/>
      <c r="Q11" s="2960"/>
      <c r="R11" s="2960"/>
      <c r="S11" s="2960"/>
      <c r="T11" s="2959"/>
      <c r="U11" s="2958" t="s">
        <v>2787</v>
      </c>
      <c r="V11" s="2960"/>
      <c r="W11" s="2959"/>
      <c r="X11" s="2956" t="s">
        <v>2788</v>
      </c>
      <c r="Y11" s="2956" t="s">
        <v>2789</v>
      </c>
      <c r="Z11" s="2956" t="s">
        <v>2790</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2791</v>
      </c>
      <c r="E12" s="2965" t="s">
        <v>2792</v>
      </c>
      <c r="F12" s="2965" t="s">
        <v>2793</v>
      </c>
      <c r="G12" s="2965" t="s">
        <v>2794</v>
      </c>
      <c r="H12" s="2965" t="s">
        <v>2776</v>
      </c>
      <c r="I12" s="2966" t="s">
        <v>2795</v>
      </c>
      <c r="J12" s="2966" t="s">
        <v>2795</v>
      </c>
      <c r="K12" s="2962"/>
      <c r="L12" s="2963"/>
      <c r="M12" s="2964"/>
      <c r="N12" s="2963"/>
      <c r="O12" s="2966" t="s">
        <v>2796</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2797</v>
      </c>
      <c r="C13" s="2970">
        <v>42301</v>
      </c>
      <c r="D13" s="2971">
        <v>4.3499999999999996</v>
      </c>
      <c r="E13" s="2971">
        <v>4.3499999999999996</v>
      </c>
      <c r="F13" s="2971">
        <v>4.75</v>
      </c>
      <c r="G13" s="2971">
        <v>4.75</v>
      </c>
      <c r="H13" s="2971">
        <v>4.9000000000000004</v>
      </c>
      <c r="I13" s="2971">
        <v>2.75</v>
      </c>
      <c r="J13" s="2971">
        <v>3.25</v>
      </c>
      <c r="K13" s="2968"/>
      <c r="L13" s="2969" t="s">
        <v>2797</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2798</v>
      </c>
      <c r="Y42" s="2975" t="s">
        <v>2798</v>
      </c>
      <c r="Z42" s="2975" t="s">
        <v>2798</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2798</v>
      </c>
      <c r="Y43" s="2975" t="s">
        <v>2798</v>
      </c>
      <c r="Z43" s="2975" t="s">
        <v>2798</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2798</v>
      </c>
      <c r="Y44" s="2975" t="s">
        <v>2798</v>
      </c>
      <c r="Z44" s="2975" t="s">
        <v>2798</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2798</v>
      </c>
      <c r="Y45" s="2975" t="s">
        <v>2798</v>
      </c>
      <c r="Z45" s="2975" t="s">
        <v>2798</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2798</v>
      </c>
      <c r="Y46" s="2975" t="s">
        <v>2798</v>
      </c>
      <c r="Z46" s="2975" t="s">
        <v>2798</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2798</v>
      </c>
      <c r="Y47" s="2975" t="s">
        <v>2798</v>
      </c>
      <c r="Z47" s="2975" t="s">
        <v>2798</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2798</v>
      </c>
      <c r="Y48" s="2975" t="s">
        <v>2798</v>
      </c>
      <c r="Z48" s="2975" t="s">
        <v>2798</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2798</v>
      </c>
      <c r="Y49" s="2975" t="s">
        <v>2798</v>
      </c>
      <c r="Z49" s="2975" t="s">
        <v>2798</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2798</v>
      </c>
      <c r="Y50" s="2975" t="s">
        <v>2798</v>
      </c>
      <c r="Z50" s="2975" t="s">
        <v>2798</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2798</v>
      </c>
      <c r="V51" s="2975" t="s">
        <v>2798</v>
      </c>
      <c r="W51" s="2975" t="s">
        <v>2798</v>
      </c>
      <c r="X51" s="2975" t="s">
        <v>2798</v>
      </c>
      <c r="Y51" s="2975" t="s">
        <v>2798</v>
      </c>
      <c r="Z51" s="2975" t="s">
        <v>2798</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2798</v>
      </c>
      <c r="J55" s="2975" t="s">
        <v>2798</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1960</v>
      </c>
      <c r="B1" s="1305"/>
      <c r="C1" s="1305"/>
      <c r="D1" s="1305"/>
      <c r="E1" s="1305"/>
    </row>
    <row r="2" spans="1:5" ht="78.75" customHeight="1">
      <c r="A2" s="31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40"/>
      <c r="C2" s="3140"/>
      <c r="D2" s="3140"/>
      <c r="E2" s="3140"/>
    </row>
    <row r="3" spans="1:5" ht="13.5" customHeight="1">
      <c r="A3" s="1863"/>
      <c r="B3" s="1863"/>
      <c r="C3" s="1863"/>
      <c r="D3" s="1863"/>
      <c r="E3" s="1863"/>
    </row>
    <row r="4" spans="1:5" ht="19.5" thickBot="1">
      <c r="A4" s="3141" t="str">
        <f>IF(项目基本情况!D5="房地产市场价值","估价结果一览表（市场价值不需本页表格)","估价结果一览表")</f>
        <v>估价结果一览表</v>
      </c>
      <c r="B4" s="3141"/>
      <c r="C4" s="3141"/>
      <c r="D4" s="3141"/>
      <c r="E4" s="3141"/>
    </row>
    <row r="5" spans="1:5" ht="14.25" customHeight="1" thickTop="1">
      <c r="A5" s="1305"/>
      <c r="B5" s="1792" t="s">
        <v>1860</v>
      </c>
      <c r="C5" s="3142" t="s">
        <v>1967</v>
      </c>
      <c r="D5" s="3143"/>
      <c r="E5" s="1305"/>
    </row>
    <row r="6" spans="1:5" ht="15.75">
      <c r="A6" s="1305"/>
      <c r="B6" s="2027" t="str">
        <f>项目基本情况!I1</f>
        <v>北京市海淀区车公庄西路乙19号房地产</v>
      </c>
      <c r="C6" s="3144">
        <f>项目基本情况!C12</f>
        <v>123.8</v>
      </c>
      <c r="D6" s="3144"/>
      <c r="E6" s="1305"/>
    </row>
    <row r="7" spans="1:5" ht="15.75">
      <c r="A7" s="1305"/>
      <c r="B7" s="3138" t="s">
        <v>1985</v>
      </c>
      <c r="C7" s="1770" t="str">
        <f>IF('数据-取费表'!B3="万元","总价（万元）","总价（元）")</f>
        <v>总价（万元）</v>
      </c>
      <c r="D7" s="3065">
        <f ca="1">IF('数据-取费表'!E3="否",结果表!I102,'结果表 (1修多)'!I103)</f>
        <v>516</v>
      </c>
      <c r="E7" s="1305"/>
    </row>
    <row r="8" spans="1:5" ht="15.75">
      <c r="A8" s="1305"/>
      <c r="B8" s="3138"/>
      <c r="C8" s="2811" t="s">
        <v>2740</v>
      </c>
      <c r="D8" s="3102" t="str">
        <f ca="1">IF('数据-取费表'!B3="万元",NUMBERSTRING(INT(D7*10000),2)&amp;"元整",NUMBERSTRING(INT(D7),2)&amp;"元整")</f>
        <v>伍佰壹拾陆万元整</v>
      </c>
      <c r="E8" s="1305"/>
    </row>
    <row r="9" spans="1:5" ht="15.75">
      <c r="A9" s="1305"/>
      <c r="B9" s="3138"/>
      <c r="C9" s="1771" t="s">
        <v>1968</v>
      </c>
      <c r="D9" s="3065">
        <f ca="1">IF('数据-取费表'!E3="否",结果表!I103,'结果表 (1修多)'!I104)</f>
        <v>41680</v>
      </c>
      <c r="E9" s="1305"/>
    </row>
    <row r="10" spans="1:5" ht="15.75">
      <c r="A10" s="1305"/>
      <c r="B10" s="3145" t="str">
        <f>IF('数据-取费表'!E3="否",结果表!F105,'结果表 (1修多)'!F106)</f>
        <v>2.估价师所知悉的法定优先受偿款</v>
      </c>
      <c r="C10" s="1772" t="str">
        <f>IF('数据-取费表'!B3="万元","总额（万元）","总额（元）")</f>
        <v>总额（万元）</v>
      </c>
      <c r="D10" s="3065">
        <f>IF('数据-取费表'!E3="否",结果表!I105,'结果表 (1修多)'!I106)</f>
        <v>0</v>
      </c>
      <c r="E10" s="1305"/>
    </row>
    <row r="11" spans="1:5" ht="14.25">
      <c r="A11" s="1305"/>
      <c r="B11" s="3145"/>
      <c r="C11" s="2811" t="s">
        <v>2740</v>
      </c>
      <c r="D11" s="3064" t="str">
        <f>IF('数据-取费表'!B3="万元",NUMBERSTRING(INT(D10*10000),2)&amp;"元整",NUMBERSTRING(INT(D10),2)&amp;"元整")</f>
        <v>零元整</v>
      </c>
      <c r="E11" s="1305"/>
    </row>
    <row r="12" spans="1:5" ht="15">
      <c r="A12" s="1305"/>
      <c r="B12" s="3072" t="s">
        <v>1863</v>
      </c>
      <c r="C12" s="1773" t="str">
        <f>C10</f>
        <v>总额（万元）</v>
      </c>
      <c r="D12" s="1765">
        <f>IF('数据-取费表'!E3="否",结果表!I106,'结果表 (1修多)'!I107)</f>
        <v>0</v>
      </c>
      <c r="E12" s="1305"/>
    </row>
    <row r="13" spans="1:5" ht="15">
      <c r="A13" s="1305"/>
      <c r="B13" s="3072" t="s">
        <v>1864</v>
      </c>
      <c r="C13" s="1773" t="str">
        <f>C10</f>
        <v>总额（万元）</v>
      </c>
      <c r="D13" s="1765">
        <f>IF('数据-取费表'!E3="否",结果表!I107,'结果表 (1修多)'!I108)</f>
        <v>0</v>
      </c>
      <c r="E13" s="1305"/>
    </row>
    <row r="14" spans="1:5" ht="15">
      <c r="A14" s="1305"/>
      <c r="B14" s="3072" t="s">
        <v>1865</v>
      </c>
      <c r="C14" s="1773" t="str">
        <f>C10</f>
        <v>总额（万元）</v>
      </c>
      <c r="D14" s="1765">
        <f>IF('数据-取费表'!E3="否",结果表!I108,'结果表 (1修多)'!I109)</f>
        <v>0</v>
      </c>
      <c r="E14" s="1305"/>
    </row>
    <row r="15" spans="1:5" ht="15.75">
      <c r="A15" s="1305"/>
      <c r="B15" s="3145" t="str">
        <f>IF('数据-取费表'!E3="否",结果表!F110,'结果表 (1修多)'!F111)</f>
        <v>——</v>
      </c>
      <c r="C15" s="3073" t="str">
        <f>C7</f>
        <v>总价（万元）</v>
      </c>
      <c r="D15" s="3065" t="str">
        <f>IF('数据-取费表'!E3="否",结果表!I110,'结果表 (1修多)'!I111)</f>
        <v>——</v>
      </c>
      <c r="E15" s="1305"/>
    </row>
    <row r="16" spans="1:5" ht="15.75">
      <c r="A16" s="1305"/>
      <c r="B16" s="3145"/>
      <c r="C16" s="2811" t="s">
        <v>2740</v>
      </c>
      <c r="D16" s="3071" t="e">
        <f>IF('数据-取费表'!B3="万元",NUMBERSTRING(INT(D15*10000),2)&amp;"元整",NUMBERSTRING(INT(D15),2)&amp;"元整")</f>
        <v>#VALUE!</v>
      </c>
      <c r="E16" s="1305"/>
    </row>
    <row r="17" spans="1:5" ht="15.75">
      <c r="A17" s="1305"/>
      <c r="B17" s="3145"/>
      <c r="C17" s="1771" t="s">
        <v>1968</v>
      </c>
      <c r="D17" s="3065" t="e">
        <f ca="1">IF('数据-取费表'!E3="否",结果表!I111,'结果表 (1修多)'!I112)</f>
        <v>#VALUE!</v>
      </c>
      <c r="E17" s="1305"/>
    </row>
    <row r="18" spans="1:5" ht="15.75">
      <c r="A18" s="1305"/>
      <c r="B18" s="3145" t="str">
        <f>IF('数据-取费表'!E3="否",结果表!F112,'结果表 (1修多)'!F113)</f>
        <v>3.抵押担保权已注销时的房地产抵押价值</v>
      </c>
      <c r="C18" s="3073" t="str">
        <f>C7</f>
        <v>总价（万元）</v>
      </c>
      <c r="D18" s="3065">
        <f ca="1">IF('数据-取费表'!E3="否",结果表!I112,'结果表 (1修多)'!I113)</f>
        <v>516</v>
      </c>
      <c r="E18" s="1305"/>
    </row>
    <row r="19" spans="1:5" ht="14.25">
      <c r="A19" s="1305"/>
      <c r="B19" s="3145"/>
      <c r="C19" s="2811" t="s">
        <v>2740</v>
      </c>
      <c r="D19" s="3066" t="str">
        <f ca="1">IF('数据-取费表'!B3="万元",NUMBERSTRING(INT(D18*10000),2)&amp;"元整",NUMBERSTRING(INT(D18),2)&amp;"元整")</f>
        <v>伍佰壹拾陆万元整</v>
      </c>
      <c r="E19" s="1305"/>
    </row>
    <row r="20" spans="1:5" ht="15.75">
      <c r="A20" s="1305"/>
      <c r="B20" s="3145"/>
      <c r="C20" s="1771" t="s">
        <v>1968</v>
      </c>
      <c r="D20" s="3065">
        <f ca="1">IF('数据-取费表'!E3="否",结果表!I113,'结果表 (1修多)'!I114)</f>
        <v>41680</v>
      </c>
      <c r="E20" s="1305"/>
    </row>
    <row r="21" spans="1:5" ht="15.75">
      <c r="A21" s="1305"/>
      <c r="B21" s="3138" t="str">
        <f>IF('数据-取费表'!E3="否",结果表!F114,'结果表 (1修多)'!F115)</f>
        <v>——</v>
      </c>
      <c r="C21" s="1770" t="str">
        <f>C7</f>
        <v>总价（万元）</v>
      </c>
      <c r="D21" s="3065" t="str">
        <f>IF('数据-取费表'!E3="否",结果表!I114,'结果表 (1修多)'!I115)</f>
        <v>——</v>
      </c>
      <c r="E21" s="1305"/>
    </row>
    <row r="22" spans="1:5" ht="14.25">
      <c r="A22" s="1305"/>
      <c r="B22" s="3138"/>
      <c r="C22" s="2811" t="s">
        <v>2740</v>
      </c>
      <c r="D22" s="3064" t="e">
        <f>IF('数据-取费表'!B3="万元",NUMBERSTRING(INT(D21*10000),2)&amp;"元整",NUMBERSTRING(INT(D21),2)&amp;"元整")</f>
        <v>#VALUE!</v>
      </c>
      <c r="E22" s="1305"/>
    </row>
    <row r="23" spans="1:5" ht="15.75" thickBot="1">
      <c r="A23" s="1305"/>
      <c r="B23" s="3139"/>
      <c r="C23" s="1774" t="s">
        <v>1968</v>
      </c>
      <c r="D23" s="3074" t="e">
        <f ca="1">IF('数据-取费表'!E3="否",结果表!I115,'结果表 (1修多)'!I116)</f>
        <v>#VALUE!</v>
      </c>
      <c r="E23" s="1305"/>
    </row>
    <row r="24" spans="1:5" ht="14.25" thickTop="1">
      <c r="A24" s="1305"/>
      <c r="B24" s="1305"/>
      <c r="C24" s="1305"/>
      <c r="D24" s="1305"/>
      <c r="E24" s="1305"/>
    </row>
    <row r="25" spans="1:5" ht="18.75" customHeight="1" thickBot="1">
      <c r="A25" s="1305"/>
      <c r="B25" s="3130" t="s">
        <v>2717</v>
      </c>
      <c r="C25" s="3130"/>
      <c r="D25" s="3130"/>
      <c r="E25" s="1305"/>
    </row>
    <row r="26" spans="1:5" ht="18.75" customHeight="1" thickTop="1">
      <c r="A26" s="1305"/>
      <c r="B26" s="3133" t="s">
        <v>2739</v>
      </c>
      <c r="C26" s="3134"/>
      <c r="D26" s="3131" t="s">
        <v>2738</v>
      </c>
      <c r="E26" s="1305"/>
    </row>
    <row r="27" spans="1:5" ht="18.75" customHeight="1">
      <c r="A27" s="1305"/>
      <c r="B27" s="3135"/>
      <c r="C27" s="3136"/>
      <c r="D27" s="3132"/>
      <c r="E27" s="1305"/>
    </row>
    <row r="28" spans="1:5" ht="15.75">
      <c r="A28" s="1305"/>
      <c r="B28" s="3123" t="s">
        <v>1985</v>
      </c>
      <c r="C28" s="2829" t="s">
        <v>2741</v>
      </c>
      <c r="D28" s="2830">
        <f ca="1">IF('数据-取费表'!E3="否",结果表!I102,'结果表 (1修多)'!I103)</f>
        <v>516</v>
      </c>
      <c r="E28" s="1305"/>
    </row>
    <row r="29" spans="1:5" ht="14.25">
      <c r="A29" s="1305"/>
      <c r="B29" s="3124"/>
      <c r="C29" s="2831" t="s">
        <v>2740</v>
      </c>
      <c r="D29" s="2832" t="str">
        <f ca="1">IF('数据-取费表'!B3="万元",NUMBERSTRING(INT(D28*10000),2)&amp;"元整",NUMBERSTRING(INT(D28),2)&amp;"元整")</f>
        <v>伍佰壹拾陆万元整</v>
      </c>
      <c r="E29" s="1305"/>
    </row>
    <row r="30" spans="1:5" ht="15">
      <c r="A30" s="1305"/>
      <c r="B30" s="3125"/>
      <c r="C30" s="1771" t="s">
        <v>2743</v>
      </c>
      <c r="D30" s="2807">
        <f ca="1">IF('数据-取费表'!E3="否",结果表!I103,'结果表 (1修多)'!I104)</f>
        <v>41680</v>
      </c>
      <c r="E30" s="1305"/>
    </row>
    <row r="31" spans="1:5" ht="15.75">
      <c r="A31" s="1305"/>
      <c r="B31" s="3128" t="str">
        <f>B10</f>
        <v>2.估价师所知悉的法定优先受偿款</v>
      </c>
      <c r="C31" s="2810" t="s">
        <v>2742</v>
      </c>
      <c r="D31" s="2808">
        <f>IF('数据-取费表'!E3="否",结果表!I105,'结果表 (1修多)'!I106)</f>
        <v>0</v>
      </c>
      <c r="E31" s="1305"/>
    </row>
    <row r="32" spans="1:5" ht="14.25">
      <c r="A32" s="1305"/>
      <c r="B32" s="3137"/>
      <c r="C32" s="2831" t="s">
        <v>2740</v>
      </c>
      <c r="D32" s="2833" t="str">
        <f>IF('数据-取费表'!B3="万元",NUMBERSTRING(INT(D31*10000),2)&amp;"元整",NUMBERSTRING(INT(D31),2)&amp;"元整")</f>
        <v>零元整</v>
      </c>
      <c r="E32" s="1305"/>
    </row>
    <row r="33" spans="1:5" ht="15">
      <c r="A33" s="1305"/>
      <c r="B33" s="2811" t="s">
        <v>2714</v>
      </c>
      <c r="C33" s="2811" t="str">
        <f>C31</f>
        <v>总额</v>
      </c>
      <c r="D33" s="2807">
        <f>IF('数据-取费表'!E3="否",结果表!I106,'结果表 (1修多)'!I107)</f>
        <v>0</v>
      </c>
      <c r="E33" s="1305"/>
    </row>
    <row r="34" spans="1:5" ht="15">
      <c r="A34" s="1305"/>
      <c r="B34" s="2811" t="s">
        <v>2715</v>
      </c>
      <c r="C34" s="2811" t="str">
        <f>C31</f>
        <v>总额</v>
      </c>
      <c r="D34" s="2807">
        <f>IF('数据-取费表'!E3="否",结果表!I107,'结果表 (1修多)'!I108)</f>
        <v>0</v>
      </c>
      <c r="E34" s="1305"/>
    </row>
    <row r="35" spans="1:5" ht="15">
      <c r="A35" s="1305"/>
      <c r="B35" s="2811" t="s">
        <v>2716</v>
      </c>
      <c r="C35" s="2811" t="str">
        <f>C31</f>
        <v>总额</v>
      </c>
      <c r="D35" s="2807">
        <f>IF('数据-取费表'!E3="否",结果表!I108,'结果表 (1修多)'!I109)</f>
        <v>0</v>
      </c>
      <c r="E35" s="1305"/>
    </row>
    <row r="36" spans="1:5" ht="15.75">
      <c r="A36" s="1305"/>
      <c r="B36" s="3126" t="str">
        <f>B15</f>
        <v>——</v>
      </c>
      <c r="C36" s="2810" t="str">
        <f>C28</f>
        <v>总价</v>
      </c>
      <c r="D36" s="2808" t="str">
        <f>IF('数据-取费表'!E3="否",结果表!I110,'结果表 (1修多)'!I111)</f>
        <v>——</v>
      </c>
      <c r="E36" s="1305"/>
    </row>
    <row r="37" spans="1:5" ht="14.25">
      <c r="A37" s="1305"/>
      <c r="B37" s="3126"/>
      <c r="C37" s="2831" t="s">
        <v>2740</v>
      </c>
      <c r="D37" s="2833" t="e">
        <f>IF('数据-取费表'!B3="万元",NUMBERSTRING(INT(D36*10000),2)&amp;"元整",NUMBERSTRING(INT(D36),2)&amp;"元整")</f>
        <v>#VALUE!</v>
      </c>
      <c r="E37" s="1305"/>
    </row>
    <row r="38" spans="1:5" ht="15">
      <c r="A38" s="1305"/>
      <c r="B38" s="3126"/>
      <c r="C38" s="1771" t="s">
        <v>2744</v>
      </c>
      <c r="D38" s="2807" t="e">
        <f ca="1">IF('数据-取费表'!E3="否",结果表!D113,'结果表 (1修多)'!D116)</f>
        <v>#VALUE!</v>
      </c>
      <c r="E38" s="1305"/>
    </row>
    <row r="39" spans="1:5" ht="15.75">
      <c r="A39" s="1305"/>
      <c r="B39" s="3127" t="str">
        <f>B18</f>
        <v>3.抵押担保权已注销时的房地产抵押价值</v>
      </c>
      <c r="C39" s="2810" t="str">
        <f>C28</f>
        <v>总价</v>
      </c>
      <c r="D39" s="2808">
        <f ca="1">IF('数据-取费表'!E3="否",结果表!I112,'结果表 (1修多)'!I113)</f>
        <v>516</v>
      </c>
      <c r="E39" s="1305"/>
    </row>
    <row r="40" spans="1:5" ht="14.25">
      <c r="A40" s="1305"/>
      <c r="B40" s="3127"/>
      <c r="C40" s="2831" t="s">
        <v>2740</v>
      </c>
      <c r="D40" s="2833" t="str">
        <f ca="1">IF('数据-取费表'!B3="万元",NUMBERSTRING(INT(D39*10000),2)&amp;"元整",NUMBERSTRING(INT(D39),2)&amp;"元整")</f>
        <v>伍佰壹拾陆万元整</v>
      </c>
      <c r="E40" s="1305"/>
    </row>
    <row r="41" spans="1:5" ht="15">
      <c r="A41" s="1305"/>
      <c r="B41" s="3127"/>
      <c r="C41" s="1771" t="s">
        <v>2744</v>
      </c>
      <c r="D41" s="2807">
        <f ca="1">IF('数据-取费表'!E3="否",结果表!D115,'结果表 (1修多)'!D118)</f>
        <v>41680</v>
      </c>
      <c r="E41" s="1305"/>
    </row>
    <row r="42" spans="1:5" ht="15.75">
      <c r="A42" s="1305"/>
      <c r="B42" s="3126" t="str">
        <f>B21</f>
        <v>——</v>
      </c>
      <c r="C42" s="2810" t="str">
        <f>C28</f>
        <v>总价</v>
      </c>
      <c r="D42" s="2808" t="str">
        <f>IF('数据-取费表'!E3="否",结果表!I114,'结果表 (1修多)'!I115)</f>
        <v>——</v>
      </c>
      <c r="E42" s="1305"/>
    </row>
    <row r="43" spans="1:5" ht="14.25">
      <c r="A43" s="1305"/>
      <c r="B43" s="3128"/>
      <c r="C43" s="2831" t="s">
        <v>2740</v>
      </c>
      <c r="D43" s="2834" t="e">
        <f>IF('数据-取费表'!B3="万元",NUMBERSTRING(INT(D42*10000),2)&amp;"元整",NUMBERSTRING(INT(D42),2)&amp;"元整")</f>
        <v>#VALUE!</v>
      </c>
      <c r="E43" s="1305"/>
    </row>
    <row r="44" spans="1:5" ht="15.75" thickBot="1">
      <c r="A44" s="1305"/>
      <c r="B44" s="3129"/>
      <c r="C44" s="1774" t="s">
        <v>2744</v>
      </c>
      <c r="D44" s="2809" t="e">
        <f ca="1">IF('数据-取费表'!E3="否",结果表!D117,'结果表 (1修多)'!D120)</f>
        <v>#VALUE!</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8" t="s">
        <v>2726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52" t="str">
        <f>IF(项目基本情况!D5="房地产市场价值","估价结果一览表","结果表-2")</f>
        <v>结果表-2</v>
      </c>
      <c r="B1" s="3152"/>
      <c r="C1" s="3152"/>
      <c r="D1" s="3152"/>
      <c r="E1" s="3152"/>
      <c r="F1" s="3152"/>
      <c r="G1" s="3152"/>
      <c r="H1" s="3152"/>
      <c r="I1" s="3152"/>
    </row>
    <row r="2" spans="1:9" ht="30" customHeight="1" thickTop="1">
      <c r="A2" s="3153" t="s">
        <v>3</v>
      </c>
      <c r="B2" s="3153" t="s">
        <v>1887</v>
      </c>
      <c r="C2" s="3153" t="s">
        <v>2733</v>
      </c>
      <c r="D2" s="3153" t="str">
        <f>IF('数据-取费表'!E3="否",结果表!D119,'结果表 (1修多)'!D122)</f>
        <v>出让国有建设用地使用权价值</v>
      </c>
      <c r="E2" s="3153"/>
      <c r="F2" s="3153" t="s">
        <v>685</v>
      </c>
      <c r="G2" s="3153"/>
      <c r="H2" s="3153" t="s">
        <v>4</v>
      </c>
      <c r="I2" s="3153"/>
    </row>
    <row r="3" spans="1:9" ht="14.25">
      <c r="A3" s="3146"/>
      <c r="B3" s="3146"/>
      <c r="C3" s="3146"/>
      <c r="D3" s="1726" t="s">
        <v>5</v>
      </c>
      <c r="E3" s="1726" t="s">
        <v>704</v>
      </c>
      <c r="F3" s="1726" t="s">
        <v>5</v>
      </c>
      <c r="G3" s="1726" t="s">
        <v>6</v>
      </c>
      <c r="H3" s="1726" t="s">
        <v>5</v>
      </c>
      <c r="I3" s="1726" t="s">
        <v>6</v>
      </c>
    </row>
    <row r="4" spans="1:9" ht="46.5" customHeight="1">
      <c r="A4" s="1726" t="str">
        <f>项目基本情况!I1</f>
        <v>北京市海淀区车公庄西路乙19号房地产</v>
      </c>
      <c r="B4" s="1765">
        <f>结果表!B121</f>
        <v>123.8</v>
      </c>
      <c r="C4" s="1765">
        <f>结果表!C121</f>
        <v>0</v>
      </c>
      <c r="D4" s="1765">
        <f ca="1">IF('数据-取费表'!E3="否",结果表!D121,'结果表 (1修多)'!D124)</f>
        <v>482</v>
      </c>
      <c r="E4" s="1765">
        <f ca="1">IF('数据-取费表'!E3="否",结果表!E121,'结果表 (1修多)'!E124)</f>
        <v>38934</v>
      </c>
      <c r="F4" s="1765">
        <f ca="1">IF('数据-取费表'!E3="否",结果表!F121,'结果表 (1修多)'!F124)</f>
        <v>34</v>
      </c>
      <c r="G4" s="1765">
        <f ca="1">IF('数据-取费表'!E3="否",结果表!G121,'结果表 (1修多)'!G124)</f>
        <v>2746</v>
      </c>
      <c r="H4" s="1765">
        <f ca="1">IF('数据-取费表'!E3="否",结果表!H121,'结果表 (1修多)'!H124)</f>
        <v>516</v>
      </c>
      <c r="I4" s="1765">
        <f ca="1">IF('数据-取费表'!E3="否",结果表!I121,'结果表 (1修多)'!I124)</f>
        <v>41680</v>
      </c>
    </row>
    <row r="5" spans="1:9" ht="14.25">
      <c r="A5" s="3146" t="s">
        <v>7</v>
      </c>
      <c r="B5" s="3146"/>
      <c r="C5" s="3146"/>
      <c r="D5" s="3147" t="str">
        <f ca="1">IF('数据-取费表'!E3="否",结果表!D122,'结果表 (1修多)'!D125)</f>
        <v>肆佰捌拾贰万元整</v>
      </c>
      <c r="E5" s="3147"/>
      <c r="F5" s="3147" t="str">
        <f ca="1">IF('数据-取费表'!E3="否",结果表!F122,'结果表 (1修多)'!F125)</f>
        <v>叁拾肆万元整</v>
      </c>
      <c r="G5" s="3147"/>
      <c r="H5" s="3147" t="str">
        <f ca="1">IF('数据-取费表'!E3="否",结果表!H122,'结果表 (1修多)'!H125)</f>
        <v>伍佰壹拾陆万元整</v>
      </c>
      <c r="I5" s="3147"/>
    </row>
    <row r="6" spans="1:9" ht="15.75">
      <c r="A6" s="3148" t="str">
        <f>IF('数据-取费表'!E3="否",结果表!A123,'结果表 (1修多)'!A126)</f>
        <v>估价师所知悉的法定优先受偿款</v>
      </c>
      <c r="B6" s="3148"/>
      <c r="C6" s="3148"/>
      <c r="D6" s="3144">
        <f>IF('数据-取费表'!E3="否",结果表!D123,'结果表 (1修多)'!D126)</f>
        <v>0</v>
      </c>
      <c r="E6" s="3144"/>
      <c r="F6" s="3144"/>
      <c r="G6" s="3144"/>
      <c r="H6" s="3144"/>
      <c r="I6" s="3144"/>
    </row>
    <row r="7" spans="1:9" ht="14.25">
      <c r="A7" s="3146" t="s">
        <v>7</v>
      </c>
      <c r="B7" s="3146"/>
      <c r="C7" s="3146"/>
      <c r="D7" s="3154">
        <f>IF('数据-取费表'!E3="否",结果表!D124,'结果表 (1修多)'!D127)</f>
        <v>0</v>
      </c>
      <c r="E7" s="3155"/>
      <c r="F7" s="3155"/>
      <c r="G7" s="3155"/>
      <c r="H7" s="3155"/>
      <c r="I7" s="3156"/>
    </row>
    <row r="8" spans="1:9" ht="15.75">
      <c r="A8" s="3148" t="str">
        <f>IF('数据-取费表'!E3="否",结果表!A125,'结果表 (1修多)'!A128)</f>
        <v/>
      </c>
      <c r="B8" s="3148"/>
      <c r="C8" s="3148"/>
      <c r="D8" s="3144" t="str">
        <f>IF('数据-取费表'!E3="否",结果表!D125,'结果表 (1修多)'!D128)</f>
        <v>——</v>
      </c>
      <c r="E8" s="3144"/>
      <c r="F8" s="3144"/>
      <c r="G8" s="3144"/>
      <c r="H8" s="3144"/>
      <c r="I8" s="3144"/>
    </row>
    <row r="9" spans="1:9" ht="14.25">
      <c r="A9" s="3146" t="s">
        <v>7</v>
      </c>
      <c r="B9" s="3146"/>
      <c r="C9" s="3146"/>
      <c r="D9" s="3147" t="e">
        <f ca="1">IF('数据-取费表'!E3="否",结果表!D126,'结果表 (1修多)'!D129)</f>
        <v>#VALUE!</v>
      </c>
      <c r="E9" s="3147"/>
      <c r="F9" s="3147"/>
      <c r="G9" s="3147"/>
      <c r="H9" s="3147"/>
      <c r="I9" s="3147"/>
    </row>
    <row r="10" spans="1:9" ht="15.75">
      <c r="A10" s="3148" t="str">
        <f>IF('数据-取费表'!E3="否",结果表!A127,'结果表 (1修多)'!A130)</f>
        <v>抵押担保权已注销时的房地产抵押价值</v>
      </c>
      <c r="B10" s="3148"/>
      <c r="C10" s="3148"/>
      <c r="D10" s="3144">
        <f ca="1">IF('数据-取费表'!E3="否",结果表!D127,'结果表 (1修多)'!D129)</f>
        <v>516</v>
      </c>
      <c r="E10" s="3144"/>
      <c r="F10" s="3144"/>
      <c r="G10" s="3144"/>
      <c r="H10" s="3144"/>
      <c r="I10" s="3144"/>
    </row>
    <row r="11" spans="1:9" ht="14.25">
      <c r="A11" s="3146" t="s">
        <v>7</v>
      </c>
      <c r="B11" s="3146"/>
      <c r="C11" s="3146"/>
      <c r="D11" s="3147">
        <f ca="1">IF('数据-取费表'!E3="否",结果表!D128,'结果表 (1修多)'!D131)</f>
        <v>41680</v>
      </c>
      <c r="E11" s="3147"/>
      <c r="F11" s="3147"/>
      <c r="G11" s="3147"/>
      <c r="H11" s="3147"/>
      <c r="I11" s="3147"/>
    </row>
    <row r="12" spans="1:9" ht="15.75">
      <c r="A12" s="3148" t="str">
        <f>IF('数据-取费表'!E3="否",结果表!A129,'结果表 (1修多)'!A132)</f>
        <v/>
      </c>
      <c r="B12" s="3148"/>
      <c r="C12" s="3148"/>
      <c r="D12" s="3144" t="str">
        <f>IF('数据-取费表'!E3="否",结果表!D129,'结果表 (1修多)'!D132)</f>
        <v>——</v>
      </c>
      <c r="E12" s="3144"/>
      <c r="F12" s="3144"/>
      <c r="G12" s="3144"/>
      <c r="H12" s="3144"/>
      <c r="I12" s="3144"/>
    </row>
    <row r="13" spans="1:9" ht="15" thickBot="1">
      <c r="A13" s="3149" t="s">
        <v>7</v>
      </c>
      <c r="B13" s="3149"/>
      <c r="C13" s="3149"/>
      <c r="D13" s="3150">
        <f>IF('数据-取费表'!E3="否",结果表!D130,'结果表 (1修多)'!D133)</f>
        <v>0</v>
      </c>
      <c r="E13" s="3150"/>
      <c r="F13" s="3150"/>
      <c r="G13" s="3150"/>
      <c r="H13" s="3150"/>
      <c r="I13" s="3150"/>
    </row>
    <row r="14" spans="1:9" ht="14.25" thickTop="1">
      <c r="A14" s="3151" t="str">
        <f>IF('数据-取费表'!E3="否",结果表!A131,'结果表 (1修多)'!A134)</f>
        <v>单位：平方米、万元、元/平方米（币种：人民币）</v>
      </c>
      <c r="B14" s="3151"/>
      <c r="C14" s="3151"/>
      <c r="D14" s="3151"/>
      <c r="E14" s="3151"/>
      <c r="F14" s="3151"/>
      <c r="G14" s="3151"/>
      <c r="H14" s="3151"/>
      <c r="I14" s="3151"/>
    </row>
    <row r="15" spans="1:9">
      <c r="A15" s="1305"/>
      <c r="B15" s="1305"/>
      <c r="C15" s="1305"/>
      <c r="D15" s="1305"/>
      <c r="E15" s="1305"/>
      <c r="F15" s="1305"/>
      <c r="G15" s="1305"/>
      <c r="H15" s="1305"/>
      <c r="I15" s="1305"/>
    </row>
    <row r="16" spans="1:9" ht="18.75">
      <c r="A16" s="1003" t="s">
        <v>1984</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58" t="s">
        <v>2745</v>
      </c>
      <c r="B1" s="3158"/>
      <c r="C1" s="3158"/>
      <c r="D1" s="3158"/>
    </row>
    <row r="2" spans="1:4" ht="18.75">
      <c r="A2" s="3157" t="s">
        <v>1986</v>
      </c>
      <c r="B2" s="3157"/>
      <c r="C2" s="3157"/>
      <c r="D2" s="3157"/>
    </row>
    <row r="3" spans="1:4" ht="18.75">
      <c r="A3" s="2424" t="s">
        <v>1987</v>
      </c>
      <c r="B3" s="2424" t="s">
        <v>1988</v>
      </c>
      <c r="C3" s="2424" t="s">
        <v>1989</v>
      </c>
      <c r="D3" s="2424" t="s">
        <v>1990</v>
      </c>
    </row>
    <row r="4" spans="1:4" ht="56.25" customHeight="1">
      <c r="A4" s="2425" t="str">
        <f>项目基本情况!B3</f>
        <v>注册房地产估价师</v>
      </c>
      <c r="B4" s="2426">
        <f>项目基本情况!C3</f>
        <v>0</v>
      </c>
      <c r="C4" s="2429"/>
      <c r="D4" s="2427" t="s">
        <v>1994</v>
      </c>
    </row>
    <row r="5" spans="1:4" ht="56.25" customHeight="1">
      <c r="A5" s="2425" t="str">
        <f>项目基本情况!D3</f>
        <v>注册房地产估价师</v>
      </c>
      <c r="B5" s="2426">
        <f>项目基本情况!E3</f>
        <v>0</v>
      </c>
      <c r="C5" s="2430"/>
      <c r="D5" s="2427" t="s">
        <v>1994</v>
      </c>
    </row>
    <row r="6" spans="1:4" ht="12" customHeight="1">
      <c r="A6" s="2425"/>
      <c r="B6" s="2426"/>
      <c r="C6" s="2656"/>
      <c r="D6" s="2427"/>
    </row>
    <row r="7" spans="1:4" ht="18.75">
      <c r="A7" s="3157" t="s">
        <v>2516</v>
      </c>
      <c r="B7" s="3157"/>
      <c r="C7" s="3157"/>
      <c r="D7" s="3157"/>
    </row>
    <row r="8" spans="1:4" ht="18.75">
      <c r="A8" s="2424" t="s">
        <v>1987</v>
      </c>
      <c r="B8" s="2426" t="s">
        <v>1992</v>
      </c>
      <c r="C8" s="2424" t="s">
        <v>1989</v>
      </c>
      <c r="D8" s="2424" t="s">
        <v>1990</v>
      </c>
    </row>
    <row r="9" spans="1:4" ht="56.25" customHeight="1">
      <c r="A9" s="2428" t="s">
        <v>1991</v>
      </c>
      <c r="B9" s="2428" t="s">
        <v>1993</v>
      </c>
      <c r="C9" s="2429"/>
      <c r="D9" s="2427" t="s">
        <v>1994</v>
      </c>
    </row>
    <row r="11" spans="1:4" ht="18.75">
      <c r="A11" s="1797" t="s">
        <v>1979</v>
      </c>
    </row>
    <row r="12" spans="1:4" ht="30" customHeight="1">
      <c r="A12" s="3159" t="s">
        <v>2576</v>
      </c>
      <c r="B12" s="3160"/>
      <c r="C12" s="3160"/>
      <c r="D12" s="3160"/>
    </row>
    <row r="13" spans="1:4" ht="14.25">
      <c r="A13" s="31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62"/>
      <c r="C13" s="3162"/>
      <c r="D13" s="3162"/>
    </row>
    <row r="14" spans="1:4" ht="30" customHeight="1">
      <c r="A14" s="3161" t="str">
        <f>IF(项目基本情况!D4="抵押","3.抵押双方在办理抵押登记手续时，应使用本公司出具的正式《房地产评估报告》，特提醒报告使用者注意。","——")</f>
        <v>——</v>
      </c>
      <c r="B14" s="3162"/>
      <c r="C14" s="3162"/>
      <c r="D14" s="3162"/>
    </row>
    <row r="15" spans="1:4" ht="15.75" customHeight="1">
      <c r="A15" s="3161" t="str">
        <f>IF(项目基本情况!D4="抵押","4.本次评估估价师所知悉的法定优先受偿款情况说明如下：","——")</f>
        <v>——</v>
      </c>
      <c r="B15" s="3162"/>
      <c r="C15" s="3162"/>
      <c r="D15" s="3162"/>
    </row>
    <row r="16" spans="1:4" ht="75" customHeight="1">
      <c r="A16" s="3161" t="str">
        <f>IF(项目基本情况!D4="抵押",CONCATENATE(项目基本情况!J13,项目基本情况!J14,项目基本情况!J15),"——")</f>
        <v>——</v>
      </c>
      <c r="B16" s="3161"/>
      <c r="C16" s="3161"/>
      <c r="D16" s="3161"/>
    </row>
    <row r="17" spans="1:4" ht="63.75" customHeight="1">
      <c r="A17" s="3164" t="s">
        <v>2005</v>
      </c>
      <c r="B17" s="3164"/>
      <c r="C17" s="3164"/>
      <c r="D17" s="3164"/>
    </row>
    <row r="18" spans="1:4" ht="15.75" customHeight="1">
      <c r="A18" s="3161" t="str">
        <f>IF(项目基本情况!D4="抵押",结果表!K106,"——")</f>
        <v>——</v>
      </c>
      <c r="B18" s="3161"/>
      <c r="C18" s="3161"/>
      <c r="D18" s="3161"/>
    </row>
    <row r="19" spans="1:4" ht="46.5" customHeight="1">
      <c r="A19" s="31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15">
      <c r="A20" s="3163" t="s">
        <v>2719</v>
      </c>
      <c r="B20" s="3163"/>
      <c r="C20" s="3163"/>
      <c r="D20" s="3163"/>
    </row>
    <row r="21" spans="1:4">
      <c r="A21" s="1864"/>
      <c r="B21" s="1865"/>
      <c r="C21" s="1865"/>
      <c r="D21" s="1865"/>
    </row>
    <row r="22" spans="1:4">
      <c r="A22" s="1864"/>
      <c r="B22" s="1865"/>
      <c r="C22" s="1865"/>
      <c r="D22" s="1865"/>
    </row>
    <row r="23" spans="1:4" ht="18.75">
      <c r="A23" s="1751" t="s">
        <v>2718</v>
      </c>
    </row>
    <row r="24" spans="1:4" ht="18.75">
      <c r="A24" s="1751"/>
    </row>
    <row r="25" spans="1:4" ht="18.75">
      <c r="A25" s="1751" t="s">
        <v>1980</v>
      </c>
    </row>
    <row r="28" spans="1:4" ht="21" customHeight="1">
      <c r="D28" s="1791" t="s">
        <v>1981</v>
      </c>
    </row>
    <row r="29" spans="1:4" ht="21" customHeight="1">
      <c r="C29" s="2812"/>
      <c r="D29" s="281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1050</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0" t="s">
        <v>558</v>
      </c>
      <c r="B15" s="3165" t="s">
        <v>1051</v>
      </c>
      <c r="C15" s="3166"/>
    </row>
    <row r="16" spans="1:7" ht="13.5">
      <c r="A16" s="3171"/>
      <c r="B16" s="3165" t="s">
        <v>544</v>
      </c>
      <c r="C16" s="3166"/>
    </row>
    <row r="17" spans="1:3" ht="13.5">
      <c r="A17" s="3171"/>
      <c r="B17" s="3165" t="s">
        <v>1904</v>
      </c>
      <c r="C17" s="3166"/>
    </row>
    <row r="18" spans="1:3" ht="13.5">
      <c r="A18" s="3172"/>
      <c r="B18" s="3167" t="s">
        <v>559</v>
      </c>
      <c r="C18" s="3166"/>
    </row>
    <row r="19" spans="1:3" ht="13.5">
      <c r="A19" s="1015" t="s">
        <v>560</v>
      </c>
      <c r="B19" s="1016"/>
      <c r="C19" s="1017"/>
    </row>
    <row r="20" spans="1:3" ht="13.5">
      <c r="A20" s="3168" t="s">
        <v>561</v>
      </c>
      <c r="B20" s="3167" t="s">
        <v>562</v>
      </c>
      <c r="C20" s="3166"/>
    </row>
    <row r="21" spans="1:3" ht="13.5">
      <c r="A21" s="3168"/>
      <c r="B21" s="3167" t="s">
        <v>563</v>
      </c>
      <c r="C21" s="3166"/>
    </row>
    <row r="22" spans="1:3" ht="13.5">
      <c r="A22" s="3168"/>
      <c r="B22" s="3167" t="s">
        <v>564</v>
      </c>
      <c r="C22" s="3166"/>
    </row>
    <row r="23" spans="1:3" ht="13.5">
      <c r="A23" s="3168"/>
      <c r="B23" s="3169" t="s">
        <v>565</v>
      </c>
      <c r="C23" s="1014" t="s">
        <v>566</v>
      </c>
    </row>
    <row r="24" spans="1:3" ht="13.5">
      <c r="A24" s="3168"/>
      <c r="B24" s="3169"/>
      <c r="C24" s="1014" t="s">
        <v>567</v>
      </c>
    </row>
    <row r="25" spans="1:3" ht="13.5">
      <c r="A25" s="3168"/>
      <c r="B25" s="3169"/>
      <c r="C25" s="1014" t="s">
        <v>568</v>
      </c>
    </row>
    <row r="26" spans="1:3" ht="13.5">
      <c r="A26" s="3168"/>
      <c r="B26" s="3169"/>
      <c r="C26" s="1014" t="s">
        <v>569</v>
      </c>
    </row>
    <row r="27" spans="1:3" ht="13.5">
      <c r="A27" s="3168"/>
      <c r="B27" s="3169"/>
      <c r="C27" s="1014" t="s">
        <v>570</v>
      </c>
    </row>
    <row r="28" spans="1:3" ht="13.5">
      <c r="A28" s="3168"/>
      <c r="B28" s="3169"/>
      <c r="C28" s="1014" t="s">
        <v>571</v>
      </c>
    </row>
    <row r="29" spans="1:3" ht="13.5">
      <c r="A29" s="3168"/>
      <c r="B29" s="3169"/>
      <c r="C29" s="1014" t="s">
        <v>572</v>
      </c>
    </row>
    <row r="30" spans="1:3" ht="13.5">
      <c r="A30" s="3168"/>
      <c r="B30" s="3169"/>
      <c r="C30" s="1014" t="s">
        <v>573</v>
      </c>
    </row>
    <row r="31" spans="1:3" ht="13.5">
      <c r="A31" s="3168"/>
      <c r="B31" s="316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1911</v>
      </c>
      <c r="B2" s="1728">
        <f ca="1">TODAY()</f>
        <v>42993</v>
      </c>
      <c r="C2" s="1729" t="s">
        <v>1912</v>
      </c>
      <c r="D2" s="1729"/>
      <c r="E2" s="1729"/>
    </row>
    <row r="3" spans="1:8" ht="24" customHeight="1">
      <c r="A3" s="1731" t="s">
        <v>1913</v>
      </c>
      <c r="B3" s="1732" t="s">
        <v>1914</v>
      </c>
      <c r="C3" s="1732" t="s">
        <v>1915</v>
      </c>
      <c r="D3" s="1760" t="s">
        <v>1946</v>
      </c>
      <c r="E3" s="1733" t="s">
        <v>1916</v>
      </c>
      <c r="F3" s="1734" t="s">
        <v>1917</v>
      </c>
      <c r="G3" s="1732" t="s">
        <v>1915</v>
      </c>
      <c r="H3" s="1760" t="s">
        <v>1947</v>
      </c>
    </row>
    <row r="4" spans="1:8" ht="24" customHeight="1">
      <c r="A4" s="2991" t="s">
        <v>1918</v>
      </c>
      <c r="B4" s="1734">
        <f ca="1">IF(C4&lt;B2,"已过期",1119970066)</f>
        <v>1119970066</v>
      </c>
      <c r="C4" s="2992">
        <v>43849</v>
      </c>
      <c r="D4" s="2993" t="str">
        <f ca="1">A4&amp;"（注册号："&amp;B4&amp;"）"</f>
        <v>梁津（注册号：1119970066）</v>
      </c>
      <c r="E4" s="2991" t="s">
        <v>1918</v>
      </c>
      <c r="F4" s="1734">
        <f ca="1">IF(G4&lt;B2,"已过期",96010014)</f>
        <v>96010014</v>
      </c>
      <c r="G4" s="1742">
        <v>47118</v>
      </c>
      <c r="H4" s="2994" t="str">
        <f ca="1">E4&amp;"（注册号："&amp;F4&amp;"）"</f>
        <v>梁津（注册号：96010014）</v>
      </c>
    </row>
    <row r="5" spans="1:8" ht="24" customHeight="1">
      <c r="A5" s="2991" t="s">
        <v>1919</v>
      </c>
      <c r="B5" s="1734">
        <f ca="1">IF(C5&lt;B2,"已过期",1119970074)</f>
        <v>1119970074</v>
      </c>
      <c r="C5" s="2992">
        <v>43849</v>
      </c>
      <c r="D5" s="2993" t="str">
        <f t="shared" ref="D5:D23" ca="1" si="0">A5&amp;"（注册号："&amp;B5&amp;"）"</f>
        <v>李立（注册号：1119970074）</v>
      </c>
      <c r="E5" s="2991" t="s">
        <v>1919</v>
      </c>
      <c r="F5" s="1734">
        <f ca="1">IF(G5&lt;B2,"已过期",2002110027)</f>
        <v>2002110027</v>
      </c>
      <c r="G5" s="1742">
        <v>46752</v>
      </c>
      <c r="H5" s="2994" t="str">
        <f t="shared" ref="H5:H24" ca="1" si="1">E5&amp;"（注册号："&amp;F5&amp;"）"</f>
        <v>李立（注册号：2002110027）</v>
      </c>
    </row>
    <row r="6" spans="1:8" ht="24" customHeight="1">
      <c r="A6" s="2991" t="s">
        <v>1920</v>
      </c>
      <c r="B6" s="1734">
        <f ca="1">IF(C6&lt;B2,"已过期",1119970111)</f>
        <v>1119970111</v>
      </c>
      <c r="C6" s="2992">
        <v>43849</v>
      </c>
      <c r="D6" s="2993" t="str">
        <f t="shared" ca="1" si="0"/>
        <v>叶凌（注册号：1119970111）</v>
      </c>
      <c r="E6" s="2991" t="s">
        <v>1920</v>
      </c>
      <c r="F6" s="1734">
        <f ca="1">IF(G6&lt;B2,"已过期",94010078)</f>
        <v>94010078</v>
      </c>
      <c r="G6" s="1742">
        <v>46387</v>
      </c>
      <c r="H6" s="2994" t="str">
        <f t="shared" ca="1" si="1"/>
        <v>叶凌（注册号：94010078）</v>
      </c>
    </row>
    <row r="7" spans="1:8" ht="24" customHeight="1">
      <c r="A7" s="2991" t="s">
        <v>1921</v>
      </c>
      <c r="B7" s="1734">
        <f ca="1">IF(C7&lt;B2,"已过期",1120050019)</f>
        <v>1120050019</v>
      </c>
      <c r="C7" s="2992">
        <v>43359</v>
      </c>
      <c r="D7" s="2993" t="str">
        <f t="shared" ca="1" si="0"/>
        <v>王鹏（注册号：1120050019）</v>
      </c>
      <c r="E7" s="2991" t="s">
        <v>1921</v>
      </c>
      <c r="F7" s="1734">
        <f ca="1">IF(G7&lt;B2,"已过期",2002110030)</f>
        <v>2002110030</v>
      </c>
      <c r="G7" s="1742">
        <v>46387</v>
      </c>
      <c r="H7" s="2994" t="str">
        <f t="shared" ca="1" si="1"/>
        <v>王鹏（注册号：2002110030）</v>
      </c>
    </row>
    <row r="8" spans="1:8" ht="24" customHeight="1">
      <c r="A8" s="2991" t="s">
        <v>1922</v>
      </c>
      <c r="B8" s="1734">
        <f ca="1">IF(C8&lt;B2,"已过期",1120000080)</f>
        <v>1120000080</v>
      </c>
      <c r="C8" s="2992">
        <v>43849</v>
      </c>
      <c r="D8" s="2993" t="str">
        <f t="shared" ca="1" si="0"/>
        <v>欧红伟（注册号：1120000080）</v>
      </c>
      <c r="E8" s="2991" t="s">
        <v>1922</v>
      </c>
      <c r="F8" s="1734">
        <f ca="1">IF(G8&lt;B2,"已过期",2000110082)</f>
        <v>2000110082</v>
      </c>
      <c r="G8" s="1742">
        <v>46387</v>
      </c>
      <c r="H8" s="2994" t="str">
        <f t="shared" ca="1" si="1"/>
        <v>欧红伟（注册号：2000110082）</v>
      </c>
    </row>
    <row r="9" spans="1:8" ht="24" customHeight="1">
      <c r="A9" s="2991" t="s">
        <v>1923</v>
      </c>
      <c r="B9" s="1734">
        <f ca="1">IF(C9&lt;B2,"已过期",1419970001)</f>
        <v>1419970001</v>
      </c>
      <c r="C9" s="2992">
        <v>43867</v>
      </c>
      <c r="D9" s="2993" t="str">
        <f t="shared" ca="1" si="0"/>
        <v>吴薇（注册号：1419970001）</v>
      </c>
      <c r="E9" s="2991" t="s">
        <v>1923</v>
      </c>
      <c r="F9" s="1734">
        <f ca="1">IF(G9&lt;B2,"已过期",2002110125)</f>
        <v>2002110125</v>
      </c>
      <c r="G9" s="1742">
        <v>47118</v>
      </c>
      <c r="H9" s="2994" t="str">
        <f t="shared" ca="1" si="1"/>
        <v>吴薇（注册号：2002110125）</v>
      </c>
    </row>
    <row r="10" spans="1:8" ht="24" customHeight="1">
      <c r="A10" s="2991" t="s">
        <v>1924</v>
      </c>
      <c r="B10" s="1734">
        <f ca="1">IF(C10&lt;B2,"已过期",1120060040)</f>
        <v>1120060040</v>
      </c>
      <c r="C10" s="2992">
        <v>43483</v>
      </c>
      <c r="D10" s="2993" t="str">
        <f t="shared" ca="1" si="0"/>
        <v>陈颖（注册号：1120060040）</v>
      </c>
      <c r="E10" s="2991" t="s">
        <v>1924</v>
      </c>
      <c r="F10" s="1734">
        <f ca="1">IF(G10&lt;B2,"已过期",2004110096)</f>
        <v>2004110096</v>
      </c>
      <c r="G10" s="1742">
        <v>47118</v>
      </c>
      <c r="H10" s="2994" t="str">
        <f t="shared" ca="1" si="1"/>
        <v>陈颖（注册号：2004110096）</v>
      </c>
    </row>
    <row r="11" spans="1:8" ht="24" customHeight="1">
      <c r="A11" s="2991" t="s">
        <v>1925</v>
      </c>
      <c r="B11" s="1734">
        <f ca="1">IF(C11&lt;B2,"已过期",1120100036)</f>
        <v>1120100036</v>
      </c>
      <c r="C11" s="2992">
        <v>43622</v>
      </c>
      <c r="D11" s="2993" t="str">
        <f t="shared" ca="1" si="0"/>
        <v>崔锴（注册号：1120100036）</v>
      </c>
      <c r="E11" s="2991" t="s">
        <v>1925</v>
      </c>
      <c r="F11" s="1734">
        <f ca="1">IF(G11&lt;B2,"已过期",2010110070)</f>
        <v>2010110070</v>
      </c>
      <c r="G11" s="1742">
        <v>47907</v>
      </c>
      <c r="H11" s="2994" t="str">
        <f t="shared" ca="1" si="1"/>
        <v>崔锴（注册号：2010110070）</v>
      </c>
    </row>
    <row r="12" spans="1:8" ht="24" customHeight="1">
      <c r="A12" s="2991"/>
      <c r="B12" s="1734"/>
      <c r="C12" s="2992"/>
      <c r="D12" s="2993" t="str">
        <f t="shared" si="0"/>
        <v>（注册号：）</v>
      </c>
      <c r="E12" s="2991"/>
      <c r="F12" s="1734" t="s">
        <v>1926</v>
      </c>
      <c r="G12" s="1734" t="s">
        <v>1926</v>
      </c>
      <c r="H12" s="2994" t="str">
        <f t="shared" si="1"/>
        <v>（注册号：——）</v>
      </c>
    </row>
    <row r="13" spans="1:8" ht="24" customHeight="1">
      <c r="A13" s="2991" t="s">
        <v>1927</v>
      </c>
      <c r="B13" s="1734">
        <f ca="1">IF(C13&lt;B2,"已过期",1120070131)</f>
        <v>1120070131</v>
      </c>
      <c r="C13" s="2992">
        <v>43814</v>
      </c>
      <c r="D13" s="2993" t="str">
        <f t="shared" ca="1" si="0"/>
        <v>郑燚（注册号：1120070131）</v>
      </c>
      <c r="E13" s="2991" t="s">
        <v>1927</v>
      </c>
      <c r="F13" s="1734">
        <v>2014110011</v>
      </c>
      <c r="G13" s="1742">
        <v>49302</v>
      </c>
      <c r="H13" s="2994" t="str">
        <f t="shared" si="1"/>
        <v>郑燚（注册号：2014110011）</v>
      </c>
    </row>
    <row r="14" spans="1:8" ht="24" customHeight="1">
      <c r="A14" s="2991" t="s">
        <v>1929</v>
      </c>
      <c r="B14" s="1734">
        <f ca="1">IF(C14&lt;B2,"已过期",1120130020)</f>
        <v>1120130020</v>
      </c>
      <c r="C14" s="2992">
        <v>43622</v>
      </c>
      <c r="D14" s="2993" t="str">
        <f t="shared" ca="1" si="0"/>
        <v>马琳琳（注册号：1120130020）</v>
      </c>
      <c r="E14" s="2991"/>
      <c r="F14" s="1734" t="s">
        <v>1928</v>
      </c>
      <c r="G14" s="1734" t="s">
        <v>1928</v>
      </c>
      <c r="H14" s="2994" t="str">
        <f t="shared" si="1"/>
        <v>（注册号：——）</v>
      </c>
    </row>
    <row r="15" spans="1:8" ht="24" customHeight="1">
      <c r="A15" s="2995" t="s">
        <v>2574</v>
      </c>
      <c r="B15" s="1734">
        <v>1120070085</v>
      </c>
      <c r="C15" s="2992">
        <v>43814</v>
      </c>
      <c r="D15" s="2993" t="str">
        <f t="shared" si="0"/>
        <v>杨红英（注册号：1120070085）</v>
      </c>
      <c r="E15" s="2995" t="s">
        <v>2575</v>
      </c>
      <c r="F15" s="1734">
        <v>2004110128</v>
      </c>
      <c r="G15" s="1735">
        <v>47118</v>
      </c>
      <c r="H15" s="2994" t="str">
        <f t="shared" si="1"/>
        <v>杨红英（注册号：2004110128）</v>
      </c>
    </row>
    <row r="16" spans="1:8" ht="24" customHeight="1">
      <c r="A16" s="2991" t="s">
        <v>1930</v>
      </c>
      <c r="B16" s="1734">
        <f ca="1">IF(C16&lt;B2,"已过期",1120140022)</f>
        <v>1120140022</v>
      </c>
      <c r="C16" s="2992">
        <v>44029</v>
      </c>
      <c r="D16" s="2993" t="str">
        <f t="shared" ca="1" si="0"/>
        <v>刘梅（注册号：1120140022）</v>
      </c>
      <c r="E16" s="2991" t="s">
        <v>1930</v>
      </c>
      <c r="F16" s="1734">
        <f ca="1">IF(G16&lt;B2,"已过期",2008110059)</f>
        <v>2008110059</v>
      </c>
      <c r="G16" s="1742">
        <v>47177</v>
      </c>
      <c r="H16" s="2994" t="str">
        <f t="shared" ca="1" si="1"/>
        <v>刘梅（注册号：2008110059）</v>
      </c>
    </row>
    <row r="17" spans="1:8" ht="24" customHeight="1">
      <c r="A17" s="2991"/>
      <c r="B17" s="1734"/>
      <c r="C17" s="2992"/>
      <c r="D17" s="2993"/>
      <c r="E17" s="2991"/>
      <c r="F17" s="1734"/>
      <c r="G17" s="1742"/>
      <c r="H17" s="2994"/>
    </row>
    <row r="18" spans="1:8" ht="24" customHeight="1">
      <c r="A18" s="2991"/>
      <c r="B18" s="1734"/>
      <c r="C18" s="2992"/>
      <c r="D18" s="2993"/>
      <c r="E18" s="2991"/>
      <c r="F18" s="1734"/>
      <c r="G18" s="1742"/>
      <c r="H18" s="2994"/>
    </row>
    <row r="19" spans="1:8" ht="24" customHeight="1">
      <c r="A19" s="2991"/>
      <c r="B19" s="1734"/>
      <c r="C19" s="2992"/>
      <c r="D19" s="2993"/>
      <c r="E19" s="2991"/>
      <c r="F19" s="1734"/>
      <c r="G19" s="1734"/>
      <c r="H19" s="2994"/>
    </row>
    <row r="20" spans="1:8" ht="24" customHeight="1">
      <c r="A20" s="2991"/>
      <c r="B20" s="1734"/>
      <c r="C20" s="2992"/>
      <c r="D20" s="2993"/>
      <c r="E20" s="2991"/>
      <c r="F20" s="1734"/>
      <c r="G20" s="1734"/>
      <c r="H20" s="2994"/>
    </row>
    <row r="21" spans="1:8" ht="24" customHeight="1">
      <c r="A21" s="2991"/>
      <c r="B21" s="1734"/>
      <c r="C21" s="2992"/>
      <c r="D21" s="2993" t="str">
        <f t="shared" si="0"/>
        <v>（注册号：）</v>
      </c>
      <c r="E21" s="2991" t="s">
        <v>1931</v>
      </c>
      <c r="F21" s="1734">
        <f ca="1">IF(G21&lt;B2,"已过期",2011110090)</f>
        <v>2011110090</v>
      </c>
      <c r="G21" s="1742">
        <v>48302</v>
      </c>
      <c r="H21" s="2994" t="str">
        <f t="shared" ca="1" si="1"/>
        <v>赵雯（注册号：2011110090）</v>
      </c>
    </row>
    <row r="22" spans="1:8" ht="24" customHeight="1">
      <c r="A22" s="2991" t="s">
        <v>1932</v>
      </c>
      <c r="B22" s="1734">
        <f ca="1">IF(C22&lt;B2,"已过期",1120020033)</f>
        <v>1120020033</v>
      </c>
      <c r="C22" s="2992">
        <v>43304</v>
      </c>
      <c r="D22" s="2993" t="str">
        <f t="shared" ca="1" si="0"/>
        <v>刘敬东（注册号：1120020033）</v>
      </c>
      <c r="E22" s="2991" t="s">
        <v>1932</v>
      </c>
      <c r="F22" s="1734">
        <f ca="1">IF(G22&lt;B2,"已过期",2000110137)</f>
        <v>2000110137</v>
      </c>
      <c r="G22" s="1742">
        <v>46387</v>
      </c>
      <c r="H22" s="2994" t="str">
        <f t="shared" ca="1" si="1"/>
        <v>刘敬东（注册号：2000110137）</v>
      </c>
    </row>
    <row r="23" spans="1:8" ht="24" customHeight="1">
      <c r="A23" s="2991" t="s">
        <v>1933</v>
      </c>
      <c r="B23" s="1734">
        <f ca="1">IF(C23&lt;B2,"已过期",1120130048)</f>
        <v>1120130048</v>
      </c>
      <c r="C23" s="2992">
        <v>43686</v>
      </c>
      <c r="D23" s="2993" t="str">
        <f t="shared" ca="1" si="0"/>
        <v>王萌（注册号：1120130048）</v>
      </c>
      <c r="E23" s="2991"/>
      <c r="F23" s="1734"/>
      <c r="G23" s="1734"/>
      <c r="H23" s="2994" t="str">
        <f t="shared" si="1"/>
        <v>（注册号：）</v>
      </c>
    </row>
    <row r="24" spans="1:8" s="1736" customFormat="1" ht="24" customHeight="1">
      <c r="A24" s="1734" t="s">
        <v>1928</v>
      </c>
      <c r="B24" s="1734" t="s">
        <v>1928</v>
      </c>
      <c r="C24" s="1734" t="s">
        <v>1928</v>
      </c>
      <c r="D24" s="2993" t="str">
        <f>A24&amp;"（注册号："&amp;B24&amp;"）"</f>
        <v>——（注册号：——）</v>
      </c>
      <c r="E24" s="1734" t="s">
        <v>1928</v>
      </c>
      <c r="F24" s="1734" t="s">
        <v>1928</v>
      </c>
      <c r="G24" s="1734" t="s">
        <v>1928</v>
      </c>
      <c r="H24" s="2994" t="str">
        <f t="shared" si="1"/>
        <v>——（注册号：——）</v>
      </c>
    </row>
    <row r="25" spans="1:8" ht="24" customHeight="1">
      <c r="A25" s="3173" t="s">
        <v>1934</v>
      </c>
      <c r="B25" s="3173"/>
      <c r="C25" s="3173"/>
      <c r="D25" s="3173"/>
      <c r="E25" s="3173"/>
      <c r="F25" s="3173"/>
      <c r="G25" s="3173"/>
      <c r="H25" s="3173"/>
    </row>
    <row r="26" spans="1:8" s="1737" customFormat="1" ht="24" customHeight="1">
      <c r="A26" s="3174" t="s">
        <v>1935</v>
      </c>
      <c r="B26" s="3174"/>
      <c r="C26" s="3174"/>
      <c r="D26" s="1811"/>
      <c r="E26" s="1811"/>
      <c r="F26" s="3174" t="s">
        <v>1936</v>
      </c>
      <c r="G26" s="3174"/>
      <c r="H26" s="3174"/>
    </row>
    <row r="27" spans="1:8" s="1739" customFormat="1" ht="24" customHeight="1">
      <c r="A27" s="1738" t="s">
        <v>1937</v>
      </c>
      <c r="B27" s="1732" t="s">
        <v>1938</v>
      </c>
      <c r="C27" s="1732" t="s">
        <v>1939</v>
      </c>
      <c r="D27" s="1732"/>
      <c r="E27" s="1732"/>
      <c r="F27" s="1734" t="s">
        <v>1937</v>
      </c>
      <c r="G27" s="1732" t="s">
        <v>1938</v>
      </c>
      <c r="H27" s="1732" t="s">
        <v>1939</v>
      </c>
    </row>
    <row r="28" spans="1:8" s="1739" customFormat="1" ht="24" customHeight="1">
      <c r="A28" s="1740" t="s">
        <v>1940</v>
      </c>
      <c r="B28" s="1741" t="s">
        <v>1941</v>
      </c>
      <c r="C28" s="1742">
        <v>43725</v>
      </c>
      <c r="D28" s="1742"/>
      <c r="E28" s="1742"/>
      <c r="F28" s="1740" t="s">
        <v>1942</v>
      </c>
      <c r="G28" s="1740" t="s">
        <v>1943</v>
      </c>
      <c r="H28" s="1905">
        <v>44377</v>
      </c>
    </row>
    <row r="29" spans="1:8" s="1739" customFormat="1" ht="24" customHeight="1">
      <c r="A29" s="1740"/>
      <c r="B29" s="1740"/>
      <c r="C29" s="1743"/>
      <c r="D29" s="1743"/>
      <c r="E29" s="1743"/>
      <c r="F29" s="1740" t="s">
        <v>1944</v>
      </c>
      <c r="G29" s="1744" t="s">
        <v>2904</v>
      </c>
      <c r="H29" s="1906">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1799</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1769</v>
      </c>
      <c r="Q1" s="3" t="s">
        <v>2532</v>
      </c>
      <c r="R1" s="3" t="s">
        <v>2533</v>
      </c>
      <c r="S1" s="187" t="s">
        <v>281</v>
      </c>
      <c r="T1" s="188" t="s">
        <v>282</v>
      </c>
      <c r="U1" s="187" t="s">
        <v>283</v>
      </c>
      <c r="V1" s="187" t="s">
        <v>284</v>
      </c>
      <c r="W1" s="1292" t="s">
        <v>1772</v>
      </c>
      <c r="X1" s="1292" t="s">
        <v>2299</v>
      </c>
      <c r="Y1" s="1292" t="s">
        <v>2305</v>
      </c>
    </row>
    <row r="2" spans="1:25">
      <c r="A2" s="2595" t="s">
        <v>116</v>
      </c>
      <c r="B2" s="2595" t="s">
        <v>2557</v>
      </c>
      <c r="C2" s="1602" t="s">
        <v>1800</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2527</v>
      </c>
      <c r="S2" s="189" t="s">
        <v>243</v>
      </c>
      <c r="T2" s="189" t="s">
        <v>244</v>
      </c>
      <c r="U2" s="189" t="s">
        <v>243</v>
      </c>
      <c r="V2" s="189" t="s">
        <v>245</v>
      </c>
      <c r="W2" s="189" t="s">
        <v>243</v>
      </c>
      <c r="X2" s="2350" t="s">
        <v>2306</v>
      </c>
      <c r="Y2" s="2350" t="s">
        <v>2301</v>
      </c>
    </row>
    <row r="3" spans="1:25">
      <c r="A3" s="2595" t="s">
        <v>576</v>
      </c>
      <c r="B3" s="2596" t="s">
        <v>2558</v>
      </c>
      <c r="C3" s="1603" t="s">
        <v>1801</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2528</v>
      </c>
      <c r="S3" s="189" t="s">
        <v>251</v>
      </c>
      <c r="T3" s="189" t="s">
        <v>252</v>
      </c>
      <c r="U3" s="189" t="s">
        <v>251</v>
      </c>
      <c r="V3" s="189" t="s">
        <v>253</v>
      </c>
      <c r="W3" s="189" t="s">
        <v>251</v>
      </c>
      <c r="X3" s="2350" t="s">
        <v>2307</v>
      </c>
      <c r="Y3" s="2350" t="s">
        <v>2303</v>
      </c>
    </row>
    <row r="4" spans="1:25">
      <c r="A4" s="2595" t="s">
        <v>577</v>
      </c>
      <c r="B4" s="2596" t="s">
        <v>2559</v>
      </c>
      <c r="C4" s="1602" t="s">
        <v>1802</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2529</v>
      </c>
      <c r="S4" s="189" t="s">
        <v>254</v>
      </c>
      <c r="T4" s="189" t="s">
        <v>255</v>
      </c>
      <c r="U4" s="189" t="s">
        <v>254</v>
      </c>
      <c r="W4" s="189" t="s">
        <v>254</v>
      </c>
      <c r="X4" s="2350" t="s">
        <v>2308</v>
      </c>
      <c r="Y4" s="2350" t="s">
        <v>2309</v>
      </c>
    </row>
    <row r="5" spans="1:25">
      <c r="A5" s="2595" t="s">
        <v>578</v>
      </c>
      <c r="B5" s="2595" t="s">
        <v>2560</v>
      </c>
      <c r="C5" s="1602" t="s">
        <v>1803</v>
      </c>
      <c r="F5" s="189" t="s">
        <v>256</v>
      </c>
      <c r="H5" s="189" t="s">
        <v>257</v>
      </c>
      <c r="I5" s="189" t="s">
        <v>258</v>
      </c>
      <c r="K5" s="189" t="s">
        <v>259</v>
      </c>
      <c r="L5" s="189" t="s">
        <v>259</v>
      </c>
      <c r="M5" s="189" t="s">
        <v>259</v>
      </c>
      <c r="N5" s="189" t="s">
        <v>259</v>
      </c>
      <c r="O5" s="189" t="s">
        <v>259</v>
      </c>
      <c r="P5" s="189" t="s">
        <v>259</v>
      </c>
      <c r="Q5" s="189" t="s">
        <v>259</v>
      </c>
      <c r="R5" s="2350" t="s">
        <v>2530</v>
      </c>
      <c r="S5" s="189" t="s">
        <v>259</v>
      </c>
      <c r="T5" s="189" t="s">
        <v>260</v>
      </c>
      <c r="U5" s="189" t="s">
        <v>259</v>
      </c>
      <c r="W5" s="189" t="s">
        <v>259</v>
      </c>
      <c r="X5" s="1762"/>
      <c r="Y5" s="1024"/>
    </row>
    <row r="6" spans="1:25">
      <c r="A6" s="2595" t="s">
        <v>579</v>
      </c>
      <c r="B6" s="2595" t="s">
        <v>2561</v>
      </c>
      <c r="C6" s="1604" t="s">
        <v>165</v>
      </c>
      <c r="F6" s="189" t="s">
        <v>261</v>
      </c>
      <c r="H6" s="189" t="s">
        <v>262</v>
      </c>
      <c r="I6" s="189" t="s">
        <v>263</v>
      </c>
      <c r="K6" s="189" t="s">
        <v>264</v>
      </c>
      <c r="L6" s="189" t="s">
        <v>264</v>
      </c>
      <c r="M6" s="189" t="s">
        <v>264</v>
      </c>
      <c r="N6" s="189" t="s">
        <v>264</v>
      </c>
      <c r="O6" s="189" t="s">
        <v>264</v>
      </c>
      <c r="P6" s="189" t="s">
        <v>264</v>
      </c>
      <c r="Q6" s="189" t="s">
        <v>264</v>
      </c>
      <c r="R6" s="2350" t="s">
        <v>2531</v>
      </c>
      <c r="S6" s="189" t="s">
        <v>264</v>
      </c>
      <c r="T6" s="189"/>
      <c r="U6" s="189" t="s">
        <v>264</v>
      </c>
      <c r="W6" s="189" t="s">
        <v>264</v>
      </c>
      <c r="X6" s="1762"/>
      <c r="Y6" s="1024"/>
    </row>
    <row r="7" spans="1:25">
      <c r="A7" s="2595" t="s">
        <v>580</v>
      </c>
      <c r="B7" s="2596" t="s">
        <v>2562</v>
      </c>
      <c r="C7" s="1602" t="s">
        <v>166</v>
      </c>
      <c r="F7" s="189" t="s">
        <v>265</v>
      </c>
      <c r="H7" s="189" t="s">
        <v>266</v>
      </c>
      <c r="I7" s="189" t="s">
        <v>267</v>
      </c>
      <c r="R7" s="2350"/>
      <c r="X7" s="2349"/>
    </row>
    <row r="8" spans="1:25">
      <c r="A8" s="2595" t="s">
        <v>581</v>
      </c>
      <c r="B8" s="2596" t="s">
        <v>2563</v>
      </c>
      <c r="C8" s="1602" t="s">
        <v>1804</v>
      </c>
      <c r="F8" s="189" t="s">
        <v>294</v>
      </c>
      <c r="H8" s="189" t="s">
        <v>295</v>
      </c>
      <c r="I8" s="189" t="s">
        <v>296</v>
      </c>
      <c r="X8" s="2349"/>
    </row>
    <row r="9" spans="1:25">
      <c r="A9" s="2595" t="s">
        <v>582</v>
      </c>
      <c r="B9" s="2595" t="s">
        <v>2564</v>
      </c>
      <c r="C9" s="1602" t="s">
        <v>1805</v>
      </c>
      <c r="F9" s="189" t="s">
        <v>297</v>
      </c>
      <c r="H9" s="189" t="s">
        <v>298</v>
      </c>
    </row>
    <row r="10" spans="1:25">
      <c r="A10" s="2595" t="s">
        <v>583</v>
      </c>
      <c r="B10" s="2595" t="s">
        <v>2565</v>
      </c>
      <c r="C10" s="1602" t="s">
        <v>1806</v>
      </c>
      <c r="F10" s="189" t="s">
        <v>36</v>
      </c>
    </row>
    <row r="11" spans="1:25">
      <c r="A11" s="2595" t="s">
        <v>584</v>
      </c>
      <c r="B11" s="2595" t="s">
        <v>2566</v>
      </c>
      <c r="C11" s="1602" t="s">
        <v>1807</v>
      </c>
    </row>
    <row r="12" spans="1:25">
      <c r="A12" s="2595" t="s">
        <v>585</v>
      </c>
      <c r="B12" s="2595" t="s">
        <v>2567</v>
      </c>
      <c r="C12" s="1602" t="s">
        <v>1808</v>
      </c>
    </row>
    <row r="13" spans="1:25">
      <c r="A13" s="2595" t="s">
        <v>586</v>
      </c>
      <c r="B13" s="2595" t="s">
        <v>2568</v>
      </c>
      <c r="C13" s="1602" t="s">
        <v>1809</v>
      </c>
    </row>
    <row r="14" spans="1:25">
      <c r="A14" s="2595" t="s">
        <v>587</v>
      </c>
      <c r="B14" s="2595" t="s">
        <v>2569</v>
      </c>
      <c r="C14" s="1605"/>
    </row>
    <row r="15" spans="1:25">
      <c r="A15" s="2595" t="s">
        <v>588</v>
      </c>
      <c r="B15" s="2595" t="s">
        <v>2570</v>
      </c>
      <c r="C15" s="1605"/>
    </row>
    <row r="16" spans="1:25">
      <c r="A16" s="2595" t="s">
        <v>589</v>
      </c>
      <c r="B16" s="2595" t="s">
        <v>2571</v>
      </c>
      <c r="C16" s="1605"/>
    </row>
    <row r="17" spans="1:3">
      <c r="A17" s="2595" t="s">
        <v>590</v>
      </c>
      <c r="B17" s="2595" t="s">
        <v>2572</v>
      </c>
      <c r="C17" s="1605"/>
    </row>
    <row r="18" spans="1:3">
      <c r="A18" s="2595" t="s">
        <v>591</v>
      </c>
      <c r="B18" s="2595" t="s">
        <v>2757</v>
      </c>
      <c r="C18" s="1605"/>
    </row>
    <row r="19" spans="1:3">
      <c r="A19" s="2595" t="s">
        <v>592</v>
      </c>
      <c r="B19" s="2595" t="s">
        <v>2758</v>
      </c>
      <c r="C19" s="1605"/>
    </row>
    <row r="20" spans="1:3">
      <c r="A20" s="2595" t="s">
        <v>593</v>
      </c>
      <c r="B20" s="2595" t="s">
        <v>1794</v>
      </c>
      <c r="C20" s="1605"/>
    </row>
    <row r="21" spans="1:3">
      <c r="A21" s="2595" t="s">
        <v>594</v>
      </c>
      <c r="B21" s="2595" t="s">
        <v>1794</v>
      </c>
      <c r="C21" s="1605"/>
    </row>
    <row r="22" spans="1:3">
      <c r="A22" s="2595" t="s">
        <v>595</v>
      </c>
      <c r="B22" s="2595" t="s">
        <v>1794</v>
      </c>
      <c r="C22" s="1605"/>
    </row>
    <row r="23" spans="1:3">
      <c r="A23" s="2595" t="s">
        <v>596</v>
      </c>
      <c r="B23" s="2595" t="s">
        <v>1794</v>
      </c>
      <c r="C23" s="1605"/>
    </row>
    <row r="24" spans="1:3">
      <c r="A24" s="2595" t="s">
        <v>597</v>
      </c>
      <c r="B24" s="2595" t="s">
        <v>1794</v>
      </c>
      <c r="C24" s="1605"/>
    </row>
    <row r="25" spans="1:3">
      <c r="A25" s="2595" t="s">
        <v>598</v>
      </c>
      <c r="B25" s="2595" t="s">
        <v>1794</v>
      </c>
      <c r="C25" s="1605"/>
    </row>
    <row r="26" spans="1:3">
      <c r="A26" s="2595" t="s">
        <v>599</v>
      </c>
      <c r="B26" s="2595" t="s">
        <v>1794</v>
      </c>
      <c r="C26" s="1605"/>
    </row>
    <row r="27" spans="1:3">
      <c r="A27" s="2595" t="s">
        <v>1794</v>
      </c>
      <c r="B27" s="2595" t="s">
        <v>1794</v>
      </c>
      <c r="C27" s="1605"/>
    </row>
    <row r="28" spans="1:3">
      <c r="A28" s="2595" t="s">
        <v>1794</v>
      </c>
      <c r="B28" s="2595" t="s">
        <v>1794</v>
      </c>
      <c r="C28" s="1605"/>
    </row>
    <row r="29" spans="1:3">
      <c r="A29" s="2595" t="s">
        <v>1794</v>
      </c>
      <c r="B29" s="2595" t="s">
        <v>1794</v>
      </c>
      <c r="C29" s="1605"/>
    </row>
    <row r="30" spans="1:3">
      <c r="A30" s="2595" t="s">
        <v>1794</v>
      </c>
      <c r="B30" s="2595" t="s">
        <v>1794</v>
      </c>
      <c r="C30" s="1605"/>
    </row>
    <row r="31" spans="1:3">
      <c r="A31" s="2595" t="s">
        <v>1794</v>
      </c>
      <c r="B31" s="2595" t="s">
        <v>1794</v>
      </c>
      <c r="C31" s="1605"/>
    </row>
    <row r="32" spans="1:3">
      <c r="A32" s="2595" t="s">
        <v>1794</v>
      </c>
      <c r="B32" s="2595" t="s">
        <v>1794</v>
      </c>
      <c r="C32" s="1605"/>
    </row>
    <row r="33" spans="1:3">
      <c r="A33" s="2595" t="s">
        <v>1794</v>
      </c>
      <c r="B33" s="2595" t="s">
        <v>1794</v>
      </c>
      <c r="C33" s="1605"/>
    </row>
    <row r="34" spans="1:3">
      <c r="A34" s="2595" t="s">
        <v>1794</v>
      </c>
      <c r="B34" s="2595" t="s">
        <v>1794</v>
      </c>
      <c r="C34" s="1605"/>
    </row>
    <row r="35" spans="1:3">
      <c r="A35" s="2595" t="s">
        <v>1794</v>
      </c>
      <c r="B35" s="2595" t="s">
        <v>1794</v>
      </c>
      <c r="C35" s="1605"/>
    </row>
    <row r="36" spans="1:3">
      <c r="A36" s="2595" t="s">
        <v>1794</v>
      </c>
      <c r="B36" s="2595" t="s">
        <v>1794</v>
      </c>
      <c r="C36" s="1605"/>
    </row>
    <row r="37" spans="1:3">
      <c r="A37" s="2595" t="s">
        <v>1794</v>
      </c>
      <c r="B37" s="2595" t="s">
        <v>1794</v>
      </c>
      <c r="C37" s="1605"/>
    </row>
    <row r="38" spans="1:3">
      <c r="A38" s="2595" t="s">
        <v>1794</v>
      </c>
      <c r="B38" s="2595" t="s">
        <v>1794</v>
      </c>
      <c r="C38" s="1605"/>
    </row>
    <row r="39" spans="1:3">
      <c r="A39" s="2595" t="s">
        <v>1794</v>
      </c>
      <c r="B39" s="2595" t="s">
        <v>1794</v>
      </c>
      <c r="C39" s="1605"/>
    </row>
    <row r="40" spans="1:3">
      <c r="A40" s="2595" t="s">
        <v>1794</v>
      </c>
      <c r="B40" s="2595" t="s">
        <v>1794</v>
      </c>
      <c r="C40" s="1605"/>
    </row>
    <row r="41" spans="1:3">
      <c r="A41" s="2595" t="s">
        <v>1794</v>
      </c>
      <c r="B41" s="2595" t="s">
        <v>1794</v>
      </c>
      <c r="C41" s="1605"/>
    </row>
    <row r="42" spans="1:3">
      <c r="A42" s="2595" t="s">
        <v>1794</v>
      </c>
      <c r="B42" s="2595" t="s">
        <v>1794</v>
      </c>
      <c r="C42" s="1605"/>
    </row>
    <row r="43" spans="1:3">
      <c r="A43" s="2595" t="s">
        <v>1794</v>
      </c>
      <c r="B43" s="2595" t="s">
        <v>1794</v>
      </c>
      <c r="C43" s="1605"/>
    </row>
    <row r="44" spans="1:3">
      <c r="A44" s="2595" t="s">
        <v>1794</v>
      </c>
      <c r="B44" s="2595" t="s">
        <v>1794</v>
      </c>
      <c r="C44" s="1605"/>
    </row>
    <row r="45" spans="1:3">
      <c r="A45" s="2595" t="s">
        <v>1794</v>
      </c>
      <c r="B45" s="2595" t="s">
        <v>1794</v>
      </c>
      <c r="C45" s="1605"/>
    </row>
    <row r="46" spans="1:3">
      <c r="A46" s="2595" t="s">
        <v>1794</v>
      </c>
      <c r="B46" s="2595" t="s">
        <v>1794</v>
      </c>
      <c r="C46" s="1605"/>
    </row>
    <row r="47" spans="1:3">
      <c r="A47" s="2595" t="s">
        <v>1794</v>
      </c>
      <c r="B47" s="2595" t="s">
        <v>1794</v>
      </c>
      <c r="C47" s="1605"/>
    </row>
    <row r="48" spans="1:3">
      <c r="A48" s="2595" t="s">
        <v>1794</v>
      </c>
      <c r="B48" s="2595" t="s">
        <v>1794</v>
      </c>
      <c r="C48" s="1605"/>
    </row>
    <row r="49" spans="1:4">
      <c r="A49" s="2595" t="s">
        <v>1794</v>
      </c>
      <c r="B49" s="2595" t="s">
        <v>1794</v>
      </c>
      <c r="C49" s="1605"/>
    </row>
    <row r="50" spans="1:4">
      <c r="A50" s="2595" t="s">
        <v>1794</v>
      </c>
      <c r="B50" s="2595" t="s">
        <v>1794</v>
      </c>
      <c r="C50" s="1605"/>
    </row>
    <row r="51" spans="1:4">
      <c r="A51" s="1761"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海淀区车公庄西路乙19号房地产作为抵押担保物，向办理贷款手续。特委托北京康正宏基房地产评估有限公司对上述抵押物进行评估。本次评估为确定房地产抵押贷款额度提供参考依据而评估房地产抵押价值。</v>
      </c>
      <c r="D51" s="1899" t="s">
        <v>2724</v>
      </c>
    </row>
    <row r="52" spans="1:4">
      <c r="A52" s="1761" t="s">
        <v>1965</v>
      </c>
      <c r="B52" s="1761" t="s">
        <v>1964</v>
      </c>
      <c r="C52" s="1024" t="s">
        <v>1963</v>
      </c>
      <c r="D52" s="1024" t="s">
        <v>2011</v>
      </c>
    </row>
    <row r="53" spans="1:4" ht="14.25" customHeight="1">
      <c r="A53" s="317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本次估价的“房地产价值”是指在正常市场情况下，在价值时点2017年9月14日，估价对象规划用途为，假定未设立法定优先受偿款下的房地产市场价值。</v>
      </c>
    </row>
    <row r="54" spans="1:4">
      <c r="A54" s="3175"/>
      <c r="B54" s="1024" t="s">
        <v>1961</v>
      </c>
      <c r="C54" s="1024" t="s">
        <v>2721</v>
      </c>
    </row>
    <row r="55" spans="1:4">
      <c r="A55" s="3175"/>
      <c r="B55" s="1024" t="s">
        <v>1956</v>
      </c>
      <c r="C55" s="1024" t="s">
        <v>2722</v>
      </c>
    </row>
    <row r="56" spans="1:4">
      <c r="A56" s="3175"/>
      <c r="B56" s="1024" t="s">
        <v>1957</v>
      </c>
      <c r="C56" s="1024" t="s">
        <v>2746</v>
      </c>
    </row>
    <row r="57" spans="1:4">
      <c r="A57" s="3175"/>
      <c r="B57" s="1024" t="s">
        <v>1958</v>
      </c>
      <c r="C57" s="1024" t="s">
        <v>2723</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比较法-办公</vt:lpstr>
      <vt:lpstr>收益法</vt:lpstr>
      <vt:lpstr>案例</vt:lpstr>
      <vt:lpstr>结果表 (1修多)</vt:lpstr>
      <vt:lpstr>成本法</vt:lpstr>
      <vt:lpstr>假设开发法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2017-09-15T08:16:58Z</dcterms:modified>
</cp:coreProperties>
</file>