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4-1-0916北京市丰台区华源三里11号楼4层6单元402号\"/>
    </mc:Choice>
  </mc:AlternateContent>
  <bookViews>
    <workbookView xWindow="0" yWindow="0" windowWidth="20328" windowHeight="13128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6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Q26" i="67"/>
  <c r="F26" i="67"/>
  <c r="F25" i="67" s="1"/>
  <c r="F24" i="67" s="1"/>
  <c r="E26" i="67"/>
  <c r="U26" i="67" s="1"/>
  <c r="E25" i="67"/>
  <c r="E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 s="1"/>
  <c r="E66" i="67"/>
  <c r="C66" i="67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N55" i="67"/>
  <c r="B56" i="67"/>
  <c r="B57" i="67" s="1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E45" i="67" s="1"/>
  <c r="O44" i="67"/>
  <c r="N44" i="67"/>
  <c r="Q43" i="67"/>
  <c r="F44" i="67" s="1"/>
  <c r="F45" i="67" s="1"/>
  <c r="F46" i="67" s="1"/>
  <c r="V46" i="67" s="1"/>
  <c r="P43" i="67"/>
  <c r="E44" i="67" s="1"/>
  <c r="E46" i="67"/>
  <c r="U46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N39" i="67"/>
  <c r="B40" i="67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D70" i="67"/>
  <c r="N66" i="67"/>
  <c r="O66" i="67"/>
  <c r="Q66" i="67"/>
  <c r="Y63" i="66"/>
  <c r="Y62" i="66" s="1"/>
  <c r="T62" i="66" s="1"/>
  <c r="B62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H18" i="66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6" i="66" s="1"/>
  <c r="C8" i="66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8" i="66"/>
  <c r="D25" i="66"/>
  <c r="D24" i="66"/>
  <c r="D21" i="66"/>
  <c r="D20" i="66"/>
  <c r="D18" i="66"/>
  <c r="D17" i="66"/>
  <c r="D16" i="66"/>
  <c r="D15" i="66"/>
  <c r="D14" i="66"/>
  <c r="D13" i="66"/>
  <c r="D12" i="66"/>
  <c r="D11" i="66"/>
  <c r="D10" i="66"/>
  <c r="I9" i="66"/>
  <c r="D9" i="66"/>
  <c r="H17" i="66"/>
  <c r="H16" i="66"/>
  <c r="K15" i="66"/>
  <c r="H15" i="66"/>
  <c r="H14" i="66"/>
  <c r="K13" i="66"/>
  <c r="H13" i="66"/>
  <c r="H12" i="66"/>
  <c r="H11" i="66"/>
  <c r="H10" i="66"/>
  <c r="H9" i="66"/>
  <c r="H7" i="66"/>
  <c r="H5" i="66"/>
  <c r="D54" i="66"/>
  <c r="D50" i="66"/>
  <c r="D44" i="66"/>
  <c r="D40" i="66"/>
  <c r="D33" i="66"/>
  <c r="D29" i="66"/>
  <c r="J13" i="66"/>
  <c r="J2" i="66"/>
  <c r="N23" i="43" s="1"/>
  <c r="J8" i="66"/>
  <c r="U62" i="66"/>
  <c r="C62" i="66" s="1"/>
  <c r="D62" i="66" s="1"/>
  <c r="T63" i="66"/>
  <c r="B63" i="66" s="1"/>
  <c r="AB62" i="66"/>
  <c r="T60" i="66"/>
  <c r="B60" i="66" s="1"/>
  <c r="V62" i="66"/>
  <c r="E62" i="66" s="1"/>
  <c r="V63" i="66"/>
  <c r="E63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I18" i="66"/>
  <c r="I15" i="66"/>
  <c r="Z61" i="66"/>
  <c r="U61" i="66" s="1"/>
  <c r="C61" i="66" s="1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F74" i="63" s="1"/>
  <c r="G74" i="63" s="1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/>
  <c r="B25" i="62"/>
  <c r="B88" i="62" s="1"/>
  <c r="J73" i="63" s="1"/>
  <c r="I73" i="63" s="1"/>
  <c r="T18" i="62"/>
  <c r="K81" i="62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/>
  <c r="L17" i="62"/>
  <c r="G80" i="62" s="1"/>
  <c r="J18" i="62"/>
  <c r="F81" i="62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/>
  <c r="J17" i="62"/>
  <c r="F80" i="62" s="1"/>
  <c r="D24" i="62"/>
  <c r="C87" i="62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/>
  <c r="D17" i="62"/>
  <c r="C80" i="62" s="1"/>
  <c r="B18" i="62"/>
  <c r="B81" i="62"/>
  <c r="B19" i="62"/>
  <c r="B82" i="62" s="1"/>
  <c r="B20" i="62"/>
  <c r="B83" i="62"/>
  <c r="B21" i="62"/>
  <c r="B84" i="62" s="1"/>
  <c r="B22" i="62"/>
  <c r="B85" i="62"/>
  <c r="B23" i="62"/>
  <c r="B86" i="62" s="1"/>
  <c r="B24" i="62"/>
  <c r="B87" i="62"/>
  <c r="B17" i="62"/>
  <c r="B80" i="62" s="1"/>
  <c r="T11" i="62"/>
  <c r="K74" i="62"/>
  <c r="T12" i="62"/>
  <c r="K75" i="62" s="1"/>
  <c r="T13" i="62"/>
  <c r="K76" i="62"/>
  <c r="T14" i="62"/>
  <c r="K77" i="62" s="1"/>
  <c r="T15" i="62"/>
  <c r="K78" i="62"/>
  <c r="T16" i="62"/>
  <c r="K79" i="62" s="1"/>
  <c r="T10" i="62"/>
  <c r="K73" i="62"/>
  <c r="N16" i="62"/>
  <c r="H79" i="62" s="1"/>
  <c r="N15" i="62"/>
  <c r="H78" i="62"/>
  <c r="N14" i="62"/>
  <c r="H77" i="62" s="1"/>
  <c r="N13" i="62"/>
  <c r="H76" i="62"/>
  <c r="N12" i="62"/>
  <c r="H75" i="62" s="1"/>
  <c r="N11" i="62"/>
  <c r="H74" i="62"/>
  <c r="N10" i="62"/>
  <c r="H73" i="62" s="1"/>
  <c r="F16" i="62"/>
  <c r="D79" i="62"/>
  <c r="F15" i="62"/>
  <c r="D78" i="62" s="1"/>
  <c r="F14" i="62"/>
  <c r="D77" i="62"/>
  <c r="F13" i="62"/>
  <c r="D76" i="62" s="1"/>
  <c r="F12" i="62"/>
  <c r="D75" i="62"/>
  <c r="F11" i="62"/>
  <c r="D74" i="62" s="1"/>
  <c r="F10" i="62"/>
  <c r="D73" i="62"/>
  <c r="D11" i="62"/>
  <c r="C74" i="62" s="1"/>
  <c r="D12" i="62"/>
  <c r="C75" i="62"/>
  <c r="D13" i="62"/>
  <c r="C76" i="62" s="1"/>
  <c r="D14" i="62"/>
  <c r="C77" i="62"/>
  <c r="D15" i="62"/>
  <c r="C78" i="62" s="1"/>
  <c r="D16" i="62"/>
  <c r="C79" i="62"/>
  <c r="D10" i="62"/>
  <c r="C73" i="62" s="1"/>
  <c r="H16" i="62"/>
  <c r="E79" i="62"/>
  <c r="H15" i="62"/>
  <c r="E78" i="62" s="1"/>
  <c r="H14" i="62"/>
  <c r="E77" i="62"/>
  <c r="H13" i="62"/>
  <c r="E76" i="62" s="1"/>
  <c r="H12" i="62"/>
  <c r="E75" i="62"/>
  <c r="H11" i="62"/>
  <c r="E74" i="62" s="1"/>
  <c r="H10" i="62"/>
  <c r="E73" i="62"/>
  <c r="B11" i="62"/>
  <c r="B74" i="62" s="1"/>
  <c r="B12" i="62"/>
  <c r="B75" i="62"/>
  <c r="B13" i="62"/>
  <c r="B76" i="62" s="1"/>
  <c r="B14" i="62"/>
  <c r="B77" i="62"/>
  <c r="B15" i="62"/>
  <c r="B78" i="62" s="1"/>
  <c r="B16" i="62"/>
  <c r="B79" i="62"/>
  <c r="B10" i="62"/>
  <c r="B73" i="62" s="1"/>
  <c r="T4" i="62"/>
  <c r="K67" i="62"/>
  <c r="T5" i="62"/>
  <c r="K68" i="62" s="1"/>
  <c r="T6" i="62"/>
  <c r="K69" i="62"/>
  <c r="T7" i="62"/>
  <c r="K70" i="62" s="1"/>
  <c r="T8" i="62"/>
  <c r="K71" i="62"/>
  <c r="T9" i="62"/>
  <c r="K72" i="62" s="1"/>
  <c r="T3" i="62"/>
  <c r="K66" i="62"/>
  <c r="N8" i="62"/>
  <c r="H71" i="62" s="1"/>
  <c r="N9" i="62"/>
  <c r="H72" i="62"/>
  <c r="N5" i="62"/>
  <c r="H68" i="62" s="1"/>
  <c r="N6" i="62"/>
  <c r="H69" i="62"/>
  <c r="N7" i="62"/>
  <c r="H70" i="62" s="1"/>
  <c r="N4" i="62"/>
  <c r="H67" i="62"/>
  <c r="N3" i="62"/>
  <c r="H66" i="62" s="1"/>
  <c r="J4" i="62"/>
  <c r="F67" i="62"/>
  <c r="J5" i="62"/>
  <c r="F68" i="62" s="1"/>
  <c r="J6" i="62"/>
  <c r="F69" i="62"/>
  <c r="J7" i="62"/>
  <c r="F70" i="62" s="1"/>
  <c r="J8" i="62"/>
  <c r="F71" i="62"/>
  <c r="J9" i="62"/>
  <c r="F72" i="62" s="1"/>
  <c r="J3" i="62"/>
  <c r="F66" i="62"/>
  <c r="H4" i="62"/>
  <c r="E67" i="62" s="1"/>
  <c r="H5" i="62"/>
  <c r="E68" i="62"/>
  <c r="H6" i="62"/>
  <c r="E69" i="62" s="1"/>
  <c r="H7" i="62"/>
  <c r="E70" i="62"/>
  <c r="H8" i="62"/>
  <c r="E71" i="62" s="1"/>
  <c r="H9" i="62"/>
  <c r="E72" i="62"/>
  <c r="H3" i="62"/>
  <c r="E66" i="62" s="1"/>
  <c r="F4" i="62"/>
  <c r="D67" i="62"/>
  <c r="F5" i="62"/>
  <c r="D68" i="62" s="1"/>
  <c r="F6" i="62"/>
  <c r="D69" i="62"/>
  <c r="F7" i="62"/>
  <c r="D70" i="62" s="1"/>
  <c r="F8" i="62"/>
  <c r="D71" i="62"/>
  <c r="F9" i="62"/>
  <c r="D72" i="62" s="1"/>
  <c r="F3" i="62"/>
  <c r="D66" i="62"/>
  <c r="D4" i="62"/>
  <c r="C67" i="62" s="1"/>
  <c r="D5" i="62"/>
  <c r="C68" i="62"/>
  <c r="D6" i="62"/>
  <c r="C69" i="62" s="1"/>
  <c r="D7" i="62"/>
  <c r="C70" i="62"/>
  <c r="D8" i="62"/>
  <c r="C71" i="62" s="1"/>
  <c r="D9" i="62"/>
  <c r="C72" i="62"/>
  <c r="D3" i="62"/>
  <c r="C66" i="62" s="1"/>
  <c r="J43" i="63" s="1"/>
  <c r="I43" i="63" s="1"/>
  <c r="B4" i="62"/>
  <c r="B67" i="62"/>
  <c r="B5" i="62"/>
  <c r="B68" i="62" s="1"/>
  <c r="B6" i="62"/>
  <c r="B69" i="62"/>
  <c r="B7" i="62"/>
  <c r="B70" i="62" s="1"/>
  <c r="B8" i="62"/>
  <c r="B71" i="62"/>
  <c r="B9" i="62"/>
  <c r="B72" i="62" s="1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F54" i="63"/>
  <c r="G54" i="63" s="1"/>
  <c r="D60" i="63"/>
  <c r="D66" i="63"/>
  <c r="F64" i="63"/>
  <c r="G64" i="63" s="1"/>
  <c r="D64" i="63"/>
  <c r="D62" i="63"/>
  <c r="D70" i="63"/>
  <c r="D72" i="63"/>
  <c r="D74" i="63"/>
  <c r="F48" i="63"/>
  <c r="G48" i="63" s="1"/>
  <c r="D65" i="63"/>
  <c r="D61" i="63"/>
  <c r="F75" i="63"/>
  <c r="G75" i="63" s="1"/>
  <c r="D75" i="63"/>
  <c r="D73" i="63"/>
  <c r="F71" i="63"/>
  <c r="G71" i="63" s="1"/>
  <c r="D71" i="63"/>
  <c r="D53" i="63"/>
  <c r="D51" i="63"/>
  <c r="I2" i="43"/>
  <c r="D1" i="43"/>
  <c r="G2" i="43"/>
  <c r="O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0" i="9" s="1"/>
  <c r="B8" i="59"/>
  <c r="G3" i="43" s="1"/>
  <c r="I102" i="43" s="1"/>
  <c r="F16" i="59"/>
  <c r="F8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9" i="43"/>
  <c r="K100" i="43"/>
  <c r="J100" i="43"/>
  <c r="J109" i="43" s="1"/>
  <c r="I100" i="43"/>
  <c r="I109" i="43" s="1"/>
  <c r="H100" i="43"/>
  <c r="H101" i="43" s="1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L101" i="43"/>
  <c r="B84" i="43"/>
  <c r="B83" i="43"/>
  <c r="B72" i="43"/>
  <c r="B61" i="43"/>
  <c r="B50" i="43"/>
  <c r="M88" i="43"/>
  <c r="N88" i="43" s="1"/>
  <c r="K88" i="43"/>
  <c r="J88" i="43"/>
  <c r="D88" i="43"/>
  <c r="M87" i="43"/>
  <c r="N87" i="43"/>
  <c r="K87" i="43"/>
  <c r="J87" i="43" s="1"/>
  <c r="M86" i="43"/>
  <c r="N86" i="43" s="1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 s="1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H21" i="39" s="1"/>
  <c r="D81" i="39"/>
  <c r="E81" i="39" s="1"/>
  <c r="F81" i="39" s="1"/>
  <c r="G81" i="39" s="1"/>
  <c r="D79" i="39"/>
  <c r="E79" i="39" s="1"/>
  <c r="D77" i="39"/>
  <c r="E77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J36" i="39"/>
  <c r="F42" i="39"/>
  <c r="AA42" i="39" s="1"/>
  <c r="F41" i="39"/>
  <c r="AA41" i="39" s="1"/>
  <c r="H39" i="39"/>
  <c r="U39" i="39" s="1"/>
  <c r="H34" i="39"/>
  <c r="AB34" i="39" s="1"/>
  <c r="E89" i="39"/>
  <c r="H42" i="39"/>
  <c r="AB42" i="39" s="1"/>
  <c r="J34" i="39"/>
  <c r="AC34" i="39"/>
  <c r="C25" i="39"/>
  <c r="F43" i="39"/>
  <c r="AA43" i="39" s="1"/>
  <c r="H43" i="39"/>
  <c r="U43" i="39" s="1"/>
  <c r="H14" i="39"/>
  <c r="F13" i="39"/>
  <c r="AA13" i="39" s="1"/>
  <c r="J41" i="39"/>
  <c r="W41" i="39" s="1"/>
  <c r="J42" i="39"/>
  <c r="AC42" i="39" s="1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M3" i="43"/>
  <c r="M10" i="43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M101" i="43"/>
  <c r="E101" i="43"/>
  <c r="I101" i="43"/>
  <c r="S42" i="39"/>
  <c r="W39" i="39"/>
  <c r="U38" i="39"/>
  <c r="S38" i="39"/>
  <c r="AA36" i="39"/>
  <c r="AB43" i="39"/>
  <c r="AB39" i="39"/>
  <c r="J40" i="39"/>
  <c r="W40" i="39" s="1"/>
  <c r="H15" i="39"/>
  <c r="F77" i="39"/>
  <c r="G77" i="39" s="1"/>
  <c r="F15" i="39"/>
  <c r="S15" i="39" s="1"/>
  <c r="J15" i="39"/>
  <c r="W15" i="39" s="1"/>
  <c r="F37" i="39"/>
  <c r="S37" i="39" s="1"/>
  <c r="H41" i="39"/>
  <c r="U41" i="39"/>
  <c r="U45" i="39"/>
  <c r="J45" i="39"/>
  <c r="H23" i="39"/>
  <c r="U23" i="39"/>
  <c r="F85" i="39"/>
  <c r="G85" i="39" s="1"/>
  <c r="S34" i="39"/>
  <c r="J17" i="39"/>
  <c r="W17" i="39" s="1"/>
  <c r="F83" i="39"/>
  <c r="G83" i="39" s="1"/>
  <c r="J21" i="39"/>
  <c r="AC21" i="39" s="1"/>
  <c r="F21" i="39"/>
  <c r="AA21" i="39" s="1"/>
  <c r="J32" i="39"/>
  <c r="AC32" i="39" s="1"/>
  <c r="H19" i="39"/>
  <c r="J19" i="39"/>
  <c r="AC19" i="39" s="1"/>
  <c r="AC37" i="39"/>
  <c r="W34" i="39"/>
  <c r="S23" i="39"/>
  <c r="U10" i="39"/>
  <c r="S10" i="39"/>
  <c r="M12" i="43"/>
  <c r="M6" i="43"/>
  <c r="M5" i="43"/>
  <c r="N4" i="43"/>
  <c r="W10" i="39"/>
  <c r="AC10" i="39"/>
  <c r="AB35" i="39"/>
  <c r="S43" i="39"/>
  <c r="U42" i="39"/>
  <c r="AB23" i="39"/>
  <c r="E48" i="43"/>
  <c r="B46" i="43" s="1"/>
  <c r="AB41" i="39"/>
  <c r="AA15" i="39"/>
  <c r="AA37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N8" i="43"/>
  <c r="N5" i="43"/>
  <c r="N9" i="43"/>
  <c r="N7" i="43"/>
  <c r="N1" i="43"/>
  <c r="N10" i="43"/>
  <c r="H8" i="44"/>
  <c r="C17" i="43"/>
  <c r="F114" i="43"/>
  <c r="H5" i="44"/>
  <c r="A12" i="43"/>
  <c r="F59" i="43"/>
  <c r="H65" i="43" s="1"/>
  <c r="J2" i="65"/>
  <c r="J7" i="39"/>
  <c r="AC7" i="39" s="1"/>
  <c r="V47" i="39" s="1"/>
  <c r="I47" i="39" s="1"/>
  <c r="H16" i="63"/>
  <c r="I3" i="63"/>
  <c r="G7" i="65"/>
  <c r="H5" i="65"/>
  <c r="H4" i="65"/>
  <c r="G6" i="65"/>
  <c r="H8" i="65"/>
  <c r="E5" i="65"/>
  <c r="H6" i="65"/>
  <c r="H7" i="65"/>
  <c r="G5" i="65"/>
  <c r="G8" i="65"/>
  <c r="E20" i="64" l="1"/>
  <c r="F57" i="63"/>
  <c r="G57" i="63" s="1"/>
  <c r="E22" i="43"/>
  <c r="U21" i="39"/>
  <c r="AB21" i="39"/>
  <c r="J63" i="63"/>
  <c r="I63" i="63" s="1"/>
  <c r="J66" i="63"/>
  <c r="I66" i="63" s="1"/>
  <c r="J61" i="63"/>
  <c r="I61" i="63" s="1"/>
  <c r="J60" i="63"/>
  <c r="I60" i="63" s="1"/>
  <c r="J52" i="63"/>
  <c r="I52" i="63" s="1"/>
  <c r="W13" i="39"/>
  <c r="AC13" i="39"/>
  <c r="F19" i="39"/>
  <c r="AA19" i="39" s="1"/>
  <c r="F18" i="59"/>
  <c r="D44" i="67"/>
  <c r="C45" i="67"/>
  <c r="D45" i="67" s="1"/>
  <c r="T70" i="67"/>
  <c r="C69" i="67"/>
  <c r="W32" i="39"/>
  <c r="AC15" i="39"/>
  <c r="U37" i="39"/>
  <c r="AC41" i="39"/>
  <c r="S39" i="39"/>
  <c r="S13" i="39"/>
  <c r="H13" i="39"/>
  <c r="D78" i="43"/>
  <c r="U29" i="39"/>
  <c r="G16" i="66"/>
  <c r="G6" i="66"/>
  <c r="T66" i="67"/>
  <c r="D66" i="67"/>
  <c r="S21" i="39"/>
  <c r="AB40" i="39"/>
  <c r="W42" i="39"/>
  <c r="F38" i="43"/>
  <c r="H114" i="43"/>
  <c r="E81" i="43"/>
  <c r="B79" i="43" s="1"/>
  <c r="D27" i="64"/>
  <c r="D29" i="64"/>
  <c r="I20" i="43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C77" i="67"/>
  <c r="C7" i="68"/>
  <c r="B2" i="68"/>
  <c r="D8" i="68" s="1"/>
  <c r="F14" i="68"/>
  <c r="H17" i="43"/>
  <c r="D76" i="43"/>
  <c r="N6" i="43"/>
  <c r="E70" i="63"/>
  <c r="B68" i="63" s="1"/>
  <c r="C10" i="63"/>
  <c r="F28" i="59"/>
  <c r="W64" i="66"/>
  <c r="F64" i="66" s="1"/>
  <c r="W65" i="66"/>
  <c r="F65" i="66" s="1"/>
  <c r="V60" i="66"/>
  <c r="E60" i="66" s="1"/>
  <c r="V61" i="66"/>
  <c r="E61" i="66" s="1"/>
  <c r="D78" i="67"/>
  <c r="E64" i="67"/>
  <c r="E14" i="68"/>
  <c r="B53" i="67"/>
  <c r="B54" i="67" s="1"/>
  <c r="S54" i="67" s="1"/>
  <c r="D6" i="68"/>
  <c r="C33" i="67"/>
  <c r="C57" i="67"/>
  <c r="D7" i="68"/>
  <c r="D72" i="43"/>
  <c r="E70" i="43" s="1"/>
  <c r="B68" i="43" s="1"/>
  <c r="C24" i="43" s="1"/>
  <c r="C12" i="43"/>
  <c r="I106" i="43"/>
  <c r="I107" i="43"/>
  <c r="I103" i="43"/>
  <c r="I110" i="43"/>
  <c r="E102" i="43"/>
  <c r="E110" i="43" s="1"/>
  <c r="K1" i="60"/>
  <c r="H16" i="44"/>
  <c r="M4" i="43"/>
  <c r="C6" i="43" s="1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J57" i="63"/>
  <c r="I57" i="63" s="1"/>
  <c r="F46" i="63"/>
  <c r="G46" i="63" s="1"/>
  <c r="J76" i="63"/>
  <c r="I76" i="63" s="1"/>
  <c r="F60" i="63"/>
  <c r="G60" i="63" s="1"/>
  <c r="U18" i="67"/>
  <c r="E17" i="67"/>
  <c r="E16" i="67" s="1"/>
  <c r="E15" i="67" s="1"/>
  <c r="E14" i="67" s="1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32" i="59"/>
  <c r="F29" i="59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6" i="66"/>
  <c r="I4" i="66"/>
  <c r="I11" i="66"/>
  <c r="I12" i="66"/>
  <c r="I13" i="66"/>
  <c r="I16" i="66"/>
  <c r="I17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I14" i="66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C34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F53" i="63"/>
  <c r="G53" i="63" s="1"/>
  <c r="F51" i="63"/>
  <c r="G51" i="63" s="1"/>
  <c r="F62" i="63"/>
  <c r="G62" i="63" s="1"/>
  <c r="F66" i="63"/>
  <c r="G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H53" i="43"/>
  <c r="M1" i="60"/>
  <c r="C7" i="63" s="1"/>
  <c r="D17" i="43"/>
  <c r="L17" i="43"/>
  <c r="N17" i="43"/>
  <c r="E17" i="43"/>
  <c r="H52" i="43"/>
  <c r="H55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I3" i="65"/>
  <c r="E7" i="65"/>
  <c r="D8" i="65"/>
  <c r="D7" i="65"/>
  <c r="E4" i="65"/>
  <c r="E8" i="65"/>
  <c r="E6" i="65"/>
  <c r="G4" i="65"/>
  <c r="E106" i="43" l="1"/>
  <c r="E103" i="43"/>
  <c r="E105" i="43"/>
  <c r="E108" i="43"/>
  <c r="F33" i="59"/>
  <c r="B17" i="9" s="1"/>
  <c r="V66" i="66"/>
  <c r="E66" i="66" s="1"/>
  <c r="O66" i="66" s="1"/>
  <c r="AA65" i="66"/>
  <c r="D5" i="68"/>
  <c r="P65" i="66"/>
  <c r="C76" i="67"/>
  <c r="D76" i="67" s="1"/>
  <c r="D77" i="67"/>
  <c r="D41" i="67"/>
  <c r="C42" i="67"/>
  <c r="U13" i="39"/>
  <c r="AB13" i="39"/>
  <c r="D69" i="67"/>
  <c r="C68" i="67"/>
  <c r="D68" i="67" s="1"/>
  <c r="F9" i="9"/>
  <c r="F5" i="9" s="1"/>
  <c r="F17" i="59"/>
  <c r="F12" i="59" s="1"/>
  <c r="F20" i="59" s="1"/>
  <c r="F11" i="9" s="1"/>
  <c r="P64" i="67"/>
  <c r="P63" i="67"/>
  <c r="U38" i="67"/>
  <c r="F19" i="43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F12" i="63" s="1"/>
  <c r="G12" i="63"/>
  <c r="H12" i="63" s="1"/>
  <c r="E13" i="63"/>
  <c r="F13" i="63" s="1"/>
  <c r="D14" i="63"/>
  <c r="G13" i="63"/>
  <c r="H13" i="63" s="1"/>
  <c r="B80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C5" i="43"/>
  <c r="E8" i="67"/>
  <c r="D58" i="39"/>
  <c r="E56" i="39"/>
  <c r="S25" i="39"/>
  <c r="AA25" i="39"/>
  <c r="AC25" i="39"/>
  <c r="U25" i="39"/>
  <c r="AB25" i="39"/>
  <c r="AB27" i="39"/>
  <c r="U27" i="39"/>
  <c r="D5" i="65"/>
  <c r="D6" i="65"/>
  <c r="D4" i="65"/>
  <c r="G3" i="65"/>
  <c r="D42" i="67" l="1"/>
  <c r="T42" i="67"/>
  <c r="V65" i="66"/>
  <c r="E65" i="66" s="1"/>
  <c r="O65" i="66" s="1"/>
  <c r="V64" i="66"/>
  <c r="E64" i="66" s="1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E20" i="43"/>
  <c r="G1" i="65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39" i="66"/>
  <c r="O51" i="66"/>
  <c r="O52" i="66"/>
  <c r="O45" i="66"/>
  <c r="O38" i="66"/>
  <c r="O30" i="66"/>
  <c r="O25" i="66"/>
  <c r="O56" i="66"/>
  <c r="O17" i="66"/>
  <c r="O2" i="66" s="1"/>
  <c r="C29" i="63" s="1"/>
  <c r="O57" i="66"/>
  <c r="O50" i="66"/>
  <c r="O44" i="66"/>
  <c r="O36" i="66"/>
  <c r="O29" i="66"/>
  <c r="O24" i="66"/>
  <c r="O35" i="66"/>
  <c r="O47" i="66"/>
  <c r="O58" i="66"/>
  <c r="O54" i="66"/>
  <c r="O46" i="66"/>
  <c r="O40" i="66"/>
  <c r="O33" i="66"/>
  <c r="O20" i="66"/>
  <c r="O22" i="66"/>
  <c r="O21" i="66"/>
  <c r="O32" i="66"/>
  <c r="O53" i="66"/>
  <c r="O64" i="66"/>
  <c r="O27" i="66"/>
  <c r="O18" i="66"/>
  <c r="O37" i="66"/>
  <c r="O55" i="66"/>
  <c r="O62" i="66"/>
  <c r="O23" i="66"/>
  <c r="O42" i="66"/>
  <c r="O31" i="66"/>
  <c r="O59" i="66"/>
  <c r="O26" i="66"/>
  <c r="O48" i="66"/>
  <c r="O63" i="66"/>
  <c r="O43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E20" i="63"/>
  <c r="C22" i="63"/>
  <c r="B5" i="63" s="1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<sst xmlns="http://schemas.openxmlformats.org/spreadsheetml/2006/main" count="3963" uniqueCount="1800">
  <si>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</si>
  <si>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</si>
  <si>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</si>
  <si>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</si>
  <si>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</si>
  <si>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</si>
  <si>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</si>
  <si>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</si>
  <si>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</si>
  <si>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</si>
  <si>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</si>
  <si>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</si>
  <si>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</si>
  <si>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</si>
  <si>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</si>
  <si>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</si>
  <si>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</si>
  <si>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</si>
  <si>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</si>
  <si>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</si>
  <si>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</si>
  <si>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</si>
  <si>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</si>
  <si>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</si>
  <si>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</si>
  <si>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</si>
  <si>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</si>
  <si>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</si>
  <si>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</si>
  <si>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</si>
  <si>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</si>
  <si>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</si>
  <si>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</si>
  <si>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</si>
  <si>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</si>
  <si>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</si>
  <si>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</si>
  <si>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</si>
  <si>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</si>
  <si>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</si>
  <si>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</si>
  <si>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</si>
  <si>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</si>
  <si>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</si>
  <si>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</si>
  <si>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</si>
  <si>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</si>
  <si>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</si>
  <si>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</si>
  <si>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</si>
  <si>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</si>
  <si>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</si>
  <si>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</si>
  <si>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</si>
  <si>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</si>
  <si>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</si>
  <si>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</si>
  <si>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</si>
  <si>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</si>
  <si>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</si>
  <si>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</si>
  <si>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</si>
  <si>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</si>
  <si>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</si>
  <si>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</si>
  <si>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</si>
  <si>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</si>
  <si>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</si>
  <si>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</si>
  <si>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</si>
  <si>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</si>
  <si>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</si>
  <si>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</si>
  <si>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</si>
  <si>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</si>
  <si>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</si>
  <si>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</si>
  <si>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</si>
  <si>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</si>
  <si>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</si>
  <si>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</si>
  <si>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</si>
  <si>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</si>
  <si>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</si>
  <si>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</si>
  <si>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</si>
  <si>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</si>
  <si>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</si>
  <si>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</si>
  <si>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</si>
  <si>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</si>
  <si>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</si>
  <si>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</si>
  <si>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</si>
  <si>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</si>
  <si>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</si>
  <si>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</si>
  <si>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</si>
  <si>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</si>
  <si>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</si>
  <si>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</si>
  <si>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</si>
  <si>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</si>
  <si>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</si>
  <si>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</si>
  <si>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</si>
  <si>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</si>
  <si>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</si>
  <si>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</si>
  <si>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</si>
  <si>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</si>
  <si>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</si>
  <si>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</si>
  <si>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</si>
  <si>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</si>
  <si>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</si>
  <si>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</si>
  <si>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</si>
  <si>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</si>
  <si>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</si>
  <si>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</si>
  <si>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</si>
  <si>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</si>
  <si>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</si>
  <si>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</si>
  <si>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</si>
  <si>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</si>
  <si>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</si>
  <si>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</si>
  <si>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</si>
  <si>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</si>
  <si>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</si>
  <si>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</si>
  <si>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</si>
  <si>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</si>
  <si>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</si>
  <si>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</si>
  <si>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</si>
  <si>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</si>
  <si>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</si>
  <si>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</si>
  <si>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</si>
  <si>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</si>
  <si>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</si>
  <si>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</si>
  <si>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</si>
  <si>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</si>
  <si>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</si>
  <si>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</si>
  <si>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</si>
  <si>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</si>
  <si>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</si>
  <si>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</si>
  <si>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</si>
  <si>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</si>
  <si>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</si>
  <si>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</si>
  <si>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</si>
  <si>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</si>
  <si>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</si>
  <si>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</si>
  <si>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</si>
  <si>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</si>
  <si>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</si>
  <si>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</si>
  <si>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</si>
  <si>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</si>
  <si>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</si>
  <si>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</si>
  <si>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</si>
  <si>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</si>
  <si>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</si>
  <si>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</si>
  <si>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</si>
  <si>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</si>
  <si>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</si>
  <si>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</si>
  <si>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</si>
  <si>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</si>
  <si>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</si>
  <si>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</si>
  <si>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</si>
  <si>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</si>
  <si>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</si>
  <si>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</si>
  <si>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</si>
  <si>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</si>
  <si>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</si>
  <si>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</si>
  <si>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</si>
  <si>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</si>
  <si>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</si>
  <si>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</si>
  <si>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</si>
  <si>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</si>
  <si>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</si>
  <si>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</si>
  <si>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</si>
  <si>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</si>
  <si>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</si>
  <si>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</si>
  <si>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</si>
  <si>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</si>
  <si>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</si>
  <si>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</si>
  <si>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</si>
  <si>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</si>
  <si>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</si>
  <si>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</si>
  <si>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</si>
  <si>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</si>
  <si>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</si>
  <si>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</si>
  <si>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</si>
  <si>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</si>
  <si>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</si>
  <si>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</si>
  <si>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</si>
  <si>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</si>
  <si>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</si>
  <si>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</si>
  <si>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</si>
  <si>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</si>
  <si>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</si>
  <si>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</si>
  <si>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</si>
  <si>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</si>
  <si>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</si>
  <si>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</si>
  <si>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</si>
  <si>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</si>
  <si>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</si>
  <si>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</si>
  <si>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</si>
  <si>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</si>
  <si>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</si>
  <si>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</si>
  <si>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</si>
  <si>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</si>
  <si>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</si>
  <si>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</si>
  <si>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</si>
  <si>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</si>
  <si>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</si>
  <si>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</si>
  <si>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</si>
  <si>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</si>
  <si>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</si>
  <si>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</si>
  <si>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</si>
  <si>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</si>
  <si>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</si>
  <si>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</si>
  <si>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</si>
  <si>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</si>
  <si>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</si>
  <si>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</si>
  <si>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</si>
  <si>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</si>
  <si>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</si>
  <si>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</si>
  <si>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</si>
  <si>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</si>
  <si>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</si>
  <si>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</si>
  <si>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</si>
  <si>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</si>
  <si>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</si>
  <si>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</si>
  <si>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</si>
  <si>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</si>
  <si>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</si>
  <si>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</si>
  <si>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</si>
  <si>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</si>
  <si>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</si>
  <si>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</si>
  <si>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</si>
  <si>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</si>
  <si>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</si>
  <si>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</si>
  <si>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</si>
  <si>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</si>
  <si>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</si>
  <si>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</si>
  <si>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</si>
  <si>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</si>
  <si>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</si>
  <si>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</si>
  <si>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</si>
  <si>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</si>
  <si>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</si>
  <si>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</si>
  <si>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</si>
  <si>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</si>
  <si>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</si>
  <si>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</si>
  <si>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</si>
  <si>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</si>
  <si>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</si>
  <si>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</si>
  <si>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</si>
  <si>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</si>
  <si>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</si>
  <si>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</si>
  <si>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</si>
  <si>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</si>
  <si>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</si>
  <si>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</si>
  <si>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</si>
  <si>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</si>
  <si>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</si>
  <si>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</si>
  <si>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</si>
  <si>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</si>
  <si>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</si>
  <si>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</si>
  <si>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</si>
  <si>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</si>
  <si>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</si>
  <si>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</si>
  <si>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</si>
  <si>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</si>
  <si>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</si>
  <si>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</si>
  <si>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</si>
  <si>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</si>
  <si>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</si>
  <si>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</si>
  <si>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</si>
  <si>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</si>
  <si>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</si>
  <si>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</si>
  <si>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</si>
  <si>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</si>
  <si>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</si>
  <si>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</si>
  <si>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</si>
  <si>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</si>
  <si>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</si>
  <si>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</si>
  <si>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</si>
  <si>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</si>
  <si>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</si>
  <si>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</si>
  <si>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</si>
  <si>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</si>
  <si>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</si>
  <si>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</si>
  <si>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</si>
  <si>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</si>
  <si>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</si>
  <si>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</si>
  <si>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</si>
  <si>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</si>
  <si>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</si>
  <si>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</si>
  <si>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</si>
  <si>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</si>
  <si>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</si>
  <si>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</si>
  <si>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</si>
  <si>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</si>
  <si>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</si>
  <si>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</si>
  <si>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</si>
  <si>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</si>
  <si>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</si>
  <si>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</si>
  <si>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</si>
  <si>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</si>
  <si>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</si>
  <si>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</si>
  <si>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</si>
  <si>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</si>
  <si>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</si>
  <si>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</si>
  <si>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</si>
  <si>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</si>
  <si>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</si>
  <si>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</si>
  <si>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</si>
  <si>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</si>
  <si>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</si>
  <si>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</si>
  <si>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</si>
  <si>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</si>
  <si>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</si>
  <si>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</si>
  <si>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</si>
  <si>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</si>
  <si>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</si>
  <si>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</si>
  <si>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</si>
  <si>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</si>
  <si>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</si>
  <si>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</si>
  <si>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</si>
  <si>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</si>
  <si>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</si>
  <si>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</si>
  <si>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</si>
  <si>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</si>
  <si>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</si>
  <si>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</si>
  <si>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</si>
  <si>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</si>
  <si>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</si>
  <si>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</si>
  <si>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</si>
  <si>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</si>
  <si>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</si>
  <si>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</si>
  <si>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</si>
  <si>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</si>
  <si>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</si>
  <si>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</si>
  <si>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</si>
  <si>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</si>
  <si>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</si>
  <si>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</si>
  <si>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</si>
  <si>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</si>
  <si>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</si>
  <si>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</si>
  <si>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</si>
  <si>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</si>
  <si>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</si>
  <si>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</si>
  <si>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</si>
  <si>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</si>
  <si>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</si>
  <si>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</si>
  <si>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</si>
  <si>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</si>
  <si>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</si>
  <si>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</si>
  <si>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</si>
  <si>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</si>
  <si>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</si>
  <si>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</si>
  <si>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</si>
  <si>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</si>
  <si>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</si>
  <si>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</si>
  <si>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</si>
  <si>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</si>
  <si>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</si>
  <si>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</si>
  <si>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</si>
  <si>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</si>
  <si>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</si>
  <si>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</si>
  <si>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</si>
  <si>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</si>
  <si>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</si>
  <si>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</si>
  <si>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</si>
  <si>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</si>
  <si>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</si>
  <si>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</si>
  <si>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</si>
  <si>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</si>
  <si>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</si>
  <si>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</si>
  <si>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</si>
  <si>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</si>
  <si>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</si>
  <si>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</si>
  <si>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</si>
  <si>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</si>
  <si>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</si>
  <si>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</si>
  <si>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</si>
  <si>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</si>
  <si>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</si>
  <si>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</si>
  <si>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</si>
  <si>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</si>
  <si>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</si>
  <si>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</si>
  <si>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</si>
  <si>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</si>
  <si>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</si>
  <si>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</si>
  <si>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</si>
  <si>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</si>
  <si>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</si>
  <si>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</si>
  <si>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</si>
  <si>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</si>
  <si>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</si>
  <si>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</si>
  <si>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</si>
  <si>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</si>
  <si>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</si>
  <si>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</si>
  <si>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</si>
  <si>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</si>
  <si>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</si>
  <si>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</si>
  <si>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</si>
  <si>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</si>
  <si>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</si>
  <si>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</si>
  <si>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</si>
  <si>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</si>
  <si>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</si>
  <si>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</si>
  <si>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</si>
  <si>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</si>
  <si>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</si>
  <si>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</si>
  <si>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</si>
  <si>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</si>
  <si>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</si>
  <si>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</si>
  <si>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</si>
  <si>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</si>
  <si>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</si>
  <si>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</si>
  <si>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</si>
  <si>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</si>
  <si>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</si>
  <si>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</si>
  <si>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</si>
  <si>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</si>
  <si>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</si>
  <si>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</si>
  <si>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</si>
  <si>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</si>
  <si>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</si>
  <si>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</si>
  <si>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</si>
  <si>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</si>
  <si>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</si>
  <si>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</si>
  <si>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</si>
  <si>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</si>
  <si>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</si>
  <si>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</si>
  <si>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</si>
  <si>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</si>
  <si>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</si>
  <si>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</si>
  <si>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</si>
  <si>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</si>
  <si>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</si>
  <si>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</si>
  <si>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</si>
  <si>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</si>
  <si>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</si>
  <si>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</si>
  <si>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</si>
  <si>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</si>
  <si>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</si>
  <si>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</si>
  <si>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</si>
  <si>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</si>
  <si>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</si>
  <si>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</si>
  <si>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</si>
  <si>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</si>
  <si>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</si>
  <si>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</si>
  <si>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</si>
  <si>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</si>
  <si>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</si>
  <si>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</si>
  <si>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</si>
  <si>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</si>
  <si>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</si>
  <si>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</si>
  <si>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</si>
  <si>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</si>
  <si>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</si>
  <si>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</si>
  <si>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</si>
  <si>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</si>
  <si>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</si>
  <si>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</si>
  <si>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</si>
  <si>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</si>
  <si>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</si>
  <si>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</si>
  <si>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</si>
  <si>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</si>
  <si>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</si>
  <si>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</si>
  <si>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</si>
  <si>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</si>
  <si>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</si>
  <si>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</si>
  <si>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</si>
  <si>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</si>
  <si>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</si>
  <si>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</si>
  <si>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</si>
  <si>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</si>
  <si>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</si>
  <si>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</si>
  <si>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</si>
  <si>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</si>
  <si>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</si>
  <si>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</si>
  <si>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</si>
  <si>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</si>
  <si>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</si>
  <si>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</si>
  <si>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</si>
  <si>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</si>
  <si>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</si>
  <si>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</si>
  <si>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</si>
  <si>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</si>
  <si>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</si>
  <si>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</si>
  <si>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</si>
  <si>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</si>
  <si>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</si>
  <si>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</si>
  <si>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</si>
  <si>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</si>
  <si>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</si>
  <si>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</si>
  <si>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</si>
  <si>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</si>
  <si>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</si>
  <si>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</si>
  <si>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</si>
  <si>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</si>
  <si>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</si>
  <si>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</si>
  <si>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</si>
  <si>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</si>
  <si>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</si>
  <si>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</si>
  <si>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</si>
  <si>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</si>
  <si>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</si>
  <si>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</si>
  <si>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</si>
  <si>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</si>
  <si>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</si>
  <si>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</si>
  <si>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</si>
  <si>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</si>
  <si>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</si>
  <si>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</si>
  <si>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</si>
  <si>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</si>
  <si>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</si>
  <si>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</si>
  <si>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</si>
  <si>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</si>
  <si>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</si>
  <si>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</si>
  <si>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</si>
  <si>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</si>
  <si>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</si>
  <si>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</si>
  <si>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</si>
  <si>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</si>
  <si>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</si>
  <si>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</si>
  <si>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</si>
  <si>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</si>
  <si>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</si>
  <si>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</si>
  <si>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</si>
  <si>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</si>
  <si>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</si>
  <si>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</si>
  <si>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</si>
  <si>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</si>
  <si>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</si>
  <si>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</si>
  <si>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</si>
  <si>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</si>
  <si>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</si>
  <si>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</si>
  <si>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</si>
  <si>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</si>
  <si>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</si>
  <si>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</si>
  <si>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</si>
  <si>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</si>
  <si>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</si>
  <si>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</si>
  <si>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</si>
  <si>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</si>
  <si>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</si>
  <si>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</si>
  <si>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</si>
  <si>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</si>
  <si>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</si>
  <si>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</si>
  <si>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</si>
  <si>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</si>
  <si>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</si>
  <si>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</si>
  <si>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</si>
  <si>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</si>
  <si>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</si>
  <si>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</si>
  <si>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</si>
  <si>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</si>
  <si>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</si>
  <si>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</si>
  <si>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</si>
  <si>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</si>
  <si>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</si>
  <si>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</si>
  <si>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</si>
  <si>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</si>
  <si>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</si>
  <si>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</si>
  <si>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</si>
  <si>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</si>
  <si>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</si>
  <si>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</si>
  <si>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</si>
  <si>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</si>
  <si>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</si>
  <si>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</si>
  <si>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</si>
  <si>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</si>
  <si>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</si>
  <si>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</si>
  <si>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</si>
  <si>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</si>
  <si>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</si>
  <si>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</si>
  <si>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</si>
  <si>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</si>
  <si>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</si>
  <si>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</si>
  <si>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</si>
  <si>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</si>
  <si>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</si>
  <si>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</si>
  <si>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</si>
  <si>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</si>
  <si>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</si>
  <si>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</si>
  <si>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</si>
  <si>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</si>
  <si>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</si>
  <si>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</si>
  <si>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</si>
  <si>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</si>
  <si>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</si>
  <si>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</si>
  <si>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</si>
  <si>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</si>
  <si>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</si>
  <si>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</si>
  <si>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</si>
  <si>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</si>
  <si>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</si>
  <si>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</si>
  <si>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</si>
  <si>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</si>
  <si>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</si>
  <si>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</si>
  <si>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</si>
  <si>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</si>
  <si>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</si>
  <si>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</si>
  <si>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</si>
  <si>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</si>
  <si>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</si>
  <si>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</si>
  <si>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</si>
  <si>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</si>
  <si>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</si>
  <si>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</si>
  <si>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</si>
  <si>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</si>
  <si>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</si>
  <si>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</si>
  <si>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</si>
  <si>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</si>
  <si>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</si>
  <si>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</si>
  <si>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</si>
  <si>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</si>
  <si>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</si>
  <si>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</si>
  <si>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</si>
  <si>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</si>
  <si>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</si>
  <si>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</si>
  <si>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</si>
  <si>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</si>
  <si>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</si>
  <si>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</si>
  <si>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</si>
  <si>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</si>
  <si>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</si>
  <si>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</si>
  <si>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</si>
  <si>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</si>
  <si>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</si>
  <si>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</si>
  <si>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</si>
  <si>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</si>
  <si>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</si>
  <si>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</si>
  <si>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</si>
  <si>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</si>
  <si>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</si>
  <si>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</si>
  <si>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</si>
  <si>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</si>
  <si>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</si>
  <si>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</si>
  <si>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</si>
  <si>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</si>
  <si>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</si>
  <si>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</si>
  <si>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</si>
  <si>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</si>
  <si>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</si>
  <si>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</si>
  <si>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</si>
  <si>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</si>
  <si>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</si>
  <si>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</si>
  <si>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</si>
  <si>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</si>
  <si>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</si>
  <si>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</si>
  <si>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</si>
  <si>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</si>
  <si>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</si>
  <si>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</si>
  <si>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</si>
  <si>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</si>
  <si>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</si>
  <si>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</si>
  <si>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</si>
  <si>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</si>
  <si>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</si>
  <si>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</si>
  <si>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</si>
  <si>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</si>
  <si>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</si>
  <si>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</si>
  <si>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</si>
  <si>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</si>
  <si>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</si>
  <si>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</si>
  <si>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</si>
  <si>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</si>
  <si>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</si>
  <si>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</si>
  <si>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</si>
  <si>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</si>
  <si>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</si>
  <si>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</si>
  <si>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</si>
  <si>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</si>
  <si>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</si>
  <si>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</si>
  <si>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</si>
  <si>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</si>
  <si>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</si>
  <si>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</si>
  <si>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</si>
  <si>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</si>
  <si>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</si>
  <si>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</si>
  <si>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</si>
  <si>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</si>
  <si>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</si>
  <si>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</si>
  <si>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</si>
  <si>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</si>
  <si>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</si>
  <si>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</si>
  <si>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</si>
  <si>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</si>
  <si>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</si>
  <si>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</si>
  <si>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</si>
  <si>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</si>
  <si>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</si>
  <si>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</si>
  <si>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</si>
  <si>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</si>
  <si>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</si>
  <si>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</si>
  <si>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</si>
  <si>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</si>
  <si>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</si>
  <si>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</si>
  <si>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</si>
  <si>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</si>
  <si>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</si>
  <si>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</si>
  <si>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</si>
  <si>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</si>
  <si>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</si>
  <si>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</si>
  <si>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</si>
  <si>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</si>
  <si>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</si>
  <si>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</si>
  <si>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</si>
  <si>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</si>
  <si>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</si>
  <si>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</si>
  <si>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</si>
  <si>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</si>
  <si>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</si>
  <si>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</si>
  <si>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</si>
  <si>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</si>
  <si>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</si>
  <si>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</si>
  <si>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</si>
  <si>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</si>
  <si>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</si>
  <si>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</si>
  <si>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</si>
  <si>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</si>
  <si>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</si>
  <si>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</si>
  <si>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</si>
  <si>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</si>
  <si>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</si>
  <si>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</si>
  <si>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</si>
  <si>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</si>
  <si>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</si>
  <si>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</si>
  <si>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</si>
  <si>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</si>
  <si>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</si>
  <si>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</si>
  <si>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</si>
  <si>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</si>
  <si>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</si>
  <si>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</si>
  <si>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</si>
  <si>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</si>
  <si>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</si>
  <si>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</si>
  <si>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</si>
  <si>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</si>
  <si>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</si>
  <si>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</si>
  <si>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</si>
  <si>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</si>
  <si>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</si>
  <si>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</si>
  <si>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</si>
  <si>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</si>
  <si>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</si>
  <si>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</si>
  <si>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</si>
  <si>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</si>
  <si>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</si>
  <si>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</si>
  <si>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</si>
  <si>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</si>
  <si>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</si>
  <si>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</si>
  <si>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</si>
  <si>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</si>
  <si>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</si>
  <si>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</si>
  <si>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</si>
  <si>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</si>
  <si>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</si>
  <si>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</si>
  <si>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</si>
  <si>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</si>
  <si>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</si>
  <si>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</si>
  <si>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</si>
  <si>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</si>
  <si>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</si>
  <si>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</si>
  <si>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</si>
  <si>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</si>
  <si>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</si>
  <si>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</si>
  <si>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</si>
  <si>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</si>
  <si>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</si>
  <si>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</si>
  <si>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</si>
  <si>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</si>
  <si>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</si>
  <si>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</si>
  <si>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</si>
  <si>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</si>
  <si>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</si>
  <si>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</si>
  <si>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</si>
  <si>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</si>
  <si>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</si>
  <si>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</si>
  <si>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</si>
  <si>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</si>
  <si>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</si>
  <si>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</si>
  <si>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</si>
  <si>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</si>
  <si>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</si>
  <si>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</si>
  <si>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</si>
  <si>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</si>
  <si>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</si>
  <si>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</si>
  <si>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</si>
  <si>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</si>
  <si>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</si>
  <si>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</si>
  <si>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</si>
  <si>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</si>
  <si>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</si>
  <si>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</si>
  <si>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</si>
  <si>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</si>
  <si>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</si>
  <si>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</si>
  <si>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</si>
  <si>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</si>
  <si>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</si>
  <si>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</si>
  <si>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</si>
  <si>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</si>
  <si>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</si>
  <si>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</si>
  <si>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</si>
  <si>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</si>
  <si>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</si>
  <si>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</si>
  <si>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</si>
  <si>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</si>
  <si>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</si>
  <si>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</si>
  <si>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</si>
  <si>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</si>
  <si>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</si>
  <si>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</si>
  <si>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</si>
  <si>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</si>
  <si>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</si>
  <si>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</si>
  <si>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</si>
  <si>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</si>
  <si>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</si>
  <si>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</si>
  <si>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</si>
  <si>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</si>
  <si>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</si>
  <si>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</si>
  <si>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</si>
  <si>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</si>
  <si>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</si>
  <si>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</si>
  <si>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</si>
  <si>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</si>
  <si>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</si>
  <si>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</si>
  <si>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</si>
  <si>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</si>
  <si>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</si>
  <si>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</si>
  <si>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</si>
  <si>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</si>
  <si>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</si>
  <si>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</si>
  <si>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</si>
  <si>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</si>
  <si>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</si>
  <si>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</si>
  <si>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</si>
  <si>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</si>
  <si>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</si>
  <si>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</si>
  <si>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</si>
  <si>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</si>
  <si>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</si>
  <si>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</si>
  <si>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</si>
  <si>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</si>
  <si>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</si>
  <si>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</si>
  <si>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</si>
  <si>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</si>
  <si>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</si>
  <si>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</si>
  <si>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</si>
  <si>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</si>
  <si>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</si>
  <si>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</si>
  <si>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</si>
  <si>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</si>
  <si>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</si>
  <si>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</si>
  <si>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</si>
  <si>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</si>
  <si>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</si>
  <si>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</si>
  <si>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</si>
  <si>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</si>
  <si>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</si>
  <si>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</si>
  <si>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</si>
  <si>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</si>
  <si>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</si>
  <si>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</si>
  <si>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</si>
  <si>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</si>
  <si>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</si>
  <si>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</si>
  <si>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</si>
  <si>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</si>
  <si>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</si>
  <si>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</si>
  <si>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</si>
  <si>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</si>
  <si>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</si>
  <si>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</si>
  <si>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</si>
  <si>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</si>
  <si>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</si>
  <si>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</si>
  <si>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</si>
  <si>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</si>
  <si>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</si>
  <si>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</si>
  <si>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</si>
  <si>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</si>
  <si>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</si>
  <si>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</si>
  <si>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</si>
  <si>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</si>
  <si>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</si>
  <si>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</si>
  <si>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</si>
  <si>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</si>
  <si>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</si>
  <si>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</si>
  <si>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</si>
  <si>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</si>
  <si>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</si>
  <si>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</si>
  <si>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</si>
  <si>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</si>
  <si>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</si>
  <si>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</si>
  <si>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</si>
  <si>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</si>
  <si>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</si>
  <si>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</si>
  <si>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</si>
  <si>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</si>
  <si>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</si>
  <si>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</si>
  <si>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</si>
  <si>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</si>
  <si>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</si>
  <si>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</si>
  <si>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</si>
  <si>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</si>
  <si>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</si>
  <si>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</si>
  <si>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</si>
  <si>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</si>
  <si>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</si>
  <si>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</si>
  <si>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</si>
  <si>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</si>
  <si>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</si>
  <si>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</si>
  <si>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</si>
  <si>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</si>
  <si>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</si>
  <si>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</si>
  <si>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</si>
  <si>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</si>
  <si>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</si>
  <si>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</si>
  <si>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</si>
  <si>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</si>
  <si>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</si>
  <si>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</si>
  <si>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</si>
  <si>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</si>
  <si>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</si>
  <si>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</si>
  <si>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</si>
  <si>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</si>
  <si>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</si>
  <si>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</si>
  <si>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</si>
  <si>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</si>
  <si>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</si>
  <si>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</si>
  <si>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</si>
  <si>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</si>
  <si>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</si>
  <si>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</si>
  <si>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</si>
  <si>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</si>
  <si>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</si>
  <si>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</si>
  <si>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</si>
  <si>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</si>
  <si>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</si>
  <si>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</si>
  <si>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</si>
  <si>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</si>
  <si>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</si>
  <si>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</si>
  <si>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</si>
  <si>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</si>
  <si>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</si>
  <si>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</si>
  <si>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</si>
  <si>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</si>
  <si>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</si>
  <si>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</si>
  <si>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</si>
  <si>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</si>
  <si>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</si>
  <si>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</si>
  <si>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</si>
  <si>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</si>
  <si>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</si>
  <si>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</si>
  <si>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</si>
  <si>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</si>
  <si>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</si>
  <si>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</si>
  <si>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</si>
  <si>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</si>
  <si>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</si>
  <si>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</si>
  <si>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</si>
  <si>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</si>
  <si>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</si>
  <si>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</si>
  <si>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</si>
  <si>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</si>
  <si>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</si>
  <si>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</si>
  <si>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</si>
  <si>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</si>
  <si>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</si>
  <si>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</si>
  <si>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</si>
  <si>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</si>
  <si>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</si>
  <si>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</si>
  <si>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</si>
  <si>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</si>
  <si>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</si>
  <si>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</si>
  <si>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</si>
  <si>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</si>
  <si>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</si>
  <si>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</si>
  <si>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</si>
  <si>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</si>
  <si>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</si>
  <si>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</si>
  <si>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</si>
  <si>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</si>
  <si>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</si>
  <si>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</si>
  <si>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</si>
  <si>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</si>
  <si>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</si>
  <si>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</si>
  <si>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</si>
  <si>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</si>
  <si>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</si>
  <si>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</si>
  <si>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</si>
  <si>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</si>
  <si>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</si>
  <si>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</si>
  <si>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</si>
  <si>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</si>
  <si>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</si>
  <si>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</si>
  <si>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</si>
  <si>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</si>
  <si>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</si>
  <si>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</si>
  <si>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</si>
  <si>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</si>
  <si>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</si>
  <si>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</si>
  <si>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</si>
  <si>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</si>
  <si>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</si>
  <si>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</si>
  <si>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</si>
  <si>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</si>
  <si>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</si>
  <si>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</si>
  <si>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</si>
  <si>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</si>
  <si>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</si>
  <si>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</si>
  <si>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</si>
  <si>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</si>
  <si>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</si>
  <si>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</si>
  <si>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</si>
  <si>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</si>
  <si>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</si>
  <si>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</si>
  <si>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</si>
  <si>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</si>
  <si>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</si>
  <si>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</si>
  <si>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</si>
  <si>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</si>
  <si>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</si>
  <si>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</si>
  <si>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</si>
  <si>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</si>
  <si>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</si>
  <si>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</si>
  <si>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</si>
  <si>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</si>
  <si>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</si>
  <si>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</si>
  <si>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</si>
  <si>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</si>
  <si>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</si>
  <si>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</si>
  <si>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</si>
  <si>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</si>
  <si>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</si>
  <si>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</si>
  <si>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</si>
  <si>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</si>
  <si>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</si>
  <si>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</si>
  <si>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</si>
  <si>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</si>
  <si>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</si>
  <si>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</si>
  <si>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</si>
  <si>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</si>
  <si>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</si>
  <si>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</si>
  <si>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</si>
  <si>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</si>
  <si>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</si>
  <si>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</si>
  <si>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</si>
  <si>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</si>
  <si>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</si>
  <si>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</si>
  <si>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</si>
  <si>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</si>
  <si>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</si>
  <si>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</si>
  <si>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</si>
  <si>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</si>
  <si>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</si>
  <si>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</si>
  <si>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</si>
  <si>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</si>
  <si>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</si>
  <si>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</si>
  <si>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</si>
  <si>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</si>
  <si>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</si>
  <si>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</si>
  <si>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</si>
  <si>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</si>
  <si>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</si>
  <si>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</si>
  <si>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</si>
  <si>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</si>
  <si>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</si>
  <si>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</si>
  <si>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</si>
  <si>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</si>
  <si>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</si>
  <si>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</si>
  <si>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</si>
  <si>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</si>
  <si>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</si>
  <si>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</si>
  <si>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</si>
  <si>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</si>
  <si>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</si>
  <si>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</si>
  <si>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</si>
  <si>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</si>
  <si>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</si>
  <si>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</si>
  <si>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</si>
  <si>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</si>
  <si>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</si>
  <si>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</si>
  <si>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</si>
  <si>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</si>
  <si>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</si>
  <si>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</si>
  <si>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</si>
  <si>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</si>
  <si>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</si>
  <si>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</si>
  <si>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</si>
  <si>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</si>
  <si>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</si>
  <si>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</si>
  <si>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</si>
  <si>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</si>
  <si>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</si>
  <si>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</si>
  <si>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</si>
  <si>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</si>
  <si>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</si>
  <si>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</si>
  <si>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</si>
  <si>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</si>
  <si>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</si>
  <si>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</si>
  <si>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</si>
  <si>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</si>
  <si>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</si>
  <si>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</si>
  <si>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</si>
  <si>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</si>
  <si>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</si>
  <si>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</si>
  <si>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</si>
  <si>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</si>
  <si>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</si>
  <si>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</si>
  <si>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</si>
  <si>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</si>
  <si>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</si>
  <si>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</si>
  <si>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</si>
  <si>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</si>
  <si>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</si>
  <si>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</si>
  <si>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</si>
  <si>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</si>
  <si>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</si>
  <si>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</si>
  <si>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</si>
  <si>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</si>
  <si>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</si>
  <si>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</si>
  <si>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</si>
  <si>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</si>
  <si>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</si>
  <si>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</si>
  <si>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</si>
  <si>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</si>
  <si>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</si>
  <si>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</si>
  <si>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</si>
  <si>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</si>
  <si>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</si>
  <si>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</si>
  <si>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</si>
  <si>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</si>
  <si>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</si>
  <si>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</si>
  <si>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</si>
  <si>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</si>
  <si>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</si>
  <si>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</si>
  <si>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</si>
  <si>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</si>
  <si>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</si>
  <si>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</si>
  <si>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</si>
  <si>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</si>
  <si>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</si>
  <si>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</si>
  <si>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</si>
  <si>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</si>
  <si>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</si>
  <si>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</si>
  <si>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</si>
  <si>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</si>
  <si>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</si>
  <si>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</si>
  <si>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</si>
  <si>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</si>
  <si>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</si>
  <si>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</si>
  <si>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</si>
  <si>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</si>
  <si>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</si>
  <si>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</si>
  <si>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</si>
  <si>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</si>
  <si>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</si>
  <si>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</si>
  <si>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</si>
  <si>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</si>
  <si>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</si>
  <si>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</si>
  <si>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</si>
  <si>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</si>
  <si>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</si>
  <si>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</si>
  <si>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</si>
  <si>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</si>
  <si>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</si>
  <si>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</si>
  <si>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</si>
  <si>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</si>
  <si>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</si>
  <si>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</si>
  <si>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</si>
  <si>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</si>
  <si>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</si>
  <si>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</si>
  <si>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</si>
  <si>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</si>
  <si>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</si>
  <si>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</si>
  <si>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</si>
  <si>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</si>
  <si>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</si>
  <si>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</si>
  <si>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</si>
  <si>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</si>
  <si>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</si>
  <si>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</si>
  <si>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</si>
  <si>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</si>
  <si>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</si>
  <si>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</si>
  <si>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</si>
  <si>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</si>
  <si>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</si>
  <si>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</si>
  <si>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</si>
  <si>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</si>
  <si>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</si>
  <si>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</si>
  <si>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</si>
  <si>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</si>
  <si>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</si>
  <si>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</si>
  <si>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</si>
  <si>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</si>
  <si>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</si>
  <si>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</si>
  <si>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</si>
  <si>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</si>
  <si>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</si>
  <si>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</si>
  <si>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</si>
  <si>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</si>
  <si>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</si>
  <si>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</si>
  <si>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</si>
  <si>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</si>
  <si>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</si>
  <si>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</si>
  <si>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</si>
  <si>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</si>
  <si>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</si>
  <si>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</si>
  <si>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</si>
  <si>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</si>
  <si>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</si>
  <si>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</si>
  <si>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</si>
  <si>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</si>
  <si>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</si>
  <si>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</si>
  <si>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</si>
  <si>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</si>
  <si>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</si>
  <si>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</si>
  <si>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</si>
  <si>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</si>
  <si>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</si>
  <si>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</si>
  <si>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</si>
  <si>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</si>
  <si>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</si>
  <si>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</si>
  <si>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</si>
  <si>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</si>
  <si>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</si>
  <si>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</si>
  <si>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</si>
  <si>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</si>
  <si>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</si>
  <si>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</si>
  <si>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</si>
  <si>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</si>
  <si>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</si>
  <si>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</si>
  <si>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</si>
  <si>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</si>
  <si>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</si>
  <si>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</si>
  <si>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</si>
  <si>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</si>
  <si>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</si>
  <si>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</si>
  <si>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</si>
  <si>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</si>
  <si>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</si>
  <si>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</si>
  <si>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</si>
  <si>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</si>
  <si>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</si>
  <si>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</si>
  <si>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</si>
  <si>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</si>
  <si>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</si>
  <si>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</si>
  <si>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</si>
  <si>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</si>
  <si>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</si>
  <si>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</si>
  <si>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</si>
  <si>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</si>
  <si>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</si>
  <si>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</si>
  <si>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</si>
  <si>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</si>
  <si>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</si>
  <si>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</si>
  <si>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</si>
  <si>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</si>
  <si>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</si>
  <si>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</si>
  <si>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</si>
  <si>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</si>
  <si>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</si>
  <si>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</si>
  <si>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</si>
  <si>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</si>
  <si>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</si>
  <si>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</si>
  <si>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</si>
  <si>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</si>
  <si>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</si>
  <si>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</si>
  <si>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</si>
  <si>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</si>
  <si>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</si>
  <si>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</si>
  <si>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</si>
  <si>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</si>
  <si>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</si>
  <si>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</si>
  <si>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</si>
  <si>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</si>
  <si>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</si>
  <si>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</si>
  <si>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</si>
  <si>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</si>
  <si>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</si>
  <si>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</si>
  <si>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</si>
  <si>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</si>
  <si>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</si>
  <si>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</si>
  <si>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</si>
  <si>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</si>
  <si>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</si>
  <si>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</si>
  <si>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</si>
  <si>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</si>
  <si>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</si>
  <si>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</si>
  <si>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</si>
  <si>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</si>
  <si>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</si>
  <si>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</si>
  <si>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</si>
  <si>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</si>
  <si>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</si>
  <si>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</si>
  <si>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</si>
  <si>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</si>
  <si>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</si>
  <si>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</si>
  <si>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</si>
  <si>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</si>
  <si>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</si>
  <si>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</si>
  <si>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</si>
  <si>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</si>
  <si>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</si>
  <si>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</si>
  <si>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</si>
  <si>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</si>
  <si>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</si>
  <si>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</si>
  <si>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</si>
  <si>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</si>
  <si>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</si>
  <si>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</si>
  <si>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</si>
  <si>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</si>
  <si>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</si>
  <si>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</si>
  <si>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</si>
  <si>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</si>
  <si>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</si>
  <si>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</si>
  <si>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</si>
  <si>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</si>
  <si>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</si>
  <si>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</si>
  <si>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</si>
  <si>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</si>
  <si>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</si>
  <si>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</si>
  <si>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</si>
  <si>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</si>
  <si>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</si>
  <si>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</si>
  <si>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</si>
  <si>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</si>
  <si>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</si>
  <si>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</si>
  <si>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</si>
  <si>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</si>
  <si>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</si>
  <si>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</si>
  <si>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</si>
  <si>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</si>
  <si>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</si>
  <si>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</si>
  <si>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</si>
  <si>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</si>
  <si>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</si>
  <si>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</si>
  <si>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</si>
  <si>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</si>
  <si>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</si>
  <si>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</si>
  <si>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</si>
  <si>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</si>
  <si>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</si>
  <si>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</si>
  <si>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</si>
  <si>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</si>
  <si>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</si>
  <si>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</si>
  <si>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</si>
  <si>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</si>
  <si>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</si>
  <si>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</si>
  <si>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</si>
  <si>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</si>
  <si>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</si>
  <si>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</si>
  <si>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</si>
  <si>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</si>
  <si>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</si>
  <si>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</si>
  <si>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</si>
  <si>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</si>
  <si>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</si>
  <si>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</si>
  <si>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</si>
  <si>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</si>
  <si>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</si>
  <si>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</si>
  <si>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</si>
  <si>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</si>
  <si>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</si>
  <si>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</si>
  <si>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</si>
  <si>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</si>
  <si>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</si>
  <si>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</si>
  <si>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</si>
  <si>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</si>
  <si>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</si>
  <si>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</si>
  <si>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</si>
  <si>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</si>
  <si>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</si>
  <si>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</si>
  <si>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</si>
  <si>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好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</si>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</sst>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C7" sqref="C7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135.53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四级</v>
      </c>
      <c r="H2" s="715" t="s">
        <v>1350</v>
      </c>
      <c r="I2" s="1311" t="s">
        <v>1793</v>
      </c>
      <c r="J2" s="717"/>
      <c r="AE2" s="712"/>
      <c r="AF2" s="712"/>
    </row>
    <row r="3" spans="1:36" ht="24">
      <c r="A3" s="668" t="s">
        <v>912</v>
      </c>
      <c r="B3" s="1398">
        <f>C18</f>
        <v>3556</v>
      </c>
      <c r="C3" s="713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1565</v>
      </c>
      <c r="B5" s="1396">
        <f>C22</f>
        <v>0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2845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928</v>
      </c>
      <c r="B9" s="1510" t="s">
        <v>931</v>
      </c>
      <c r="C9" s="1511">
        <f>IF(OR(H9&gt;=DATE(2014,8,28),H9&lt;DATE(2002,12,10)),0,ROUND(I9/F9,4))</f>
        <v>1.25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38353</v>
      </c>
      <c r="I9" s="1517">
        <f>ROUND(SUMPRODUCT((地价!A36:A86=YEAR(H9)&amp;"-"&amp;ROUNDUP(MONTH(H9)/3,0))*(地价!B3:F3=E2)*(地价!B36:F86)),0)</f>
        <v>130</v>
      </c>
      <c r="J9" s="770"/>
      <c r="AE9" s="712"/>
      <c r="AF9" s="712"/>
    </row>
    <row r="10" spans="1:36" ht="16.2" thickBot="1">
      <c r="A10" s="1518" t="s">
        <v>930</v>
      </c>
      <c r="B10" s="1519" t="s">
        <v>198</v>
      </c>
      <c r="C10" s="1520">
        <f>ROUND(POWER(1+E10,H10-G10)*(POWER(1+E10,G10)-1)/(POWER(1+E10,H10)-1),4)</f>
        <v>1</v>
      </c>
      <c r="D10" s="1480" t="s">
        <v>935</v>
      </c>
      <c r="E10" s="1481">
        <v>0.04</v>
      </c>
      <c r="F10" s="1521" t="s">
        <v>1633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932</v>
      </c>
      <c r="B11" s="746" t="s">
        <v>937</v>
      </c>
      <c r="C11" s="1312">
        <f>IF(E2="工业",1,IF(G3&gt;10,D14,IF(D11="郊区",D13,D12)))</f>
        <v>1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1323</v>
      </c>
      <c r="B16" s="1519" t="s">
        <v>1332</v>
      </c>
      <c r="C16" s="1524">
        <v>1</v>
      </c>
      <c r="D16" s="1525" t="s">
        <v>1336</v>
      </c>
      <c r="E16" s="1482" t="s">
        <v>925</v>
      </c>
      <c r="F16" s="1483" t="s">
        <v>1799</v>
      </c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3556</v>
      </c>
      <c r="D18" s="630">
        <f>H1</f>
        <v>135.53</v>
      </c>
      <c r="E18" s="631">
        <f>ROUND(C18*D18,0)</f>
        <v>481945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7113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135.53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1347</v>
      </c>
      <c r="B22" s="775"/>
      <c r="C22" s="1564">
        <f>ROUND(IF(D22="四环路内",C20*0.4,C20*0.6),0)</f>
        <v>0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13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7" sqref="F7:G7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3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6" t="s">
        <v>1432</v>
      </c>
      <c r="B7" s="1347" t="str">
        <f>LEFT(主表!B10,1)&amp;"类"</f>
        <v>四类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9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135.53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1560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1633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135.53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135.53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38353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1531</v>
      </c>
      <c r="C12" s="1064" t="str">
        <f>主表!B10</f>
        <v>四级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2005-1-1</v>
      </c>
      <c r="D56" s="1533">
        <f>EDATE(C56,-3)</f>
        <v>38261</v>
      </c>
      <c r="E56" s="1533">
        <f t="shared" ref="E56:O56" si="15">EDATE(D56,-3)</f>
        <v>38169</v>
      </c>
      <c r="F56" s="1533">
        <f t="shared" si="15"/>
        <v>38078</v>
      </c>
      <c r="G56" s="1533">
        <f t="shared" si="15"/>
        <v>37987</v>
      </c>
      <c r="H56" s="1533">
        <f t="shared" si="15"/>
        <v>37895</v>
      </c>
      <c r="I56" s="1533">
        <f t="shared" si="15"/>
        <v>37803</v>
      </c>
      <c r="J56" s="1533">
        <f t="shared" si="15"/>
        <v>37712</v>
      </c>
      <c r="K56" s="1533">
        <f t="shared" si="15"/>
        <v>37622</v>
      </c>
      <c r="L56" s="1533">
        <f t="shared" si="15"/>
        <v>37530</v>
      </c>
      <c r="M56" s="1533">
        <f t="shared" si="15"/>
        <v>37438</v>
      </c>
      <c r="N56" s="1533">
        <f t="shared" si="15"/>
        <v>37347</v>
      </c>
      <c r="O56" s="1533">
        <f t="shared" si="15"/>
        <v>37257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2005-1</v>
      </c>
      <c r="D58" s="1532" t="str">
        <f t="shared" ref="D58:O58" si="16">YEAR(D56)&amp;"-"&amp;ROUNDUP(MONTH(D56)/3,0)</f>
        <v>2004-4</v>
      </c>
      <c r="E58" s="1532" t="str">
        <f t="shared" si="16"/>
        <v>2004-3</v>
      </c>
      <c r="F58" s="1532" t="str">
        <f t="shared" si="16"/>
        <v>2004-2</v>
      </c>
      <c r="G58" s="1532" t="str">
        <f t="shared" si="16"/>
        <v>2004-1</v>
      </c>
      <c r="H58" s="1532" t="str">
        <f t="shared" si="16"/>
        <v>2003-4</v>
      </c>
      <c r="I58" s="1532" t="str">
        <f t="shared" si="16"/>
        <v>2003-3</v>
      </c>
      <c r="J58" s="1532" t="str">
        <f t="shared" si="16"/>
        <v>2003-2</v>
      </c>
      <c r="K58" s="1532" t="str">
        <f t="shared" si="16"/>
        <v>2003-1</v>
      </c>
      <c r="L58" s="1532" t="str">
        <f t="shared" si="16"/>
        <v>2002-4</v>
      </c>
      <c r="M58" s="1532" t="str">
        <f t="shared" si="16"/>
        <v>2002-3</v>
      </c>
      <c r="N58" s="1532" t="str">
        <f t="shared" si="16"/>
        <v>2002-2</v>
      </c>
      <c r="O58" s="1532" t="str">
        <f t="shared" si="16"/>
        <v>2002-1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38353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51</v>
      </c>
      <c r="K1" s="1138">
        <f ca="1">MATCH(E1,C4:C8,1)+IF(SUMIF(C4:C8,E1,D4:D8)=0,3,2)</f>
        <v>3</v>
      </c>
      <c r="L1" s="1138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38353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51</v>
      </c>
      <c r="K2" s="1138">
        <f ca="1">MATCH(E2,C4:C8,1)+IF(SUMIF(C4:C8,E2,D4:D8)=0,3,2)</f>
        <v>3</v>
      </c>
      <c r="L2" s="1138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5.7599999999999998E-2</v>
      </c>
      <c r="H3" s="1019" t="s">
        <v>1507</v>
      </c>
      <c r="I3" s="1020">
        <f ca="1">SUMIF(F4:F8,E3,H4:H8)/100</f>
        <v>3.2400000000000005E-2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5.22</v>
      </c>
      <c r="E4" s="1004">
        <f ca="1">INDIRECT("d"&amp;$J$2)</f>
        <v>5.22</v>
      </c>
      <c r="F4" s="1005">
        <v>0.5</v>
      </c>
      <c r="G4" s="1006">
        <f ca="1">INDIRECT("p"&amp;$L$1)</f>
        <v>2.0699999999999998</v>
      </c>
      <c r="H4" s="1006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7">
        <f ca="1">INDIRECT("q"&amp;$L$1)</f>
        <v>2.25</v>
      </c>
      <c r="H5" s="1007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7">
        <f ca="1">INDIRECT("r"&amp;$L$1)</f>
        <v>2.7</v>
      </c>
      <c r="H6" s="1007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7">
        <f ca="1">INDIRECT("s"&amp;$L$1)</f>
        <v>3.24</v>
      </c>
      <c r="H7" s="1007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7">
        <f ca="1">INDIRECT("t"&amp;$L$1)</f>
        <v>3.6</v>
      </c>
      <c r="H8" s="1007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7"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8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7" customFormat="1" ht="14.4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4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8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968</v>
      </c>
      <c r="H1" s="249">
        <f>'2014基准地价'!M18</f>
        <v>36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13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 ht="34.799999999999997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1701</v>
      </c>
      <c r="B1" s="1730">
        <f>SUM(B14:B23)</f>
        <v>135.53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1703</v>
      </c>
      <c r="B3" s="1734">
        <f>主表!B3</f>
        <v>38353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5.6">
      <c r="A5" s="1730" t="s">
        <v>1708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1709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1710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1711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5.6">
      <c r="A14" s="1738" t="s">
        <v>1722</v>
      </c>
      <c r="B14" s="1739">
        <f>主表!B7</f>
        <v>135.53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1352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1355</v>
      </c>
      <c r="B4" s="1293" t="s">
        <v>1356</v>
      </c>
      <c r="C4" s="1294" t="s">
        <v>1357</v>
      </c>
      <c r="D4" s="1776" t="s">
        <v>1355</v>
      </c>
      <c r="E4" s="1777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4.4">
      <c r="A5" s="1778" t="s">
        <v>1359</v>
      </c>
      <c r="B5" s="1779">
        <f>主表!F5</f>
        <v>3556</v>
      </c>
      <c r="C5" s="1780" t="s">
        <v>1360</v>
      </c>
      <c r="D5" s="1777" t="s">
        <v>1361</v>
      </c>
      <c r="E5" s="1781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1383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1384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1385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1365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77" t="s">
        <v>1366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8.8">
      <c r="A13" s="1292" t="s">
        <v>1369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1370</v>
      </c>
      <c r="B14" s="1296">
        <f ca="1">SUM(B5:B13)</f>
        <v>3556</v>
      </c>
      <c r="C14" s="1299" t="s">
        <v>1371</v>
      </c>
      <c r="D14" s="1777" t="s">
        <v>1370</v>
      </c>
      <c r="E14" s="1781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9.4" thickBot="1">
      <c r="A15" s="1292" t="s">
        <v>1372</v>
      </c>
      <c r="B15" s="1779">
        <f ca="1">主表!F24</f>
        <v>3556</v>
      </c>
      <c r="C15" s="1785"/>
      <c r="D15" s="1783" t="s">
        <v>1373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1374</v>
      </c>
      <c r="B16" s="1779">
        <f ca="1">主表!F25</f>
        <v>48.194499999999998</v>
      </c>
      <c r="C16" s="1785"/>
      <c r="D16" s="1783" t="s">
        <v>1375</v>
      </c>
      <c r="E16" s="1784"/>
      <c r="F16" s="1784"/>
      <c r="G16" s="1786"/>
      <c r="H16" s="1301" t="str">
        <f ca="1">NUMBERSTRING(INT(B16*10000),2)&amp;"元整"</f>
        <v>肆拾捌万壹仟玖佰肆拾伍元整</v>
      </c>
      <c r="I16" s="1302"/>
      <c r="X16" s="221"/>
      <c r="AG16" s="189"/>
    </row>
    <row r="17" spans="1:33" ht="14.4">
      <c r="A17" s="1292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4" sqref="B14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v>38353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38353</v>
      </c>
      <c r="C4" s="1164"/>
      <c r="D4" s="1171" t="s">
        <v>1275</v>
      </c>
      <c r="E4" s="1172" t="s">
        <v>1568</v>
      </c>
      <c r="F4" s="1173">
        <f ca="1">F5+F8+F9+F10</f>
        <v>3556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>IF(B4&lt;DATE(2002,12,10),F6,F6-F7)</f>
        <v>3556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>IF(B4&lt;DATE(2002,12,10),'1993基准地价'!B3,IF(B4&gt;=DATE(2014,8,28),'2014基准地价'!B3,'2002基准地价'!B3))</f>
        <v>3556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>
        <v>135.53</v>
      </c>
      <c r="C7" s="1164"/>
      <c r="D7" s="1183" t="s">
        <v>1268</v>
      </c>
      <c r="E7" s="1179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250</v>
      </c>
      <c r="C10" s="1164"/>
      <c r="D10" s="1198">
        <v>4</v>
      </c>
      <c r="E10" s="1199" t="s">
        <v>1228</v>
      </c>
      <c r="F10" s="1200">
        <f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250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v>63920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70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3556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48.194499999999998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0" zoomScale="80" zoomScaleNormal="80" zoomScaleSheetLayoutView="89" workbookViewId="0">
      <selection activeCell="I20" sqref="I20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135.53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四级</v>
      </c>
      <c r="H2" s="811" t="s">
        <v>911</v>
      </c>
      <c r="I2" s="665" t="str">
        <f>主表!B11</f>
        <v>四级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0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0</v>
      </c>
      <c r="D5" s="1540">
        <f>ROUND(C6+C16,0)</f>
        <v>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36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3">
        <f>IF(H19&lt;DATE(2014,8,28),0,ROUND(I19/F19,4))</f>
        <v>0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38353</v>
      </c>
      <c r="I19" s="1507">
        <f>ROUND(SUMPRODUCT((地价!A5:A38=YEAR(H19)&amp;"-"&amp;ROUNDUP(MONTH(H19)/3,0))*(地价!B3:F3=E2)*(地价!B5:F38)),0)</f>
        <v>0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4">
        <f ca="1">ROUND(POWER(1+G20,J20-I20)*(POWER(1+G20,I20)-1)/(POWER(1+G20,J20)-1),4)</f>
        <v>1</v>
      </c>
      <c r="D20" s="1467" t="s">
        <v>934</v>
      </c>
      <c r="E20" s="1468">
        <f ca="1">INDIRECT("'存贷款利率'!e"&amp;存贷款利率!$K$4)/100</f>
        <v>5.5800000000000002E-2</v>
      </c>
      <c r="F20" s="1465" t="s">
        <v>935</v>
      </c>
      <c r="G20" s="1469">
        <f ca="1">SUMIF(P18:S18,E2,P20:S20)</f>
        <v>6.4000000000000001E-2</v>
      </c>
      <c r="H20" s="1470" t="s">
        <v>1633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1.0601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1.0676000000000001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1738</v>
      </c>
      <c r="B33" s="912" t="s">
        <v>281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282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283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284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6.4000000000000001E-2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1.0676000000000001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6.7599999999999993E-2</v>
      </c>
      <c r="F70" s="937">
        <f>IF(E2="住宅/居住",SUMIF(L1:L12,G2,N1:N12),"——")</f>
        <v>0</v>
      </c>
      <c r="G70" s="491">
        <v>6.8600000000000006E-3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1798</v>
      </c>
      <c r="D71" s="490">
        <f t="shared" si="14"/>
        <v>2.9399999999999999E-2</v>
      </c>
      <c r="E71" s="263"/>
      <c r="F71" s="938"/>
      <c r="G71" s="491">
        <v>1.47E-2</v>
      </c>
      <c r="H71" s="494">
        <f t="shared" si="15"/>
        <v>0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1797</v>
      </c>
      <c r="D72" s="490">
        <f t="shared" si="14"/>
        <v>3.9199999999999999E-3</v>
      </c>
      <c r="E72" s="263"/>
      <c r="F72" s="938"/>
      <c r="G72" s="491">
        <v>3.9199999999999999E-3</v>
      </c>
      <c r="H72" s="494">
        <f t="shared" si="15"/>
        <v>0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1.9599999999999999E-3</v>
      </c>
      <c r="H73" s="494">
        <f t="shared" si="15"/>
        <v>0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0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1798</v>
      </c>
      <c r="D75" s="490">
        <f t="shared" si="14"/>
        <v>1.176E-2</v>
      </c>
      <c r="E75" s="263"/>
      <c r="F75" s="938"/>
      <c r="G75" s="491">
        <v>5.8799999999999998E-3</v>
      </c>
      <c r="H75" s="494">
        <f t="shared" si="15"/>
        <v>0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0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0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1797</v>
      </c>
      <c r="D78" s="490">
        <f t="shared" si="14"/>
        <v>1.9599999999999999E-3</v>
      </c>
      <c r="E78" s="264"/>
      <c r="F78" s="938"/>
      <c r="G78" s="491">
        <v>1.9599999999999999E-3</v>
      </c>
      <c r="H78" s="494">
        <f t="shared" si="15"/>
        <v>0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1479</v>
      </c>
      <c r="B102" s="943" t="s">
        <v>1482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19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19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19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19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19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19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19"/>
      <c r="B109" s="182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</v>
      </c>
      <c r="C114" s="925" t="s">
        <v>1466</v>
      </c>
      <c r="D114" s="351">
        <f>SUMPRODUCT((A116:A119=F114)*(B115:M115=H114)*B116:M119)</f>
        <v>0.85880000000000001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1301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1302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2024-11-04T11:40:53Z</dcterms:modified>
</cp:coreProperties>
</file>