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收益法" sheetId="15"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state="hidden" r:id="rId46"/>
    <sheet name="租约"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结果表!$A$1:$I$44</definedName>
    <definedName name="_xlnm.Print_Area" localSheetId="22">收益法!$A$1:$AK$69</definedName>
    <definedName name="_xlnm.Print_Area" localSheetId="24">'收益法 (元)'!$A$1:$AK$69</definedName>
    <definedName name="_xlnm.Print_Area" localSheetId="13">'数据-汇总表'!$A$1:$G$32</definedName>
    <definedName name="_xlnm.Print_Area" localSheetId="11">'数据-基础表'!$A$1:$K$13</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1" i="79" l="1"/>
  <c r="K12" i="79"/>
  <c r="K13" i="79"/>
  <c r="K14" i="79"/>
  <c r="K15" i="79"/>
  <c r="K10" i="79"/>
  <c r="J17" i="79"/>
  <c r="M9" i="79"/>
  <c r="L10" i="79"/>
  <c r="M10" i="79"/>
  <c r="L11" i="79"/>
  <c r="M11" i="79"/>
  <c r="L12" i="79"/>
  <c r="M12" i="79"/>
  <c r="L13" i="79"/>
  <c r="M13" i="79"/>
  <c r="L14" i="79"/>
  <c r="M14" i="79"/>
  <c r="L15" i="79"/>
  <c r="M15" i="79"/>
  <c r="L16" i="79"/>
  <c r="M16" i="79"/>
  <c r="L17" i="79"/>
  <c r="M17" i="79"/>
  <c r="L18" i="79"/>
  <c r="M18" i="79"/>
  <c r="L19" i="79"/>
  <c r="M19" i="79"/>
  <c r="L20" i="79"/>
  <c r="M20" i="79"/>
  <c r="L21" i="79"/>
  <c r="M21" i="79"/>
  <c r="M22" i="79"/>
  <c r="I16" i="79"/>
  <c r="D4" i="73"/>
  <c r="E20" i="43"/>
  <c r="M28" i="43"/>
  <c r="G20" i="43"/>
  <c r="C20" i="43"/>
  <c r="C33" i="43"/>
  <c r="E33" i="43"/>
  <c r="C6" i="68"/>
  <c r="D33" i="43"/>
  <c r="V6" i="71"/>
  <c r="V10" i="71"/>
  <c r="V14" i="71"/>
  <c r="V18" i="71"/>
  <c r="U6" i="71"/>
  <c r="U10" i="71"/>
  <c r="U14" i="71"/>
  <c r="U18" i="71"/>
  <c r="T6" i="71"/>
  <c r="S6"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D27" i="9"/>
  <c r="H68" i="15"/>
  <c r="H21" i="68"/>
  <c r="H49" i="39"/>
  <c r="AD21" i="1"/>
  <c r="J8" i="79"/>
  <c r="J9" i="79"/>
  <c r="J10" i="79"/>
  <c r="J11" i="79"/>
  <c r="J12" i="79"/>
  <c r="J13" i="79"/>
  <c r="J14" i="79"/>
  <c r="J15" i="79"/>
  <c r="J16" i="79"/>
  <c r="G16" i="79"/>
  <c r="H16" i="79"/>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AF6" i="1"/>
  <c r="AD6" i="1"/>
  <c r="U6" i="1"/>
  <c r="C3" i="79"/>
  <c r="C5" i="79"/>
  <c r="C4" i="79"/>
  <c r="G19" i="6"/>
  <c r="E5" i="39"/>
  <c r="BB10" i="3"/>
  <c r="BD10" i="3"/>
  <c r="BC10" i="3"/>
  <c r="BE10" i="3"/>
  <c r="BF10" i="3"/>
  <c r="BG10" i="3"/>
  <c r="BH10" i="3"/>
  <c r="BI10" i="3"/>
  <c r="BJ10" i="3"/>
  <c r="BK10" i="3"/>
  <c r="E10" i="6"/>
  <c r="E57" i="39"/>
  <c r="D81" i="39"/>
  <c r="E81" i="39"/>
  <c r="F11" i="39"/>
  <c r="AA11" i="39"/>
  <c r="D91" i="39"/>
  <c r="E91" i="39"/>
  <c r="F17" i="39"/>
  <c r="AA17" i="39"/>
  <c r="D120" i="39"/>
  <c r="F39" i="39"/>
  <c r="AA39" i="39"/>
  <c r="D95" i="39"/>
  <c r="E95" i="39"/>
  <c r="F21" i="39"/>
  <c r="AA21" i="39"/>
  <c r="B82" i="39"/>
  <c r="F12" i="39"/>
  <c r="AA1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P21" i="43"/>
  <c r="B71" i="39"/>
  <c r="E7" i="39"/>
  <c r="D71" i="39"/>
  <c r="E71" i="39"/>
  <c r="F71" i="39"/>
  <c r="G71" i="39"/>
  <c r="F7" i="39"/>
  <c r="AA7" i="39"/>
  <c r="F81" i="39"/>
  <c r="H11" i="39"/>
  <c r="AB11" i="39"/>
  <c r="H17" i="39"/>
  <c r="AB17" i="39"/>
  <c r="H21" i="39"/>
  <c r="AB21" i="39"/>
  <c r="H12" i="39"/>
  <c r="AB12" i="39"/>
  <c r="G7" i="39"/>
  <c r="H71" i="39"/>
  <c r="I71" i="39"/>
  <c r="J71" i="39"/>
  <c r="K71" i="39"/>
  <c r="H7" i="39"/>
  <c r="AB7" i="39"/>
  <c r="J11" i="39"/>
  <c r="AC11" i="39"/>
  <c r="J17" i="39"/>
  <c r="AC17" i="39"/>
  <c r="J21" i="39"/>
  <c r="AC21" i="39"/>
  <c r="J12" i="39"/>
  <c r="AC12" i="39"/>
  <c r="I7" i="39"/>
  <c r="L71" i="39"/>
  <c r="M71" i="39"/>
  <c r="N71" i="39"/>
  <c r="J7" i="39"/>
  <c r="AC7"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I38" i="39"/>
  <c r="G38" i="39"/>
  <c r="E38" i="39"/>
  <c r="O71" i="39"/>
  <c r="E15" i="4"/>
  <c r="C10" i="39"/>
  <c r="I5" i="39"/>
  <c r="G5" i="39"/>
  <c r="Y6" i="1"/>
  <c r="Q7" i="71"/>
  <c r="Q8" i="71"/>
  <c r="Q9" i="71"/>
  <c r="Q10" i="71"/>
  <c r="Q11" i="71"/>
  <c r="Q12" i="71"/>
  <c r="Q13" i="71"/>
  <c r="Q14" i="71"/>
  <c r="Q15" i="71"/>
  <c r="Q16" i="71"/>
  <c r="Q17" i="71"/>
  <c r="Q18" i="71"/>
  <c r="Q19" i="71"/>
  <c r="Q20" i="71"/>
  <c r="Q21" i="71"/>
  <c r="Q22" i="71"/>
  <c r="Q23" i="71"/>
  <c r="Q24" i="71"/>
  <c r="Q25" i="71"/>
  <c r="Q26" i="71"/>
  <c r="Q27" i="71"/>
  <c r="Q28" i="71"/>
  <c r="Q29" i="71"/>
  <c r="AB7" i="71"/>
  <c r="AB6" i="71"/>
  <c r="P7" i="71"/>
  <c r="P8" i="71"/>
  <c r="P9" i="71"/>
  <c r="P10" i="71"/>
  <c r="P11" i="71"/>
  <c r="P12" i="71"/>
  <c r="P13" i="71"/>
  <c r="P14" i="71"/>
  <c r="P15" i="71"/>
  <c r="P16" i="71"/>
  <c r="P17" i="71"/>
  <c r="P18" i="71"/>
  <c r="P19" i="71"/>
  <c r="P20" i="71"/>
  <c r="P21" i="71"/>
  <c r="P22" i="71"/>
  <c r="P23" i="71"/>
  <c r="P24" i="71"/>
  <c r="P25" i="71"/>
  <c r="P26" i="71"/>
  <c r="P27" i="71"/>
  <c r="P28" i="71"/>
  <c r="P29" i="71"/>
  <c r="AA7" i="71"/>
  <c r="AA6" i="71"/>
  <c r="O7" i="71"/>
  <c r="O8" i="71"/>
  <c r="O9" i="71"/>
  <c r="O10" i="71"/>
  <c r="O11" i="71"/>
  <c r="O12" i="71"/>
  <c r="O13" i="71"/>
  <c r="O14" i="71"/>
  <c r="O15" i="71"/>
  <c r="O16" i="71"/>
  <c r="O17" i="71"/>
  <c r="O18" i="71"/>
  <c r="O19" i="71"/>
  <c r="O20" i="71"/>
  <c r="O21" i="71"/>
  <c r="O22" i="71"/>
  <c r="O23" i="71"/>
  <c r="O24" i="71"/>
  <c r="O25" i="71"/>
  <c r="O26" i="71"/>
  <c r="O27" i="71"/>
  <c r="O28" i="71"/>
  <c r="O29" i="71"/>
  <c r="Y6" i="71"/>
  <c r="Y7" i="71"/>
  <c r="N7" i="71"/>
  <c r="N8" i="71"/>
  <c r="N9" i="71"/>
  <c r="N10" i="71"/>
  <c r="N11" i="71"/>
  <c r="N12" i="71"/>
  <c r="N13" i="71"/>
  <c r="N14" i="71"/>
  <c r="N15" i="71"/>
  <c r="N16" i="71"/>
  <c r="N17" i="71"/>
  <c r="N18" i="71"/>
  <c r="N19" i="71"/>
  <c r="N20" i="71"/>
  <c r="N21" i="71"/>
  <c r="N22" i="71"/>
  <c r="N23" i="71"/>
  <c r="N24" i="71"/>
  <c r="N25" i="71"/>
  <c r="N26" i="71"/>
  <c r="N27" i="71"/>
  <c r="N28" i="71"/>
  <c r="N29" i="71"/>
  <c r="X6" i="71"/>
  <c r="X7" i="71"/>
  <c r="Z6" i="71"/>
  <c r="F14" i="71"/>
  <c r="F13" i="71"/>
  <c r="F12" i="71"/>
  <c r="F11" i="71"/>
  <c r="F10" i="71"/>
  <c r="F9" i="71"/>
  <c r="F8" i="71"/>
  <c r="F7" i="71"/>
  <c r="E14" i="71"/>
  <c r="E13" i="71"/>
  <c r="E12" i="71"/>
  <c r="E11" i="71"/>
  <c r="E10" i="71"/>
  <c r="E9" i="71"/>
  <c r="E8" i="71"/>
  <c r="E7" i="71"/>
  <c r="C14" i="71"/>
  <c r="C13" i="71"/>
  <c r="C12" i="71"/>
  <c r="C11" i="71"/>
  <c r="C10" i="71"/>
  <c r="C9" i="71"/>
  <c r="C8" i="71"/>
  <c r="C7" i="71"/>
  <c r="D6" i="71"/>
  <c r="B14" i="71"/>
  <c r="B13" i="71"/>
  <c r="B12" i="71"/>
  <c r="B11" i="71"/>
  <c r="B10" i="71"/>
  <c r="B9" i="71"/>
  <c r="B8" i="71"/>
  <c r="B7" i="71"/>
  <c r="Z7" i="71"/>
  <c r="D7" i="71"/>
  <c r="F24" i="12"/>
  <c r="F7" i="69"/>
  <c r="F7" i="68"/>
  <c r="M15" i="45"/>
  <c r="L15" i="45"/>
  <c r="K15" i="45"/>
  <c r="J15" i="45"/>
  <c r="I15" i="45"/>
  <c r="H15" i="45"/>
  <c r="G15" i="45"/>
  <c r="F15" i="45"/>
  <c r="E15" i="45"/>
  <c r="D15" i="45"/>
  <c r="C15" i="45"/>
  <c r="B15" i="45"/>
  <c r="AA8" i="71"/>
  <c r="Y8" i="71"/>
  <c r="X8" i="71"/>
  <c r="AA11" i="71"/>
  <c r="X11" i="71"/>
  <c r="AB11" i="71"/>
  <c r="AA12" i="71"/>
  <c r="Y11" i="71"/>
  <c r="Z11" i="71"/>
  <c r="C28" i="71"/>
  <c r="C29" i="71"/>
  <c r="C30" i="71"/>
  <c r="M19" i="43"/>
  <c r="D15" i="71"/>
  <c r="X12" i="71"/>
  <c r="AB13" i="71"/>
  <c r="AA13" i="71"/>
  <c r="Y12" i="71"/>
  <c r="Z12" i="71"/>
  <c r="Y13" i="71"/>
  <c r="Z13"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D9" i="68"/>
  <c r="E9" i="68"/>
  <c r="C9" i="68"/>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O43" i="71"/>
  <c r="C44" i="71"/>
  <c r="Q43" i="71"/>
  <c r="F44" i="71"/>
  <c r="F45" i="71"/>
  <c r="F46" i="71"/>
  <c r="V46" i="71"/>
  <c r="P43" i="71"/>
  <c r="E44"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AB29" i="71"/>
  <c r="AA29" i="71"/>
  <c r="Y29" i="71"/>
  <c r="Z29" i="71"/>
  <c r="X29" i="71"/>
  <c r="AB28" i="71"/>
  <c r="Y28" i="71"/>
  <c r="Z28" i="71"/>
  <c r="F28" i="71"/>
  <c r="F29" i="71"/>
  <c r="F30" i="71"/>
  <c r="V30" i="71"/>
  <c r="D27" i="71"/>
  <c r="AB26" i="71"/>
  <c r="Y26" i="71"/>
  <c r="Z26" i="71"/>
  <c r="AB25" i="71"/>
  <c r="Y25" i="71"/>
  <c r="Z25" i="71"/>
  <c r="AB24" i="71"/>
  <c r="Y24" i="71"/>
  <c r="Z24" i="71"/>
  <c r="F24" i="71"/>
  <c r="F25" i="71"/>
  <c r="F26" i="71"/>
  <c r="V26" i="71"/>
  <c r="D23" i="71"/>
  <c r="AB22" i="71"/>
  <c r="Y22" i="71"/>
  <c r="Z22" i="71"/>
  <c r="AB21" i="71"/>
  <c r="Y21" i="71"/>
  <c r="Z21" i="71"/>
  <c r="AB20" i="71"/>
  <c r="Y20" i="71"/>
  <c r="Z20" i="71"/>
  <c r="F20" i="71"/>
  <c r="F21" i="71"/>
  <c r="F22" i="71"/>
  <c r="V22" i="71"/>
  <c r="D19"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Y27" i="71"/>
  <c r="Z27" i="71"/>
  <c r="AB27" i="71"/>
  <c r="X28" i="71"/>
  <c r="AA28" i="71"/>
  <c r="F41" i="71"/>
  <c r="F42" i="71"/>
  <c r="V42" i="71"/>
  <c r="C18" i="71"/>
  <c r="Y3" i="71"/>
  <c r="Z3" i="71"/>
  <c r="Y15" i="71"/>
  <c r="Z15" i="71"/>
  <c r="Y16" i="71"/>
  <c r="Z16" i="71"/>
  <c r="Y17" i="71"/>
  <c r="Z17" i="71"/>
  <c r="Y18" i="71"/>
  <c r="Z18" i="71"/>
  <c r="B18" i="71"/>
  <c r="B17" i="71"/>
  <c r="B16" i="71"/>
  <c r="X15" i="71"/>
  <c r="X16" i="71"/>
  <c r="X17" i="71"/>
  <c r="X18" i="71"/>
  <c r="C21" i="71"/>
  <c r="D20" i="71"/>
  <c r="D24" i="71"/>
  <c r="D28" i="71"/>
  <c r="C33" i="71"/>
  <c r="D32" i="71"/>
  <c r="C37" i="71"/>
  <c r="D37" i="71"/>
  <c r="D36" i="71"/>
  <c r="C41" i="71"/>
  <c r="D40" i="71"/>
  <c r="E45" i="71"/>
  <c r="E46" i="71"/>
  <c r="U46" i="71"/>
  <c r="E49" i="71"/>
  <c r="E50" i="71"/>
  <c r="U50" i="71"/>
  <c r="E53" i="71"/>
  <c r="E54" i="71"/>
  <c r="U54" i="71"/>
  <c r="Q55" i="71"/>
  <c r="U58" i="71"/>
  <c r="E57"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D29" i="71"/>
  <c r="C26" i="71"/>
  <c r="D25" i="71"/>
  <c r="C22" i="71"/>
  <c r="D21" i="71"/>
  <c r="C16" i="71"/>
  <c r="D16" i="71"/>
  <c r="D17"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D50" i="43"/>
  <c r="D51" i="43"/>
  <c r="D52" i="43"/>
  <c r="D53" i="43"/>
  <c r="D54" i="43"/>
  <c r="D55"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23" i="1"/>
  <c r="B24" i="1"/>
  <c r="B43" i="1"/>
  <c r="D78" i="9"/>
  <c r="E19" i="6"/>
  <c r="E20" i="6"/>
  <c r="E21" i="6"/>
  <c r="K8" i="1"/>
  <c r="M8" i="1"/>
  <c r="F23" i="15"/>
  <c r="D24" i="15"/>
  <c r="M13" i="1"/>
  <c r="O13" i="1"/>
  <c r="P13" i="1"/>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I4" i="6"/>
  <c r="G3" i="4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W11" i="39"/>
  <c r="S11" i="39"/>
  <c r="G4" i="4"/>
  <c r="I4" i="4"/>
  <c r="K5" i="4"/>
  <c r="B47" i="48"/>
  <c r="A2" i="9"/>
  <c r="F59" i="43"/>
  <c r="H62" i="43"/>
  <c r="F29" i="6"/>
  <c r="G28" i="6"/>
  <c r="U36" i="40"/>
  <c r="F36" i="43"/>
  <c r="F81" i="43"/>
  <c r="H83" i="43"/>
  <c r="H113" i="43"/>
  <c r="N8" i="43"/>
  <c r="N9"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W12" i="39"/>
  <c r="AC39" i="40"/>
  <c r="W39" i="40"/>
  <c r="W12" i="33"/>
  <c r="AC12" i="33"/>
  <c r="AA32" i="36"/>
  <c r="S32" i="36"/>
  <c r="AA39" i="34"/>
  <c r="F28" i="6"/>
  <c r="U30" i="33"/>
  <c r="AC13" i="34"/>
  <c r="AA47" i="34"/>
  <c r="W28" i="37"/>
  <c r="S19" i="39"/>
  <c r="F12" i="33"/>
  <c r="F39" i="40"/>
  <c r="S12" i="1"/>
  <c r="R12" i="1"/>
  <c r="B12" i="1"/>
  <c r="E12" i="1"/>
  <c r="S10" i="1"/>
  <c r="AQ10" i="1"/>
  <c r="R10" i="1"/>
  <c r="B10" i="1"/>
  <c r="E10" i="1"/>
  <c r="D1" i="66"/>
  <c r="E10" i="66"/>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B3" i="3"/>
  <c r="E11" i="6"/>
  <c r="E61" i="39"/>
  <c r="E65" i="39"/>
  <c r="J56" i="9"/>
  <c r="J57" i="9"/>
  <c r="J59" i="9"/>
  <c r="J61" i="9"/>
  <c r="A24" i="51"/>
  <c r="B18" i="72"/>
  <c r="U29" i="34"/>
  <c r="E14" i="6"/>
  <c r="E64" i="39"/>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D9" i="53"/>
  <c r="B25" i="72"/>
  <c r="B24" i="72"/>
  <c r="G6" i="1"/>
  <c r="H85" i="43"/>
  <c r="H81" i="43"/>
  <c r="H84" i="43"/>
  <c r="H88" i="43"/>
  <c r="H53" i="43"/>
  <c r="H78" i="43"/>
  <c r="H71" i="43"/>
  <c r="C17" i="43"/>
  <c r="F33" i="43"/>
  <c r="K17" i="43"/>
  <c r="F34" i="43"/>
  <c r="N6" i="43"/>
  <c r="M8" i="43"/>
  <c r="M9" i="43"/>
  <c r="C6" i="43"/>
  <c r="N3" i="43"/>
  <c r="F38" i="43"/>
  <c r="F37" i="43"/>
  <c r="N5" i="43"/>
  <c r="M12" i="43"/>
  <c r="B19" i="53"/>
  <c r="B37" i="72"/>
  <c r="C7" i="35"/>
  <c r="C7" i="33"/>
  <c r="C58" i="33"/>
  <c r="D58" i="33"/>
  <c r="E58" i="33"/>
  <c r="F58" i="33"/>
  <c r="G58" i="33"/>
  <c r="H58" i="33"/>
  <c r="I58" i="33"/>
  <c r="J58" i="33"/>
  <c r="K58" i="33"/>
  <c r="L58" i="33"/>
  <c r="M58" i="33"/>
  <c r="N58" i="33"/>
  <c r="O58" i="33"/>
  <c r="C7" i="21"/>
  <c r="C58" i="21"/>
  <c r="C7" i="40"/>
  <c r="C63" i="40"/>
  <c r="C65" i="40"/>
  <c r="M47" i="9"/>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Q16" i="1"/>
  <c r="F27" i="69"/>
  <c r="C47" i="69"/>
  <c r="D45" i="69"/>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Y6" i="3"/>
  <c r="M6" i="1"/>
  <c r="O6" i="1"/>
  <c r="F30" i="11"/>
  <c r="C48" i="11"/>
  <c r="E63" i="39"/>
  <c r="T11" i="1"/>
  <c r="AR11" i="1"/>
  <c r="K15" i="1"/>
  <c r="T9" i="1"/>
  <c r="T13" i="1"/>
  <c r="E27" i="6"/>
  <c r="E28" i="6"/>
  <c r="K20" i="6"/>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L27" i="6"/>
  <c r="AP7" i="1"/>
  <c r="C36" i="69"/>
  <c r="AB45" i="21"/>
  <c r="AC33" i="21"/>
  <c r="W33" i="21"/>
  <c r="S33" i="21"/>
  <c r="AA33" i="21"/>
  <c r="W32" i="21"/>
  <c r="AC32" i="21"/>
  <c r="AB9" i="21"/>
  <c r="U9" i="21"/>
  <c r="AA32" i="21"/>
  <c r="S32" i="21"/>
  <c r="W9" i="21"/>
  <c r="AC9" i="21"/>
  <c r="AB32" i="21"/>
  <c r="U32" i="21"/>
  <c r="AA10" i="21"/>
  <c r="S10" i="21"/>
  <c r="T7" i="1"/>
  <c r="AR7" i="1"/>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78" i="3"/>
  <c r="AY146" i="3"/>
  <c r="AY157" i="3"/>
  <c r="AY126" i="3"/>
  <c r="AY117" i="3"/>
  <c r="AY302" i="3"/>
  <c r="AY271" i="3"/>
  <c r="AY239" i="3"/>
  <c r="AY254" i="3"/>
  <c r="AY222" i="3"/>
  <c r="AY211" i="3"/>
  <c r="AY389" i="3"/>
  <c r="AY365" i="3"/>
  <c r="BS6" i="3"/>
  <c r="BI6" i="3"/>
  <c r="AY93" i="3"/>
  <c r="AY57" i="3"/>
  <c r="AY72" i="3"/>
  <c r="AY40" i="3"/>
  <c r="AY29" i="3"/>
  <c r="AY186"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C18" i="4"/>
  <c r="C4" i="52"/>
  <c r="B45" i="72"/>
  <c r="M20" i="6"/>
  <c r="I20" i="6"/>
  <c r="H20" i="6"/>
  <c r="D20" i="6"/>
  <c r="R20" i="6"/>
  <c r="R7" i="1"/>
  <c r="L19" i="9"/>
  <c r="F34" i="11"/>
  <c r="F11" i="12"/>
  <c r="C23" i="12"/>
  <c r="F34" i="68"/>
  <c r="R8" i="1"/>
  <c r="AE7" i="1"/>
  <c r="AE8" i="1"/>
  <c r="L48" i="15"/>
  <c r="J53" i="15"/>
  <c r="F1" i="15"/>
  <c r="AE6" i="1"/>
  <c r="AG6"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D63" i="40"/>
  <c r="E63" i="40"/>
  <c r="J1" i="73"/>
  <c r="H77" i="43"/>
  <c r="H76" i="43"/>
  <c r="H51" i="43"/>
  <c r="H67" i="43"/>
  <c r="H59" i="43"/>
  <c r="H60" i="43"/>
  <c r="H61" i="43"/>
  <c r="M4" i="43"/>
  <c r="M5" i="43"/>
  <c r="N12" i="43"/>
  <c r="N11" i="43"/>
  <c r="M10" i="43"/>
  <c r="M2" i="43"/>
  <c r="M7" i="43"/>
  <c r="H70" i="43"/>
  <c r="H54" i="43"/>
  <c r="N10" i="43"/>
  <c r="H48" i="43"/>
  <c r="H74" i="43"/>
  <c r="M6" i="43"/>
  <c r="N7" i="43"/>
  <c r="N4" i="43"/>
  <c r="N2" i="43"/>
  <c r="H49" i="43"/>
  <c r="N17" i="43"/>
  <c r="L17" i="43"/>
  <c r="O17" i="43"/>
  <c r="M17" i="43"/>
  <c r="E17" i="43"/>
  <c r="AC7" i="33"/>
  <c r="V48" i="33"/>
  <c r="I48" i="33"/>
  <c r="D58" i="21"/>
  <c r="C24" i="12"/>
  <c r="D12" i="71"/>
  <c r="D13" i="71"/>
  <c r="D14" i="71"/>
  <c r="S14" i="71"/>
  <c r="T14" i="71"/>
  <c r="AB12" i="71"/>
  <c r="X10" i="71"/>
  <c r="X9" i="71"/>
  <c r="AA10" i="71"/>
  <c r="AA9" i="71"/>
  <c r="X13" i="71"/>
  <c r="Z8" i="71"/>
  <c r="Y9" i="71"/>
  <c r="Z9" i="71"/>
  <c r="AB10" i="71"/>
  <c r="AB9" i="71"/>
  <c r="S10" i="71"/>
  <c r="Y10" i="71"/>
  <c r="Z10" i="71"/>
  <c r="E7" i="49"/>
  <c r="AB3" i="71"/>
  <c r="X3" i="71"/>
  <c r="E10" i="49"/>
  <c r="E14" i="49"/>
  <c r="P24" i="43"/>
  <c r="B66" i="40"/>
  <c r="P22" i="43"/>
  <c r="B13" i="49"/>
  <c r="E4" i="4"/>
  <c r="B5" i="62"/>
  <c r="B73" i="72"/>
  <c r="B9" i="49"/>
  <c r="C4" i="4"/>
  <c r="E6" i="49"/>
  <c r="B8" i="49"/>
  <c r="E4" i="49"/>
  <c r="B14" i="49"/>
  <c r="B22" i="49"/>
  <c r="D65" i="40"/>
  <c r="G17" i="43"/>
  <c r="C16" i="43"/>
  <c r="D5" i="43"/>
  <c r="C5" i="43"/>
  <c r="E58" i="21"/>
  <c r="F58" i="21"/>
  <c r="G58" i="21"/>
  <c r="P23" i="43"/>
  <c r="D11" i="71"/>
  <c r="P25" i="43"/>
  <c r="E65" i="40"/>
  <c r="F63" i="40"/>
  <c r="G63" i="40"/>
  <c r="G65" i="40"/>
  <c r="E41" i="43"/>
  <c r="C41" i="43"/>
  <c r="D8" i="71"/>
  <c r="T10" i="71"/>
  <c r="D9" i="71"/>
  <c r="D10" i="71"/>
  <c r="F65" i="40"/>
  <c r="M20" i="43"/>
  <c r="AB8" i="71"/>
  <c r="C19" i="43"/>
  <c r="H63" i="40"/>
  <c r="H65" i="40"/>
  <c r="I63" i="40"/>
  <c r="J63" i="40"/>
  <c r="K63" i="40"/>
  <c r="L63" i="40"/>
  <c r="M63" i="40"/>
  <c r="N63" i="40"/>
  <c r="O63" i="40"/>
  <c r="I65" i="40"/>
  <c r="J65" i="40"/>
  <c r="K65" i="40"/>
  <c r="L65" i="40"/>
  <c r="M65" i="40"/>
  <c r="N65" i="40"/>
  <c r="O65" i="40"/>
  <c r="H7" i="40"/>
  <c r="AB7" i="40"/>
  <c r="T42" i="40"/>
  <c r="G42" i="40"/>
  <c r="E9" i="49"/>
  <c r="E13" i="49"/>
  <c r="B11" i="49"/>
  <c r="E21" i="49"/>
  <c r="E8" i="49"/>
  <c r="B10" i="49"/>
  <c r="E11" i="49"/>
  <c r="E22" i="49"/>
  <c r="B4" i="49"/>
  <c r="B6" i="49"/>
  <c r="F31" i="15"/>
  <c r="F31" i="67"/>
  <c r="L48" i="67"/>
  <c r="D2" i="33"/>
  <c r="M27" i="67"/>
  <c r="AO7" i="1"/>
  <c r="D2" i="21"/>
  <c r="F43" i="15"/>
  <c r="AO12" i="1"/>
  <c r="F8" i="15"/>
  <c r="M19" i="6"/>
  <c r="I19" i="6"/>
  <c r="H19" i="6"/>
  <c r="D19" i="6"/>
  <c r="R19" i="6"/>
  <c r="R6" i="1"/>
  <c r="M21" i="67"/>
  <c r="J15" i="15"/>
  <c r="M24" i="67"/>
  <c r="F7" i="15"/>
  <c r="M28" i="67"/>
  <c r="M23" i="15"/>
  <c r="F3" i="73"/>
  <c r="M29" i="15"/>
  <c r="M8" i="67"/>
  <c r="M6" i="15"/>
  <c r="F37" i="67"/>
  <c r="F41" i="15"/>
  <c r="F8" i="67"/>
  <c r="E10" i="76"/>
  <c r="E12" i="76"/>
  <c r="E8" i="76"/>
  <c r="F4" i="73"/>
  <c r="F43" i="67"/>
  <c r="M9" i="67"/>
  <c r="F20" i="31"/>
  <c r="F42" i="67"/>
  <c r="F36" i="15"/>
  <c r="D2" i="36"/>
  <c r="AO8" i="1"/>
  <c r="L47" i="15"/>
  <c r="D7" i="73"/>
  <c r="AO10" i="1"/>
  <c r="E13" i="76"/>
  <c r="F6" i="15"/>
  <c r="D2" i="34"/>
  <c r="F40" i="15"/>
  <c r="B8" i="76"/>
  <c r="M21" i="15"/>
  <c r="E11" i="76"/>
  <c r="F36" i="67"/>
  <c r="D5" i="73"/>
  <c r="K1" i="73"/>
  <c r="G1" i="73"/>
  <c r="B40" i="1"/>
  <c r="F22" i="68"/>
  <c r="C19" i="68"/>
  <c r="C24" i="68"/>
  <c r="F27" i="68"/>
  <c r="C26" i="68"/>
  <c r="D22" i="68"/>
  <c r="C29" i="68"/>
  <c r="D27" i="68"/>
  <c r="M7" i="1"/>
  <c r="K14" i="1"/>
  <c r="M14" i="1"/>
  <c r="M16" i="1"/>
  <c r="C34" i="68"/>
  <c r="C35" i="68"/>
  <c r="C36" i="68"/>
  <c r="D19" i="68"/>
  <c r="D37" i="68"/>
  <c r="C37" i="68"/>
  <c r="C38" i="68"/>
  <c r="C33" i="68"/>
  <c r="C39" i="68"/>
  <c r="C42" i="68"/>
  <c r="C43" i="68"/>
  <c r="C41" i="68"/>
  <c r="C46" i="68"/>
  <c r="C45" i="68"/>
  <c r="C44" i="68"/>
  <c r="D41" i="68"/>
  <c r="C47" i="68"/>
  <c r="D45" i="68"/>
  <c r="F30" i="68"/>
  <c r="C48" i="68"/>
  <c r="C49" i="68"/>
  <c r="N16" i="1"/>
  <c r="F50" i="68"/>
  <c r="C51" i="68"/>
  <c r="F40" i="67"/>
  <c r="F35" i="67"/>
  <c r="F7" i="67"/>
  <c r="AO13" i="1"/>
  <c r="B9" i="76"/>
  <c r="F13" i="15"/>
  <c r="J15" i="67"/>
  <c r="L47" i="67"/>
  <c r="M22" i="67"/>
  <c r="AO9" i="1"/>
  <c r="F37" i="15"/>
  <c r="E7" i="76"/>
  <c r="M23" i="67"/>
  <c r="F42" i="15"/>
  <c r="D2" i="35"/>
  <c r="F26" i="15"/>
  <c r="B12" i="76"/>
  <c r="F26" i="67"/>
  <c r="B10" i="76"/>
  <c r="M29" i="67"/>
  <c r="F5" i="73"/>
  <c r="F35" i="15"/>
  <c r="F6" i="67"/>
  <c r="E9" i="76"/>
  <c r="E2" i="68"/>
  <c r="C76" i="15"/>
  <c r="F13" i="67"/>
  <c r="B13" i="76"/>
  <c r="B7" i="76"/>
  <c r="F9" i="15"/>
  <c r="C6" i="15"/>
  <c r="I1" i="73"/>
  <c r="B39" i="1"/>
  <c r="F11" i="15"/>
  <c r="C10" i="15"/>
  <c r="C5" i="15"/>
  <c r="F32" i="15"/>
  <c r="C32" i="15"/>
  <c r="C33" i="15"/>
  <c r="C34" i="15"/>
  <c r="C31" i="15"/>
  <c r="T6" i="1"/>
  <c r="C14" i="15"/>
  <c r="C15" i="15"/>
  <c r="F16" i="15"/>
  <c r="C16" i="15"/>
  <c r="C17" i="15"/>
  <c r="C18" i="15"/>
  <c r="C19" i="15"/>
  <c r="C20" i="15"/>
  <c r="F24" i="15"/>
  <c r="C23" i="15"/>
  <c r="C26" i="15"/>
  <c r="C24" i="15"/>
  <c r="C27" i="15"/>
  <c r="F28" i="15"/>
  <c r="C28" i="15"/>
  <c r="C29" i="15"/>
  <c r="C36" i="15"/>
  <c r="C13" i="15"/>
  <c r="C37" i="15"/>
  <c r="F38" i="15"/>
  <c r="C38" i="15"/>
  <c r="C30" i="15"/>
  <c r="C39" i="15"/>
  <c r="C40" i="15"/>
  <c r="M8" i="15"/>
  <c r="M7" i="15"/>
  <c r="M9" i="15"/>
  <c r="J6" i="15"/>
  <c r="M11" i="15"/>
  <c r="J10" i="15"/>
  <c r="J5" i="15"/>
  <c r="M18" i="15"/>
  <c r="J18" i="15"/>
  <c r="J19" i="15"/>
  <c r="J20" i="15"/>
  <c r="J17" i="15"/>
  <c r="J14" i="15"/>
  <c r="M22" i="15"/>
  <c r="J22" i="15"/>
  <c r="J13" i="15"/>
  <c r="J23" i="15"/>
  <c r="M24" i="15"/>
  <c r="J24" i="15"/>
  <c r="J16" i="15"/>
  <c r="J25" i="15"/>
  <c r="M28" i="15"/>
  <c r="M26" i="15"/>
  <c r="M27" i="15"/>
  <c r="J26" i="15"/>
  <c r="J29" i="15"/>
  <c r="J57" i="15"/>
  <c r="J55" i="15"/>
  <c r="J58" i="15"/>
  <c r="J59" i="15"/>
  <c r="J60" i="15"/>
  <c r="L46" i="15"/>
  <c r="B2" i="15"/>
  <c r="D19" i="9"/>
  <c r="F16" i="67"/>
  <c r="D2" i="37"/>
  <c r="F9" i="67"/>
  <c r="AO11" i="1"/>
  <c r="D6" i="73"/>
  <c r="E2" i="69"/>
  <c r="F38" i="67"/>
  <c r="M26" i="67"/>
  <c r="D3" i="73"/>
  <c r="F7" i="73"/>
  <c r="M6" i="67"/>
  <c r="B3" i="15"/>
  <c r="D20" i="9"/>
  <c r="C76" i="67"/>
  <c r="F6" i="73"/>
  <c r="B11" i="76"/>
  <c r="F41" i="67"/>
  <c r="C94" i="9"/>
  <c r="C92" i="9"/>
  <c r="F30" i="69"/>
  <c r="C30" i="69"/>
  <c r="C30" i="11"/>
  <c r="F54" i="9"/>
  <c r="F52" i="9"/>
  <c r="F32" i="67"/>
  <c r="F60" i="67"/>
  <c r="F28" i="67"/>
  <c r="C28" i="67"/>
  <c r="C77" i="9"/>
  <c r="C74" i="9"/>
  <c r="C36" i="11"/>
  <c r="D68" i="9"/>
  <c r="F60" i="15"/>
  <c r="M18" i="67"/>
  <c r="F31" i="12"/>
  <c r="C31" i="12"/>
  <c r="H16" i="1"/>
  <c r="E2" i="7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7" i="3"/>
  <c r="AY202" i="3"/>
  <c r="AY24" i="3"/>
  <c r="AY56" i="3"/>
  <c r="AY41" i="3"/>
  <c r="AY88" i="3"/>
  <c r="BB6" i="3"/>
  <c r="AY507" i="3"/>
  <c r="AY368" i="3"/>
  <c r="AY373" i="3"/>
  <c r="AY384" i="3"/>
  <c r="AY227" i="3"/>
  <c r="AY238" i="3"/>
  <c r="AY270" i="3"/>
  <c r="AY255" i="3"/>
  <c r="AY286" i="3"/>
  <c r="AY291" i="3"/>
  <c r="AY134" i="3"/>
  <c r="AY141" i="3"/>
  <c r="AY173" i="3"/>
  <c r="AY162" i="3"/>
  <c r="AY193" i="3"/>
  <c r="G30" i="6"/>
  <c r="G31" i="6"/>
  <c r="F27" i="11"/>
  <c r="C47" i="11"/>
  <c r="D45" i="11"/>
  <c r="E56" i="40"/>
  <c r="E8" i="6"/>
  <c r="F27" i="6"/>
  <c r="E12" i="6"/>
  <c r="E57" i="40"/>
  <c r="E62" i="39"/>
  <c r="C29" i="11"/>
  <c r="D27" i="11"/>
  <c r="E61" i="40"/>
  <c r="F28" i="12"/>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9" i="3"/>
  <c r="E237" i="3"/>
  <c r="E114" i="3"/>
  <c r="E261" i="3"/>
  <c r="E278" i="3"/>
  <c r="E304" i="3"/>
  <c r="E415" i="3"/>
  <c r="E528" i="3"/>
  <c r="E563" i="3"/>
  <c r="E565" i="3"/>
  <c r="E395" i="3"/>
  <c r="E183" i="3"/>
  <c r="E172" i="3"/>
  <c r="E213" i="3"/>
  <c r="E260" i="3"/>
  <c r="E361" i="3"/>
  <c r="E445" i="3"/>
  <c r="E17" i="3"/>
  <c r="E550" i="3"/>
  <c r="E503" i="3"/>
  <c r="E535" i="3"/>
  <c r="E302" i="3"/>
  <c r="E56" i="39"/>
  <c r="E66"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D10" i="6"/>
  <c r="E16" i="6"/>
  <c r="D9" i="69"/>
  <c r="C9" i="69"/>
  <c r="E59" i="40"/>
  <c r="D19" i="12"/>
  <c r="C19" i="12"/>
  <c r="P6" i="1"/>
  <c r="O8" i="1"/>
  <c r="P8" i="1"/>
  <c r="O12" i="1"/>
  <c r="P12" i="1"/>
  <c r="O9" i="1"/>
  <c r="P9" i="1"/>
  <c r="C29" i="12"/>
  <c r="D28" i="12"/>
  <c r="AQ9" i="1"/>
  <c r="B113" i="43"/>
  <c r="G101" i="43"/>
  <c r="C101" i="43"/>
  <c r="J101" i="43"/>
  <c r="N104" i="46"/>
  <c r="L101" i="43"/>
  <c r="H101" i="43"/>
  <c r="G22" i="43"/>
  <c r="J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9" i="69"/>
  <c r="D27" i="69"/>
  <c r="T14" i="43"/>
  <c r="V14" i="43"/>
  <c r="D7" i="74"/>
  <c r="I14" i="74"/>
  <c r="B8" i="74"/>
  <c r="D127" i="9"/>
  <c r="D13" i="52"/>
  <c r="D12" i="52"/>
  <c r="C34" i="43"/>
  <c r="T11" i="43"/>
  <c r="V11" i="43"/>
  <c r="T10" i="43"/>
  <c r="V10" i="43"/>
  <c r="T12" i="43"/>
  <c r="V12" i="43"/>
  <c r="T9" i="43"/>
  <c r="V9" i="43"/>
  <c r="T15" i="43"/>
  <c r="V15" i="43"/>
  <c r="T16" i="43"/>
  <c r="V16" i="43"/>
  <c r="C37" i="43"/>
  <c r="T13" i="43"/>
  <c r="V13" i="43"/>
  <c r="C35" i="43"/>
  <c r="T8" i="43"/>
  <c r="V8" i="43"/>
  <c r="C36" i="43"/>
  <c r="C38" i="43"/>
  <c r="C39" i="43"/>
  <c r="K4" i="4"/>
  <c r="B46" i="48"/>
  <c r="B4" i="72"/>
  <c r="B4" i="62"/>
  <c r="B71" i="72"/>
  <c r="G46" i="40"/>
  <c r="H46" i="40"/>
  <c r="U7" i="40"/>
  <c r="H58" i="21"/>
  <c r="I58" i="21"/>
  <c r="J58" i="21"/>
  <c r="K58" i="21"/>
  <c r="L58" i="21"/>
  <c r="M58" i="21"/>
  <c r="N58" i="21"/>
  <c r="O58" i="21"/>
  <c r="H7" i="21"/>
  <c r="I52" i="33"/>
  <c r="J52" i="33"/>
  <c r="F59" i="34"/>
  <c r="J7" i="40"/>
  <c r="F7" i="40"/>
  <c r="AB7" i="33"/>
  <c r="T48" i="33"/>
  <c r="G48" i="33"/>
  <c r="U7" i="33"/>
  <c r="D48" i="35"/>
  <c r="D52" i="37"/>
  <c r="S7" i="33"/>
  <c r="AA7" i="33"/>
  <c r="R48" i="33"/>
  <c r="D46" i="36"/>
  <c r="F7" i="21"/>
  <c r="J7" i="21"/>
  <c r="C48" i="69"/>
  <c r="F69" i="67"/>
  <c r="F66" i="67"/>
  <c r="B10" i="70"/>
  <c r="B11" i="70"/>
  <c r="M59" i="15"/>
  <c r="L58" i="15"/>
  <c r="N59" i="15"/>
  <c r="L59" i="15"/>
  <c r="B8" i="70"/>
  <c r="D21" i="9"/>
  <c r="D102" i="9"/>
  <c r="F66" i="15"/>
  <c r="Q71" i="67"/>
  <c r="Q71" i="15"/>
  <c r="F64" i="15"/>
  <c r="F70" i="67"/>
  <c r="D103" i="9"/>
  <c r="C6" i="67"/>
  <c r="F63" i="15"/>
  <c r="C62" i="15"/>
  <c r="B20" i="31"/>
  <c r="C27" i="67"/>
  <c r="Q50" i="15"/>
  <c r="I54" i="15"/>
  <c r="F71" i="67"/>
  <c r="F51" i="67"/>
  <c r="F69" i="15"/>
  <c r="F65" i="15"/>
  <c r="F65" i="67"/>
  <c r="B9" i="70"/>
  <c r="L58" i="67"/>
  <c r="L59" i="67"/>
  <c r="M59" i="67"/>
  <c r="N59" i="67"/>
  <c r="F50" i="15"/>
  <c r="B13" i="70"/>
  <c r="M7" i="67"/>
  <c r="F50" i="67"/>
  <c r="C34" i="67"/>
  <c r="F63" i="67"/>
  <c r="C62" i="67"/>
  <c r="J20" i="67"/>
  <c r="F68" i="67"/>
  <c r="F51" i="15"/>
  <c r="C49" i="15"/>
  <c r="B12" i="70"/>
  <c r="F64" i="67"/>
  <c r="F71" i="15"/>
  <c r="B7" i="70"/>
  <c r="F68" i="15"/>
  <c r="J53" i="67"/>
  <c r="I54" i="67"/>
  <c r="J57" i="67"/>
  <c r="J55" i="67"/>
  <c r="J58" i="67"/>
  <c r="Q50" i="67"/>
  <c r="L56" i="67"/>
  <c r="M17" i="15"/>
  <c r="F59" i="67"/>
  <c r="F59" i="15"/>
  <c r="M17" i="67"/>
  <c r="C17" i="67"/>
  <c r="C14" i="67"/>
  <c r="C16" i="67"/>
  <c r="C30" i="68"/>
  <c r="F31" i="6"/>
  <c r="E51" i="40"/>
  <c r="O7" i="1"/>
  <c r="P7" i="1"/>
  <c r="E30" i="6"/>
  <c r="E31" i="6"/>
  <c r="D22" i="43"/>
  <c r="AC6" i="3"/>
  <c r="K24" i="6"/>
  <c r="M24" i="6"/>
  <c r="I24" i="6"/>
  <c r="K25" i="6"/>
  <c r="M25" i="6"/>
  <c r="I25" i="6"/>
  <c r="K26" i="6"/>
  <c r="M26" i="6"/>
  <c r="I26" i="6"/>
  <c r="K23" i="6"/>
  <c r="M23" i="6"/>
  <c r="I23" i="6"/>
  <c r="E6" i="3"/>
  <c r="D3" i="34"/>
  <c r="D3" i="33"/>
  <c r="D19" i="11"/>
  <c r="C19" i="11"/>
  <c r="C17" i="4"/>
  <c r="L18" i="9"/>
  <c r="D3" i="37"/>
  <c r="D14" i="12"/>
  <c r="D25" i="6"/>
  <c r="D15" i="6"/>
  <c r="D22" i="6"/>
  <c r="D21" i="6"/>
  <c r="D24" i="6"/>
  <c r="D5" i="6"/>
  <c r="D9" i="6"/>
  <c r="D13" i="6"/>
  <c r="D28" i="6"/>
  <c r="D3" i="21"/>
  <c r="D37" i="11"/>
  <c r="C37" i="11"/>
  <c r="M18" i="9"/>
  <c r="B118" i="9"/>
  <c r="B14" i="74"/>
  <c r="B1" i="74"/>
  <c r="C7" i="74"/>
  <c r="D26" i="6"/>
  <c r="D8" i="6"/>
  <c r="D23" i="6"/>
  <c r="D14" i="6"/>
  <c r="D12" i="6"/>
  <c r="D11" i="6"/>
  <c r="D29" i="6"/>
  <c r="D10" i="11"/>
  <c r="C10" i="11"/>
  <c r="D20" i="12"/>
  <c r="C20" i="12"/>
  <c r="C18" i="12"/>
  <c r="D10" i="69"/>
  <c r="D6" i="6"/>
  <c r="E102" i="43"/>
  <c r="E106" i="43"/>
  <c r="E103" i="43"/>
  <c r="E104" i="43"/>
  <c r="E107" i="43"/>
  <c r="E105" i="43"/>
  <c r="E109" i="43"/>
  <c r="M109" i="43"/>
  <c r="M102" i="43"/>
  <c r="M106" i="43"/>
  <c r="M103" i="43"/>
  <c r="M104" i="43"/>
  <c r="M107" i="43"/>
  <c r="M105"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N102" i="43"/>
  <c r="N105" i="43"/>
  <c r="N104" i="43"/>
  <c r="N109" i="43"/>
  <c r="N103" i="43"/>
  <c r="N106" i="43"/>
  <c r="N107" i="43"/>
  <c r="K103" i="43"/>
  <c r="K102" i="43"/>
  <c r="K105" i="43"/>
  <c r="K109" i="43"/>
  <c r="K107" i="43"/>
  <c r="K104" i="43"/>
  <c r="K106" i="43"/>
  <c r="H107" i="43"/>
  <c r="H106" i="43"/>
  <c r="H105" i="43"/>
  <c r="H102" i="43"/>
  <c r="H104" i="43"/>
  <c r="H109" i="43"/>
  <c r="H103"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D8" i="74"/>
  <c r="C8" i="74"/>
  <c r="E39" i="43"/>
  <c r="G39" i="43"/>
  <c r="I39" i="43"/>
  <c r="E36" i="43"/>
  <c r="G36" i="43"/>
  <c r="I36" i="43"/>
  <c r="G35" i="43"/>
  <c r="I35" i="43"/>
  <c r="E35" i="43"/>
  <c r="G37" i="43"/>
  <c r="I37" i="43"/>
  <c r="E37" i="43"/>
  <c r="G38" i="43"/>
  <c r="I38" i="43"/>
  <c r="E38" i="43"/>
  <c r="G33" i="43"/>
  <c r="I33" i="43"/>
  <c r="G34" i="43"/>
  <c r="I34" i="43"/>
  <c r="E34" i="43"/>
  <c r="W7" i="21"/>
  <c r="AC7" i="21"/>
  <c r="V48" i="21"/>
  <c r="I48" i="21"/>
  <c r="S7" i="21"/>
  <c r="AA7" i="21"/>
  <c r="R48" i="21"/>
  <c r="E46" i="36"/>
  <c r="E48" i="35"/>
  <c r="G53" i="33"/>
  <c r="H53" i="33"/>
  <c r="G52" i="33"/>
  <c r="H52" i="33"/>
  <c r="W7" i="40"/>
  <c r="AC7" i="40"/>
  <c r="V42" i="40"/>
  <c r="I42" i="40"/>
  <c r="G59" i="34"/>
  <c r="R49" i="33"/>
  <c r="E48" i="33"/>
  <c r="E52" i="37"/>
  <c r="S7" i="40"/>
  <c r="AA7" i="40"/>
  <c r="R42" i="40"/>
  <c r="AB7" i="21"/>
  <c r="T48" i="21"/>
  <c r="G48" i="21"/>
  <c r="U7" i="21"/>
  <c r="C15" i="67"/>
  <c r="C18" i="67"/>
  <c r="Q61" i="67"/>
  <c r="Q74" i="67"/>
  <c r="Q52" i="15"/>
  <c r="J6" i="67"/>
  <c r="F1" i="67"/>
  <c r="Q52" i="67"/>
  <c r="Q60" i="67"/>
  <c r="Q73" i="67"/>
  <c r="C49" i="67"/>
  <c r="M11" i="67"/>
  <c r="J10" i="67"/>
  <c r="F11" i="67"/>
  <c r="L56" i="15"/>
  <c r="C32" i="67"/>
  <c r="Q74" i="15"/>
  <c r="Q61" i="15"/>
  <c r="Q60" i="15"/>
  <c r="Q73" i="15"/>
  <c r="P28" i="43"/>
  <c r="O28" i="43"/>
  <c r="N28" i="43"/>
  <c r="K22" i="6"/>
  <c r="M22" i="6"/>
  <c r="I22" i="6"/>
  <c r="K21" i="6"/>
  <c r="M21" i="6"/>
  <c r="I21" i="6"/>
  <c r="AQ6" i="1"/>
  <c r="S16" i="1"/>
  <c r="AR6" i="1"/>
  <c r="C34" i="69"/>
  <c r="K16" i="1"/>
  <c r="S23" i="6"/>
  <c r="H23" i="6"/>
  <c r="R23" i="6"/>
  <c r="S25" i="6"/>
  <c r="H25" i="6"/>
  <c r="R25" i="6"/>
  <c r="H24" i="6"/>
  <c r="R24" i="6"/>
  <c r="S24" i="6"/>
  <c r="D16" i="6"/>
  <c r="D27" i="6"/>
  <c r="D30" i="6"/>
  <c r="D31" i="6"/>
  <c r="I6" i="6"/>
  <c r="S26" i="6"/>
  <c r="H26" i="6"/>
  <c r="R26" i="6"/>
  <c r="K27" i="6"/>
  <c r="S20" i="6"/>
  <c r="D17" i="12"/>
  <c r="C17" i="12"/>
  <c r="C14" i="12"/>
  <c r="C20" i="11"/>
  <c r="C28" i="11"/>
  <c r="C27" i="11"/>
  <c r="B4" i="52"/>
  <c r="B43" i="72"/>
  <c r="A7" i="51"/>
  <c r="B7" i="72"/>
  <c r="A10" i="51"/>
  <c r="B9" i="72"/>
  <c r="C10" i="69"/>
  <c r="C8" i="69"/>
  <c r="C5" i="69"/>
  <c r="D19" i="69"/>
  <c r="C115" i="43"/>
  <c r="D113" i="43"/>
  <c r="S5" i="43"/>
  <c r="T5" i="43"/>
  <c r="V5" i="43"/>
  <c r="S3" i="43"/>
  <c r="T3" i="43"/>
  <c r="V3" i="43"/>
  <c r="S4" i="43"/>
  <c r="T4" i="43"/>
  <c r="V4" i="43"/>
  <c r="S2" i="43"/>
  <c r="T2" i="43"/>
  <c r="V2" i="43"/>
  <c r="S6" i="43"/>
  <c r="T6" i="43"/>
  <c r="V6" i="43"/>
  <c r="C23" i="43"/>
  <c r="C21" i="43"/>
  <c r="S7" i="43"/>
  <c r="T7" i="43"/>
  <c r="V7" i="43"/>
  <c r="C19" i="67"/>
  <c r="W7" i="39"/>
  <c r="S7" i="39"/>
  <c r="C49" i="33"/>
  <c r="B2" i="33"/>
  <c r="B3" i="33"/>
  <c r="C48" i="33"/>
  <c r="I46" i="40"/>
  <c r="J46" i="40"/>
  <c r="G47" i="40"/>
  <c r="H47" i="40"/>
  <c r="F46" i="36"/>
  <c r="R43" i="40"/>
  <c r="E42" i="40"/>
  <c r="G53" i="21"/>
  <c r="H53" i="21"/>
  <c r="G52" i="21"/>
  <c r="H52" i="21"/>
  <c r="F52" i="37"/>
  <c r="U7" i="39"/>
  <c r="E53" i="33"/>
  <c r="F53" i="33"/>
  <c r="E52" i="33"/>
  <c r="F52" i="33"/>
  <c r="I53" i="33"/>
  <c r="J53" i="33"/>
  <c r="H59" i="34"/>
  <c r="F48" i="35"/>
  <c r="G48" i="35"/>
  <c r="H48" i="35"/>
  <c r="I48" i="35"/>
  <c r="J48" i="35"/>
  <c r="K48" i="35"/>
  <c r="L48" i="35"/>
  <c r="M48" i="35"/>
  <c r="N48" i="35"/>
  <c r="O48" i="35"/>
  <c r="J7" i="35"/>
  <c r="F7" i="35"/>
  <c r="E48" i="21"/>
  <c r="R49" i="21"/>
  <c r="I52" i="21"/>
  <c r="J52" i="21"/>
  <c r="I53" i="21"/>
  <c r="J53" i="21"/>
  <c r="C20" i="67"/>
  <c r="C26" i="67"/>
  <c r="C10" i="67"/>
  <c r="C5" i="67"/>
  <c r="C53" i="67"/>
  <c r="J5" i="67"/>
  <c r="J18" i="67"/>
  <c r="C53" i="15"/>
  <c r="C48" i="15"/>
  <c r="C48" i="67"/>
  <c r="F24" i="67"/>
  <c r="C24" i="67"/>
  <c r="F25" i="12"/>
  <c r="F22" i="11"/>
  <c r="F22" i="69"/>
  <c r="S21" i="6"/>
  <c r="H21" i="6"/>
  <c r="R21" i="6"/>
  <c r="S22" i="6"/>
  <c r="H22" i="6"/>
  <c r="R22" i="6"/>
  <c r="I5" i="6"/>
  <c r="C35" i="69"/>
  <c r="C38" i="69"/>
  <c r="T16" i="1"/>
  <c r="O14" i="1"/>
  <c r="M27" i="6"/>
  <c r="D37" i="69"/>
  <c r="C37" i="69"/>
  <c r="C19" i="69"/>
  <c r="C20" i="69"/>
  <c r="C29" i="43"/>
  <c r="C48" i="21"/>
  <c r="C49" i="21"/>
  <c r="B2" i="21"/>
  <c r="B3" i="21"/>
  <c r="AA7" i="35"/>
  <c r="R38" i="35"/>
  <c r="S7" i="35"/>
  <c r="I59" i="34"/>
  <c r="J59" i="34"/>
  <c r="K59" i="34"/>
  <c r="L59" i="34"/>
  <c r="M59" i="34"/>
  <c r="N59" i="34"/>
  <c r="O59" i="34"/>
  <c r="F7" i="34"/>
  <c r="H7" i="34"/>
  <c r="E47" i="40"/>
  <c r="F47" i="40"/>
  <c r="E46" i="40"/>
  <c r="F46" i="40"/>
  <c r="I47" i="40"/>
  <c r="J47" i="40"/>
  <c r="E52" i="21"/>
  <c r="F52" i="21"/>
  <c r="E53" i="21"/>
  <c r="F53" i="21"/>
  <c r="W7" i="35"/>
  <c r="AC7" i="35"/>
  <c r="V38" i="35"/>
  <c r="I38" i="35"/>
  <c r="J7" i="34"/>
  <c r="G52" i="37"/>
  <c r="C43" i="40"/>
  <c r="C42" i="40"/>
  <c r="G46" i="36"/>
  <c r="H7" i="35"/>
  <c r="C44" i="11"/>
  <c r="D41" i="11"/>
  <c r="C26" i="11"/>
  <c r="D22" i="11"/>
  <c r="C23" i="11"/>
  <c r="C24" i="11"/>
  <c r="C25" i="11"/>
  <c r="C44" i="69"/>
  <c r="D41" i="69"/>
  <c r="C26" i="69"/>
  <c r="D22" i="69"/>
  <c r="C23" i="69"/>
  <c r="C26" i="12"/>
  <c r="D25" i="12"/>
  <c r="C60" i="67"/>
  <c r="C66" i="67"/>
  <c r="C60" i="15"/>
  <c r="C66" i="15"/>
  <c r="C38" i="67"/>
  <c r="J26" i="67"/>
  <c r="J29" i="67"/>
  <c r="J24" i="67"/>
  <c r="C23" i="67"/>
  <c r="C29" i="67"/>
  <c r="C24" i="69"/>
  <c r="C33" i="69"/>
  <c r="C42" i="69"/>
  <c r="C28" i="69"/>
  <c r="C27" i="69"/>
  <c r="C25" i="69"/>
  <c r="P14" i="1"/>
  <c r="P16" i="1"/>
  <c r="C11" i="12"/>
  <c r="O16" i="1"/>
  <c r="F50" i="69"/>
  <c r="F50" i="11"/>
  <c r="C34" i="11"/>
  <c r="L16" i="1"/>
  <c r="S19" i="6"/>
  <c r="S27" i="6"/>
  <c r="I27" i="6"/>
  <c r="C39" i="69"/>
  <c r="C43" i="69"/>
  <c r="C30" i="43"/>
  <c r="E30" i="43"/>
  <c r="C27" i="43"/>
  <c r="E29" i="43"/>
  <c r="C26" i="43"/>
  <c r="U7" i="35"/>
  <c r="AB7" i="35"/>
  <c r="T38" i="35"/>
  <c r="G38" i="35"/>
  <c r="H46" i="36"/>
  <c r="B55" i="40"/>
  <c r="F55" i="40"/>
  <c r="B57" i="40"/>
  <c r="F57" i="40"/>
  <c r="B56" i="40"/>
  <c r="F56" i="40"/>
  <c r="B53" i="40"/>
  <c r="F53" i="40"/>
  <c r="B58" i="40"/>
  <c r="F58" i="40"/>
  <c r="B51" i="40"/>
  <c r="F51" i="40"/>
  <c r="B60" i="40"/>
  <c r="F60" i="40"/>
  <c r="B59" i="40"/>
  <c r="F59" i="40"/>
  <c r="B54" i="40"/>
  <c r="F54" i="40"/>
  <c r="F61" i="40"/>
  <c r="B2" i="40"/>
  <c r="B3" i="40"/>
  <c r="B52" i="40"/>
  <c r="F52" i="40"/>
  <c r="H52" i="37"/>
  <c r="I42" i="35"/>
  <c r="J42" i="35"/>
  <c r="E38" i="35"/>
  <c r="I43" i="35"/>
  <c r="J43" i="35"/>
  <c r="S7" i="34"/>
  <c r="AA7" i="34"/>
  <c r="R49" i="34"/>
  <c r="W7" i="34"/>
  <c r="AC7" i="34"/>
  <c r="V49" i="34"/>
  <c r="I49" i="34"/>
  <c r="U7" i="34"/>
  <c r="AB7" i="34"/>
  <c r="T49" i="34"/>
  <c r="G49" i="34"/>
  <c r="R39" i="35"/>
  <c r="Q49" i="15"/>
  <c r="C57" i="15"/>
  <c r="J19" i="67"/>
  <c r="J17" i="67"/>
  <c r="C33" i="67"/>
  <c r="C31" i="67"/>
  <c r="C13" i="67"/>
  <c r="Q49" i="67"/>
  <c r="J14" i="67"/>
  <c r="C57" i="67"/>
  <c r="C36" i="67"/>
  <c r="J59" i="67"/>
  <c r="J60" i="67"/>
  <c r="C22" i="69"/>
  <c r="C31" i="69"/>
  <c r="C22" i="11"/>
  <c r="C31" i="11"/>
  <c r="E6" i="76"/>
  <c r="C41" i="69"/>
  <c r="C38" i="11"/>
  <c r="C35" i="11"/>
  <c r="C15" i="12"/>
  <c r="C12" i="12"/>
  <c r="H27" i="6"/>
  <c r="C46" i="69"/>
  <c r="C45" i="69"/>
  <c r="E2" i="76"/>
  <c r="B2" i="43"/>
  <c r="E42" i="35"/>
  <c r="F42" i="35"/>
  <c r="E43" i="35"/>
  <c r="F43" i="35"/>
  <c r="I46" i="36"/>
  <c r="G43" i="35"/>
  <c r="H43" i="35"/>
  <c r="G42" i="35"/>
  <c r="H42" i="35"/>
  <c r="C38" i="35"/>
  <c r="C39" i="35"/>
  <c r="B2" i="35"/>
  <c r="B3" i="35"/>
  <c r="G53" i="34"/>
  <c r="H53" i="34"/>
  <c r="G54" i="34"/>
  <c r="H54" i="34"/>
  <c r="I53" i="34"/>
  <c r="J53" i="34"/>
  <c r="R50" i="34"/>
  <c r="E49" i="34"/>
  <c r="I52" i="37"/>
  <c r="Q48" i="67"/>
  <c r="C37" i="67"/>
  <c r="C30" i="67"/>
  <c r="C39" i="67"/>
  <c r="L51" i="67"/>
  <c r="L57" i="67"/>
  <c r="L60" i="67"/>
  <c r="L46" i="67"/>
  <c r="C64" i="67"/>
  <c r="C61" i="67"/>
  <c r="C59" i="67"/>
  <c r="Q48" i="15"/>
  <c r="L51" i="15"/>
  <c r="L57" i="15"/>
  <c r="L60" i="15"/>
  <c r="Q70" i="15"/>
  <c r="C56" i="15"/>
  <c r="C65" i="15"/>
  <c r="C75" i="15"/>
  <c r="J13" i="67"/>
  <c r="J23" i="67"/>
  <c r="J22" i="67"/>
  <c r="C75" i="67"/>
  <c r="Q70" i="67"/>
  <c r="C56" i="67"/>
  <c r="C65" i="67"/>
  <c r="C61" i="15"/>
  <c r="C59" i="15"/>
  <c r="C64" i="15"/>
  <c r="B6" i="76"/>
  <c r="C33" i="11"/>
  <c r="C49" i="69"/>
  <c r="C51" i="69"/>
  <c r="C52" i="69"/>
  <c r="B2" i="69"/>
  <c r="B3" i="69"/>
  <c r="C16" i="12"/>
  <c r="C21" i="12"/>
  <c r="C22" i="12"/>
  <c r="C30" i="12"/>
  <c r="C28" i="12"/>
  <c r="R27" i="6"/>
  <c r="R16" i="1"/>
  <c r="J16" i="67"/>
  <c r="J25" i="67"/>
  <c r="C39" i="11"/>
  <c r="C42" i="11"/>
  <c r="B2" i="76"/>
  <c r="B3" i="76"/>
  <c r="B3" i="43"/>
  <c r="C58" i="15"/>
  <c r="C67" i="15"/>
  <c r="C68" i="15"/>
  <c r="J52" i="37"/>
  <c r="C50" i="34"/>
  <c r="B2" i="34"/>
  <c r="B3" i="34"/>
  <c r="C49" i="34"/>
  <c r="E54" i="34"/>
  <c r="F54" i="34"/>
  <c r="E53" i="34"/>
  <c r="F53" i="34"/>
  <c r="I54" i="34"/>
  <c r="J54" i="34"/>
  <c r="J46" i="36"/>
  <c r="Q69" i="67"/>
  <c r="Q68" i="67"/>
  <c r="C40" i="67"/>
  <c r="Q69" i="15"/>
  <c r="Q68" i="15"/>
  <c r="C71" i="15"/>
  <c r="C80" i="67"/>
  <c r="C79" i="67"/>
  <c r="C58" i="67"/>
  <c r="C67" i="67"/>
  <c r="C68" i="67"/>
  <c r="C80" i="15"/>
  <c r="C79" i="15"/>
  <c r="C57" i="69"/>
  <c r="C56" i="69"/>
  <c r="C27" i="12"/>
  <c r="C25" i="12"/>
  <c r="C32" i="12"/>
  <c r="B2" i="12"/>
  <c r="B3" i="12"/>
  <c r="C46" i="11"/>
  <c r="C45" i="11"/>
  <c r="C43" i="11"/>
  <c r="C41" i="11"/>
  <c r="C49" i="11"/>
  <c r="C51" i="11"/>
  <c r="C46" i="15"/>
  <c r="K46" i="36"/>
  <c r="K52" i="37"/>
  <c r="Q67" i="15"/>
  <c r="Q67" i="67"/>
  <c r="C45" i="67"/>
  <c r="C46" i="67"/>
  <c r="C71" i="67"/>
  <c r="C43" i="67"/>
  <c r="D2" i="67"/>
  <c r="Q47" i="67"/>
  <c r="Q53" i="67"/>
  <c r="Q65" i="67"/>
  <c r="Q56" i="67"/>
  <c r="C83" i="67"/>
  <c r="C82" i="67"/>
  <c r="Q65" i="15"/>
  <c r="C43" i="15"/>
  <c r="Q56" i="15"/>
  <c r="Q47" i="15"/>
  <c r="Q53" i="15"/>
  <c r="C83" i="15"/>
  <c r="C82" i="15"/>
  <c r="AO6" i="1"/>
  <c r="B6" i="70"/>
  <c r="B2" i="70"/>
  <c r="B3" i="70"/>
  <c r="C52" i="11"/>
  <c r="B2" i="11"/>
  <c r="B3" i="11"/>
  <c r="L52" i="37"/>
  <c r="L46" i="36"/>
  <c r="Q66" i="67"/>
  <c r="Q57" i="67"/>
  <c r="Q62" i="67"/>
  <c r="Q66" i="15"/>
  <c r="Q75" i="15"/>
  <c r="Q57" i="15"/>
  <c r="Q62" i="15"/>
  <c r="Q75" i="67"/>
  <c r="B2" i="67"/>
  <c r="B3" i="67"/>
  <c r="C56" i="11"/>
  <c r="C57" i="11"/>
  <c r="M46" i="36"/>
  <c r="N46" i="36"/>
  <c r="O46" i="36"/>
  <c r="H7" i="36"/>
  <c r="J7" i="36"/>
  <c r="F7" i="36"/>
  <c r="M52" i="37"/>
  <c r="N52" i="37"/>
  <c r="O52" i="37"/>
  <c r="J7" i="37"/>
  <c r="W7" i="37"/>
  <c r="AC7" i="37"/>
  <c r="V42" i="37"/>
  <c r="I42" i="37"/>
  <c r="F7" i="37"/>
  <c r="H7" i="37"/>
  <c r="W7" i="36"/>
  <c r="AC7" i="36"/>
  <c r="V36" i="36"/>
  <c r="I36" i="36"/>
  <c r="AA7" i="36"/>
  <c r="R36" i="36"/>
  <c r="S7" i="36"/>
  <c r="U7" i="36"/>
  <c r="AB7" i="36"/>
  <c r="T36" i="36"/>
  <c r="G36" i="36"/>
  <c r="G40" i="36"/>
  <c r="H40" i="36"/>
  <c r="G41" i="36"/>
  <c r="H41" i="36"/>
  <c r="I40" i="36"/>
  <c r="J40" i="36"/>
  <c r="AB7" i="37"/>
  <c r="T42" i="37"/>
  <c r="G42" i="37"/>
  <c r="U7" i="37"/>
  <c r="I46" i="37"/>
  <c r="J46" i="37"/>
  <c r="R37" i="36"/>
  <c r="E36" i="36"/>
  <c r="AA7" i="37"/>
  <c r="R42" i="37"/>
  <c r="S7" i="37"/>
  <c r="E40" i="36"/>
  <c r="F40" i="36"/>
  <c r="E41" i="36"/>
  <c r="F41" i="36"/>
  <c r="R43" i="37"/>
  <c r="E42" i="37"/>
  <c r="C37" i="36"/>
  <c r="B2" i="36"/>
  <c r="B3" i="36"/>
  <c r="C36" i="36"/>
  <c r="G47" i="37"/>
  <c r="H47" i="37"/>
  <c r="G46" i="37"/>
  <c r="H46" i="37"/>
  <c r="I41" i="36"/>
  <c r="J41" i="36"/>
  <c r="E46" i="37"/>
  <c r="F46" i="37"/>
  <c r="E47" i="37"/>
  <c r="F47" i="37"/>
  <c r="I47" i="37"/>
  <c r="J47" i="37"/>
  <c r="C43" i="37"/>
  <c r="B2" i="37"/>
  <c r="B3" i="37"/>
  <c r="C42" i="3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D122" i="9"/>
  <c r="G14" i="74"/>
  <c r="B6" i="74"/>
  <c r="C6" i="74"/>
  <c r="D6" i="74"/>
  <c r="N58" i="9"/>
  <c r="P57" i="9"/>
  <c r="C72" i="9"/>
  <c r="C78" i="9"/>
  <c r="C73" i="9"/>
  <c r="C79" i="9"/>
  <c r="C80" i="9"/>
  <c r="E80" i="9"/>
  <c r="E81" i="9"/>
  <c r="E96" i="9"/>
  <c r="E97" i="9"/>
  <c r="D8" i="52"/>
  <c r="D123" i="9"/>
  <c r="D9" i="52"/>
  <c r="D13" i="53"/>
  <c r="B30" i="72"/>
  <c r="D14" i="53"/>
  <c r="B32" i="72"/>
  <c r="C81" i="9"/>
  <c r="H108" i="9"/>
  <c r="D15" i="53"/>
  <c r="B31" i="72"/>
  <c r="D5" i="53"/>
  <c r="D6" i="53"/>
  <c r="B22" i="72"/>
  <c r="B20" i="72"/>
  <c r="D14" i="74"/>
  <c r="B5" i="74"/>
  <c r="D5" i="74"/>
  <c r="C5" i="74"/>
  <c r="D53" i="9"/>
  <c r="D52" i="9"/>
  <c r="C64" i="9"/>
  <c r="C63" i="9"/>
  <c r="C67" i="9"/>
  <c r="C68" i="9"/>
  <c r="D54" i="9"/>
  <c r="B2" i="39"/>
  <c r="B3" i="39"/>
  <c r="L63" i="9"/>
  <c r="M63" i="9"/>
  <c r="L64" i="9"/>
  <c r="M64" i="9"/>
  <c r="L65" i="9"/>
  <c r="M65" i="9"/>
  <c r="L66" i="9"/>
  <c r="M66" i="9"/>
  <c r="L67" i="9"/>
  <c r="M67" i="9"/>
  <c r="L68" i="9"/>
  <c r="M68" i="9"/>
  <c r="M69" i="9"/>
  <c r="N69" i="9"/>
  <c r="M48" i="9"/>
  <c r="I118" i="9"/>
  <c r="I4" i="52"/>
  <c r="H102" i="9"/>
  <c r="D7" i="53"/>
  <c r="B21" i="72"/>
  <c r="B3" i="68"/>
  <c r="C57" i="68"/>
  <c r="D35" i="9"/>
  <c r="C35" i="9"/>
  <c r="F118" i="9"/>
  <c r="G118" i="9"/>
  <c r="E118" i="9"/>
  <c r="E4" i="52"/>
  <c r="B48" i="72"/>
  <c r="C105" i="9"/>
  <c r="F14" i="74"/>
  <c r="E14" i="74"/>
  <c r="C34" i="9"/>
  <c r="D118" i="9"/>
  <c r="D119" i="9"/>
  <c r="D5" i="52"/>
  <c r="B49" i="72"/>
  <c r="D4" i="52"/>
  <c r="B47" i="72"/>
  <c r="E47" i="39"/>
  <c r="E51" i="39"/>
  <c r="F51" i="39"/>
  <c r="G47" i="39"/>
  <c r="E52" i="39"/>
  <c r="F52" i="39"/>
  <c r="C47" i="39"/>
  <c r="F4" i="52"/>
  <c r="B51" i="72"/>
  <c r="F119" i="9"/>
  <c r="F5" i="52"/>
  <c r="B53" i="72"/>
  <c r="G4" i="52"/>
  <c r="B52" i="72"/>
  <c r="C104" i="9"/>
  <c r="H4" i="52"/>
  <c r="H119" i="9"/>
  <c r="H5" i="52"/>
  <c r="I47" i="39"/>
  <c r="I52" i="39"/>
  <c r="J52" i="39"/>
  <c r="I51" i="39"/>
  <c r="J51" i="39"/>
  <c r="G52" i="39"/>
  <c r="H52" i="39"/>
  <c r="G51" i="39"/>
  <c r="H51" i="39"/>
  <c r="W10" i="39"/>
  <c r="U10" i="39"/>
  <c r="J10" i="40"/>
  <c r="W10" i="40"/>
  <c r="AC10" i="40"/>
  <c r="G21" i="9"/>
  <c r="F10" i="40"/>
  <c r="S10" i="40"/>
  <c r="AA10" i="40"/>
  <c r="S10" i="39"/>
  <c r="H10" i="40"/>
  <c r="AB10" i="40"/>
  <c r="U10" i="40"/>
  <c r="C20" i="9"/>
  <c r="C103" i="9"/>
  <c r="G20" i="9"/>
  <c r="C21" i="9"/>
  <c r="D22" i="9"/>
  <c r="C102" i="9"/>
  <c r="C56" i="68"/>
  <c r="D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<sst xmlns="http://schemas.openxmlformats.org/spreadsheetml/2006/main" count="7681" uniqueCount="3266">
  <si>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</si>
  <si>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</si>
  <si>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</si>
  <si>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</si>
  <si>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</si>
  <si>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</si>
  <si>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</si>
  <si>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</si>
  <si>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</si>
  <si>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</si>
  <si>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</si>
  <si>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</si>
  <si>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</si>
  <si>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</si>
  <si>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</si>
  <si>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</si>
  <si>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</si>
  <si>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</si>
  <si>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</si>
  <si>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</si>
  <si>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</si>
  <si>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</si>
  <si>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</si>
  <si>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</si>
  <si>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</si>
  <si>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</si>
  <si>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</si>
  <si>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</si>
  <si>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</si>
  <si>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</si>
  <si>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</si>
  <si>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</si>
  <si>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</si>
  <si>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</si>
  <si>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</si>
  <si>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</si>
  <si>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</si>
  <si>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</si>
  <si>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</si>
  <si>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</si>
  <si>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</si>
  <si>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</si>
  <si>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</si>
  <si>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</si>
  <si>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</si>
  <si>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</si>
  <si>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</si>
  <si>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</si>
  <si>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</si>
  <si>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</si>
  <si>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</si>
  <si>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</si>
  <si>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</si>
  <si>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</si>
  <si>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</si>
  <si>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</si>
  <si>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</si>
  <si>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</si>
  <si>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</si>
  <si>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</si>
  <si>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</si>
  <si>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</si>
  <si>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</si>
  <si>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</si>
  <si>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</si>
  <si>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</si>
  <si>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</si>
  <si>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</si>
  <si>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</si>
  <si>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</si>
  <si>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</si>
  <si>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</si>
  <si>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</si>
  <si>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</si>
  <si>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</si>
  <si>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</si>
  <si>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</si>
  <si>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</si>
  <si>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</si>
  <si>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</si>
  <si>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</si>
  <si>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</si>
  <si>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</si>
  <si>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</si>
  <si>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</si>
  <si>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</si>
  <si>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</si>
  <si>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</si>
  <si>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</si>
  <si>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</si>
  <si>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</si>
  <si>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</si>
  <si>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</si>
  <si>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</si>
  <si>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</si>
  <si>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</si>
  <si>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</si>
  <si>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</si>
  <si>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</si>
  <si>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</si>
  <si>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</si>
  <si>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</si>
  <si>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</si>
  <si>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</si>
  <si>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</si>
  <si>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</si>
  <si>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</si>
  <si>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</si>
  <si>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</si>
  <si>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</si>
  <si>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</si>
  <si>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</si>
  <si>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</si>
  <si>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</si>
  <si>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</si>
  <si>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</si>
  <si>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</si>
  <si>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</si>
  <si>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</si>
  <si>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</si>
  <si>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</si>
  <si>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</si>
  <si>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</si>
  <si>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</si>
  <si>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</si>
  <si>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</si>
  <si>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</si>
  <si>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</si>
  <si>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</si>
  <si>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</si>
  <si>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</si>
  <si>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</si>
  <si>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</si>
  <si>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</si>
  <si>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</si>
  <si>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</si>
  <si>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</si>
  <si>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</si>
  <si>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</si>
  <si>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</si>
  <si>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</si>
  <si>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</si>
  <si>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</si>
  <si>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</si>
  <si>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</si>
  <si>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</si>
  <si>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</si>
  <si>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</si>
  <si>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</si>
  <si>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</si>
  <si>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</si>
  <si>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</si>
  <si>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</si>
  <si>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</si>
  <si>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</si>
  <si>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</si>
  <si>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</si>
  <si>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</si>
  <si>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</si>
  <si>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</si>
  <si>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</si>
  <si>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</si>
  <si>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</si>
  <si>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</si>
  <si>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</si>
  <si>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</si>
  <si>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</si>
  <si>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</si>
  <si>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</si>
  <si>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</si>
  <si>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</si>
  <si>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</si>
  <si>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</si>
  <si>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</si>
  <si>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</si>
  <si>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</si>
  <si>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</si>
  <si>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</si>
  <si>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</si>
  <si>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</si>
  <si>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</si>
  <si>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</si>
  <si>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</si>
  <si>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</si>
  <si>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</si>
  <si>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</si>
  <si>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</si>
  <si>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</si>
  <si>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</si>
  <si>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</si>
  <si>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</si>
  <si>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</si>
  <si>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</si>
  <si>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</si>
  <si>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</si>
  <si>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</si>
  <si>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</si>
  <si>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</si>
  <si>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</si>
  <si>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</si>
  <si>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</si>
  <si>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</si>
  <si>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</si>
  <si>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</si>
  <si>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</si>
  <si>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</si>
  <si>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</si>
  <si>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</si>
  <si>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</si>
  <si>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</si>
  <si>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</si>
  <si>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</si>
  <si>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</si>
  <si>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</si>
  <si>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</si>
  <si>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</si>
  <si>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</si>
  <si>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</si>
  <si>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</si>
  <si>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</si>
  <si>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</si>
  <si>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</si>
  <si>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</si>
  <si>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</si>
  <si>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</si>
  <si>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</si>
  <si>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</si>
  <si>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</si>
  <si>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</si>
  <si>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</si>
  <si>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</si>
  <si>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</si>
  <si>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</si>
  <si>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</si>
  <si>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</si>
  <si>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</si>
  <si>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</si>
  <si>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</si>
  <si>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</si>
  <si>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</si>
  <si>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</si>
  <si>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</si>
  <si>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</si>
  <si>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</si>
  <si>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</si>
  <si>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</si>
  <si>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</si>
  <si>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</si>
  <si>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</si>
  <si>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</si>
  <si>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</si>
  <si>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</si>
  <si>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</si>
  <si>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</si>
  <si>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</si>
  <si>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</si>
  <si>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</si>
  <si>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</si>
  <si>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</si>
  <si>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</si>
  <si>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</si>
  <si>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</si>
  <si>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</si>
  <si>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</si>
  <si>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</si>
  <si>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</si>
  <si>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</si>
  <si>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</si>
  <si>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</si>
  <si>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</si>
  <si>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</si>
  <si>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</si>
  <si>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</si>
  <si>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</si>
  <si>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</si>
  <si>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</si>
  <si>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</si>
  <si>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</si>
  <si>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</si>
  <si>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</si>
  <si>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</si>
  <si>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</si>
  <si>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</si>
  <si>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</si>
  <si>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</si>
  <si>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</si>
  <si>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</si>
  <si>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</si>
  <si>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</si>
  <si>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</si>
  <si>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</si>
  <si>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</si>
  <si>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</si>
  <si>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</si>
  <si>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</si>
  <si>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</si>
  <si>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</si>
  <si>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</si>
  <si>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</si>
  <si>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</si>
  <si>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</si>
  <si>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</si>
  <si>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</si>
  <si>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</si>
  <si>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</si>
  <si>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</si>
  <si>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</si>
  <si>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</si>
  <si>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</si>
  <si>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</si>
  <si>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</si>
  <si>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</si>
  <si>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</si>
  <si>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</si>
  <si>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</si>
  <si>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</si>
  <si>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</si>
  <si>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</si>
  <si>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</si>
  <si>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</si>
  <si>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</si>
  <si>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</si>
  <si>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</si>
  <si>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</si>
  <si>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</si>
  <si>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</si>
  <si>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</si>
  <si>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</si>
  <si>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</si>
  <si>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</si>
  <si>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</si>
  <si>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</si>
  <si>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</si>
  <si>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</si>
  <si>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</si>
  <si>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</si>
  <si>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</si>
  <si>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</si>
  <si>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</si>
  <si>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</si>
  <si>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</si>
  <si>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</si>
  <si>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</si>
  <si>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</si>
  <si>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</si>
  <si>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</si>
  <si>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</si>
  <si>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</si>
  <si>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</si>
  <si>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</si>
  <si>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</si>
  <si>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</si>
  <si>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</si>
  <si>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</si>
  <si>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</si>
  <si>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</si>
  <si>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</si>
  <si>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</si>
  <si>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</si>
  <si>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</si>
  <si>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</si>
  <si>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</si>
  <si>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</si>
  <si>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</si>
  <si>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</si>
  <si>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</si>
  <si>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</si>
  <si>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</si>
  <si>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</si>
  <si>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</si>
  <si>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</si>
  <si>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</si>
  <si>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</si>
  <si>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</si>
  <si>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</si>
  <si>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</si>
  <si>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</si>
  <si>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</si>
  <si>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</si>
  <si>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</si>
  <si>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</si>
  <si>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</si>
  <si>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</si>
  <si>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</si>
  <si>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</si>
  <si>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</si>
  <si>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</si>
  <si>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</si>
  <si>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</si>
  <si>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</si>
  <si>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</si>
  <si>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</si>
  <si>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</si>
  <si>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</si>
  <si>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</si>
  <si>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</si>
  <si>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</si>
  <si>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</si>
  <si>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</si>
  <si>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</si>
  <si>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</si>
  <si>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</si>
  <si>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</si>
  <si>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</si>
  <si>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</si>
  <si>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</si>
  <si>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</si>
  <si>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</si>
  <si>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</si>
  <si>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</si>
  <si>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</si>
  <si>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</si>
  <si>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</si>
  <si>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</si>
  <si>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</si>
  <si>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</si>
  <si>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</si>
  <si>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</si>
  <si>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</si>
  <si>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</si>
  <si>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</si>
  <si>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</si>
  <si>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</si>
  <si>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</si>
  <si>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</si>
  <si>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</si>
  <si>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</si>
  <si>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</si>
  <si>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</si>
  <si>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</si>
  <si>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</si>
  <si>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</si>
  <si>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</si>
  <si>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</si>
  <si>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</si>
  <si>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</si>
  <si>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</si>
  <si>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</si>
  <si>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</si>
  <si>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</si>
  <si>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</si>
  <si>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</si>
  <si>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</si>
  <si>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</si>
  <si>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</si>
  <si>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</si>
  <si>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</si>
  <si>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</si>
  <si>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</si>
  <si>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</si>
  <si>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</si>
  <si>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</si>
  <si>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</si>
  <si>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</si>
  <si>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</si>
  <si>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</si>
  <si>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</si>
  <si>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</si>
  <si>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</si>
  <si>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</si>
  <si>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</si>
  <si>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</si>
  <si>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</si>
  <si>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</si>
  <si>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</si>
  <si>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</si>
  <si>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</si>
  <si>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</si>
  <si>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</si>
  <si>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</si>
  <si>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</si>
  <si>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</si>
  <si>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</si>
  <si>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</si>
  <si>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</si>
  <si>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</si>
  <si>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</si>
  <si>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</si>
  <si>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</si>
  <si>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</si>
  <si>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</si>
  <si>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</si>
  <si>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</si>
  <si>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</si>
  <si>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</si>
  <si>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</si>
  <si>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</si>
  <si>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</si>
  <si>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</si>
  <si>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</si>
  <si>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</si>
  <si>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</si>
  <si>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</si>
  <si>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</si>
  <si>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</si>
  <si>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</si>
  <si>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</si>
  <si>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</si>
  <si>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</si>
  <si>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</si>
  <si>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</si>
  <si>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</si>
  <si>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</si>
  <si>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</si>
  <si>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</si>
  <si>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</si>
  <si>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</si>
  <si>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</si>
  <si>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</si>
  <si>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</si>
  <si>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</si>
  <si>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</si>
  <si>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</si>
  <si>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</si>
  <si>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</si>
  <si>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</si>
  <si>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</si>
  <si>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</si>
  <si>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</si>
  <si>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</si>
  <si>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</si>
  <si>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</si>
  <si>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</si>
  <si>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</si>
  <si>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</si>
  <si>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</si>
  <si>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</si>
  <si>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</si>
  <si>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</si>
  <si>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</si>
  <si>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</si>
  <si>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</si>
  <si>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</si>
  <si>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</si>
  <si>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</si>
  <si>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</si>
  <si>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</si>
  <si>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</si>
  <si>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</si>
  <si>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</si>
  <si>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</si>
  <si>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</si>
  <si>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</si>
  <si>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</si>
  <si>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</si>
  <si>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</si>
  <si>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</si>
  <si>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</si>
  <si>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</si>
  <si>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</si>
  <si>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</si>
  <si>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</si>
  <si>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</si>
  <si>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</si>
  <si>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</si>
  <si>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</si>
  <si>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</si>
  <si>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</si>
  <si>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</si>
  <si>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</si>
  <si>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</si>
  <si>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</si>
  <si>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</si>
  <si>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</si>
  <si>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</si>
  <si>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</si>
  <si>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</si>
  <si>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</si>
  <si>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</si>
  <si>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</si>
  <si>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</si>
  <si>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</si>
  <si>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</si>
  <si>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</si>
  <si>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</si>
  <si>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</si>
  <si>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</si>
  <si>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</si>
  <si>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</si>
  <si>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</si>
  <si>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</si>
  <si>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</si>
  <si>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</si>
  <si>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</si>
  <si>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</si>
  <si>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</si>
  <si>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</si>
  <si>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</si>
  <si>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</si>
  <si>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</si>
  <si>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</si>
  <si>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</si>
  <si>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</si>
  <si>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</si>
  <si>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</si>
  <si>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</si>
  <si>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</si>
  <si>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</si>
  <si>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</si>
  <si>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</si>
  <si>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</si>
  <si>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</si>
  <si>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</si>
  <si>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</si>
  <si>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</si>
  <si>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</si>
  <si>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</si>
  <si>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</si>
  <si>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</si>
  <si>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</si>
  <si>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</si>
  <si>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</si>
  <si>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</si>
  <si>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</si>
  <si>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</si>
  <si>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</si>
  <si>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</si>
  <si>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</si>
  <si>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</si>
  <si>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</si>
  <si>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</si>
  <si>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</si>
  <si>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</si>
  <si>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</si>
  <si>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</si>
  <si>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</si>
  <si>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</si>
  <si>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</si>
  <si>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</si>
  <si>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</si>
  <si>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</si>
  <si>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</si>
  <si>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</si>
  <si>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</si>
  <si>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</si>
  <si>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</si>
  <si>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</si>
  <si>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</si>
  <si>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</si>
  <si>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</si>
  <si>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</si>
  <si>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</si>
  <si>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</si>
  <si>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</si>
  <si>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</si>
  <si>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</si>
  <si>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</si>
  <si>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</si>
  <si>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</si>
  <si>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</si>
  <si>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</si>
  <si>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</si>
  <si>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</si>
  <si>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</si>
  <si>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</si>
  <si>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</si>
  <si>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</si>
  <si>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</si>
  <si>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</si>
  <si>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</si>
  <si>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</si>
  <si>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</si>
  <si>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</si>
  <si>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</si>
  <si>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</si>
  <si>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</si>
  <si>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</si>
  <si>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</si>
  <si>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</si>
  <si>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</si>
  <si>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</si>
  <si>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</si>
  <si>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</si>
  <si>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</si>
  <si>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</si>
  <si>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</si>
  <si>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</si>
  <si>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</si>
  <si>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</si>
  <si>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</si>
  <si>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</si>
  <si>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</si>
  <si>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</si>
  <si>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</si>
  <si>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</si>
  <si>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</si>
  <si>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</si>
  <si>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</si>
  <si>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</si>
  <si>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</si>
  <si>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</si>
  <si>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</si>
  <si>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</si>
  <si>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</si>
  <si>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</si>
  <si>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</si>
  <si>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</si>
  <si>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</si>
  <si>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</si>
  <si>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</si>
  <si>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</si>
  <si>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</si>
  <si>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</si>
  <si>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</si>
  <si>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</si>
  <si>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</si>
  <si>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</si>
  <si>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</si>
  <si>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</si>
  <si>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</si>
  <si>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</si>
  <si>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</si>
  <si>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</si>
  <si>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</si>
  <si>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</si>
  <si>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</si>
  <si>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</si>
  <si>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</si>
  <si>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</si>
  <si>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</si>
  <si>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</si>
  <si>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</si>
  <si>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</si>
  <si>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</si>
  <si>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</si>
  <si>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</si>
  <si>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</si>
  <si>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</si>
  <si>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</si>
  <si>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</si>
  <si>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</si>
  <si>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</si>
  <si>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</si>
  <si>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</si>
  <si>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</si>
  <si>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</si>
  <si>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</si>
  <si>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</si>
  <si>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</si>
  <si>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</si>
  <si>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</si>
  <si>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</si>
  <si>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</si>
  <si>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</si>
  <si>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</si>
  <si>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</si>
  <si>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</si>
  <si>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</si>
  <si>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</si>
  <si>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</si>
  <si>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</si>
  <si>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</si>
  <si>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</si>
  <si>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</si>
  <si>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</si>
  <si>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</si>
  <si>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</si>
  <si>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</si>
  <si>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</si>
  <si>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</si>
  <si>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</si>
  <si>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</si>
  <si>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</si>
  <si>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</si>
  <si>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</si>
  <si>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</si>
  <si>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</si>
  <si>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</si>
  <si>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</si>
  <si>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</si>
  <si>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</si>
  <si>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</si>
  <si>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</si>
  <si>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</si>
  <si>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</si>
  <si>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</si>
  <si>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</si>
  <si>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</si>
  <si>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</si>
  <si>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</si>
  <si>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</si>
  <si>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</si>
  <si>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</si>
  <si>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</si>
  <si>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</si>
  <si>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</si>
  <si>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</si>
  <si>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</si>
  <si>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</si>
  <si>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</si>
  <si>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</si>
  <si>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</si>
  <si>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</si>
  <si>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</si>
  <si>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</si>
  <si>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</si>
  <si>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</si>
  <si>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</si>
  <si>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</si>
  <si>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</si>
  <si>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</si>
  <si>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</si>
  <si>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</si>
  <si>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</si>
  <si>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</si>
  <si>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</si>
  <si>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</si>
  <si>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</si>
  <si>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</si>
  <si>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</si>
  <si>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</si>
  <si>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</si>
  <si>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</si>
  <si>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</si>
  <si>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</si>
  <si>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</si>
  <si>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</si>
  <si>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</si>
  <si>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</si>
  <si>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</si>
  <si>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</si>
  <si>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</si>
  <si>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</si>
  <si>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</si>
  <si>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</si>
  <si>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</si>
  <si>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</si>
  <si>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</si>
  <si>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</si>
  <si>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</si>
  <si>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</si>
  <si>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</si>
  <si>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</si>
  <si>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</si>
  <si>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</si>
  <si>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</si>
  <si>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</si>
  <si>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</si>
  <si>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</si>
  <si>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</si>
  <si>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</si>
  <si>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</si>
  <si>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</si>
  <si>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</si>
  <si>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</si>
  <si>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</si>
  <si>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</si>
  <si>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</si>
  <si>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</si>
  <si>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</si>
  <si>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</si>
  <si>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</si>
  <si>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</si>
  <si>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</si>
  <si>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</si>
  <si>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</si>
  <si>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</si>
  <si>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</si>
  <si>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</si>
  <si>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</si>
  <si>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</si>
  <si>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</si>
  <si>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</si>
  <si>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</si>
  <si>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</si>
  <si>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</si>
  <si>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</si>
  <si>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</si>
  <si>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</si>
  <si>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</si>
  <si>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</si>
  <si>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</si>
  <si>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</si>
  <si>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</si>
  <si>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</si>
  <si>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</si>
  <si>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</si>
  <si>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</si>
  <si>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</si>
  <si>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</si>
  <si>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</si>
  <si>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</si>
  <si>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</si>
  <si>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</si>
  <si>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</si>
  <si>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</si>
  <si>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</si>
  <si>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</si>
  <si>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</si>
  <si>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</si>
  <si>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</si>
  <si>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</si>
  <si>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</si>
  <si>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</si>
  <si>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</si>
  <si>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</si>
  <si>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</si>
  <si>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</si>
  <si>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</si>
  <si>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</si>
  <si>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</si>
  <si>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</si>
  <si>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</si>
  <si>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</si>
  <si>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</si>
  <si>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</si>
  <si>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</si>
  <si>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</si>
  <si>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</si>
  <si>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</si>
  <si>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</si>
  <si>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</si>
  <si>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</si>
  <si>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</si>
  <si>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</si>
  <si>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</si>
  <si>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</si>
  <si>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</si>
  <si>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</si>
  <si>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</si>
  <si>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</si>
  <si>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</si>
  <si>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</si>
  <si>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</si>
  <si>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</si>
  <si>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</si>
  <si>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</si>
  <si>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</si>
  <si>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</si>
  <si>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</si>
  <si>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</si>
  <si>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</si>
  <si>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</si>
  <si>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</si>
  <si>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</si>
  <si>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</si>
  <si>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</si>
  <si>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</si>
  <si>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</si>
  <si>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</si>
  <si>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</si>
  <si>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</si>
  <si>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</si>
  <si>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</si>
  <si>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</si>
  <si>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</si>
  <si>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</si>
  <si>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</si>
  <si>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</si>
  <si>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</si>
  <si>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</si>
  <si>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</si>
  <si>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</si>
  <si>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</si>
  <si>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</si>
  <si>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</si>
  <si>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</si>
  <si>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</si>
  <si>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</si>
  <si>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</si>
  <si>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</si>
  <si>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</si>
  <si>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</si>
  <si>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</si>
  <si>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</si>
  <si>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</si>
  <si>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</si>
  <si>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</si>
  <si>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</si>
  <si>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</si>
  <si>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</si>
  <si>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</si>
  <si>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</si>
  <si>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</si>
  <si>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</si>
  <si>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</si>
  <si>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</si>
  <si>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</si>
  <si>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</si>
  <si>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</si>
  <si>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</si>
  <si>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</si>
  <si>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</si>
  <si>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</si>
  <si>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</si>
  <si>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</si>
  <si>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</si>
  <si>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</si>
  <si>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</si>
  <si>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</si>
  <si>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</si>
  <si>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</si>
  <si>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</si>
  <si>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</si>
  <si>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</si>
  <si>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</si>
  <si>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</si>
  <si>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</si>
  <si>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</si>
  <si>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</si>
  <si>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</si>
  <si>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</si>
  <si>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</si>
  <si>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</si>
  <si>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</si>
  <si>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</si>
  <si>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</si>
  <si>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</si>
  <si>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</si>
  <si>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</si>
  <si>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</si>
  <si>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</si>
  <si>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</si>
  <si>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</si>
  <si>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</si>
  <si>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</si>
  <si>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</si>
  <si>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</si>
  <si>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</si>
  <si>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</si>
  <si>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</si>
  <si>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</si>
  <si>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</si>
  <si>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</si>
  <si>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</si>
  <si>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</si>
  <si>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</si>
  <si>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</si>
  <si>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</si>
  <si>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</si>
  <si>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</si>
  <si>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</si>
  <si>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</si>
  <si>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</si>
  <si>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</si>
  <si>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</si>
  <si>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</si>
  <si>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</si>
  <si>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</si>
  <si>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</si>
  <si>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</si>
  <si>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</si>
  <si>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</si>
  <si>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</si>
  <si>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</si>
  <si>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</si>
  <si>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</si>
  <si>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</si>
  <si>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</si>
  <si>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</si>
  <si>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</si>
  <si>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</si>
  <si>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</si>
  <si>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</si>
  <si>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</si>
  <si>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</si>
  <si>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</si>
  <si>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</si>
  <si>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</si>
  <si>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</si>
  <si>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</si>
  <si>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</si>
  <si>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</si>
  <si>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</si>
  <si>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</si>
  <si>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</si>
  <si>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</si>
  <si>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</si>
  <si>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</si>
  <si>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</si>
  <si>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</si>
  <si>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</si>
  <si>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</si>
  <si>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</si>
  <si>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</si>
  <si>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</si>
  <si>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</si>
  <si>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</si>
  <si>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</si>
  <si>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</si>
  <si>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</si>
  <si>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</si>
  <si>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</si>
  <si>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</si>
  <si>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</si>
  <si>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</si>
  <si>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</si>
  <si>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</si>
  <si>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</si>
  <si>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</si>
  <si>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</si>
  <si>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</si>
  <si>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</si>
  <si>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</si>
  <si>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</si>
  <si>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</si>
  <si>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</si>
  <si>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</si>
  <si>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</si>
  <si>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</si>
  <si>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</si>
  <si>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</si>
  <si>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</si>
  <si>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</si>
  <si>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</si>
  <si>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</si>
  <si>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</si>
  <si>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</si>
  <si>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</si>
  <si>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</si>
  <si>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</si>
  <si>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</si>
  <si>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</si>
  <si>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</si>
  <si>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</si>
  <si>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</si>
  <si>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</si>
  <si>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</si>
  <si>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</si>
  <si>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</si>
  <si>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</si>
  <si>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</si>
  <si>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</si>
  <si>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</si>
  <si>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</si>
  <si>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</si>
  <si>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</si>
  <si>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</si>
  <si>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</si>
  <si>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</si>
  <si>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</si>
  <si>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</si>
  <si>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</si>
  <si>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</si>
  <si>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</si>
  <si>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</si>
  <si>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</si>
  <si>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</si>
  <si>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</si>
  <si>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</si>
  <si>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</si>
  <si>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</si>
  <si>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</si>
  <si>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</si>
  <si>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</si>
  <si>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</si>
  <si>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</si>
  <si>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</si>
  <si>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</si>
  <si>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</si>
  <si>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</si>
  <si>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</si>
  <si>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</si>
  <si>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</si>
  <si>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</si>
  <si>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</si>
  <si>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</si>
  <si>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</si>
  <si>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</si>
  <si>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</si>
  <si>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</si>
  <si>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</si>
  <si>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</si>
  <si>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</si>
  <si>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</si>
  <si>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</si>
  <si>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</si>
  <si>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</si>
  <si>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</si>
  <si>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</si>
  <si>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</si>
  <si>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</si>
  <si>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</si>
  <si>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</si>
  <si>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</si>
  <si>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</si>
  <si>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</si>
  <si>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</si>
  <si>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</si>
  <si>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</si>
  <si>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</si>
  <si>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</si>
  <si>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</si>
  <si>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</si>
  <si>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</si>
  <si>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</si>
  <si>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</si>
  <si>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</si>
  <si>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</si>
  <si>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</si>
  <si>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</si>
  <si>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</si>
  <si>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</si>
  <si>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</si>
  <si>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</si>
  <si>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</si>
  <si>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</si>
  <si>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</si>
  <si>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</si>
  <si>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</si>
  <si>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</si>
  <si>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</si>
  <si>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</si>
  <si>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</si>
  <si>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</si>
  <si>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</si>
  <si>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</si>
  <si>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</si>
  <si>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</si>
  <si>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</si>
  <si>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</si>
  <si>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</si>
  <si>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</si>
  <si>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</si>
  <si>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</si>
  <si>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</si>
  <si>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</si>
  <si>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</si>
  <si>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</si>
  <si>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</si>
  <si>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</si>
  <si>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</si>
  <si>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</si>
  <si>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</si>
  <si>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</si>
  <si>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</si>
  <si>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</si>
  <si>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</si>
  <si>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</si>
  <si>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</si>
  <si>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</si>
  <si>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</si>
  <si>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</si>
  <si>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</si>
  <si>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</si>
  <si>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</si>
  <si>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</si>
  <si>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</si>
  <si>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</si>
  <si>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</si>
  <si>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</si>
  <si>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</si>
  <si>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</si>
  <si>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</si>
  <si>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</si>
  <si>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</si>
  <si>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</si>
  <si>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</si>
  <si>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</si>
  <si>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</si>
  <si>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</si>
  <si>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</si>
  <si>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</si>
  <si>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</si>
  <si>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</si>
  <si>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</si>
  <si>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</si>
  <si>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</si>
  <si>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</si>
  <si>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</si>
  <si>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</si>
  <si>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</si>
  <si>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</si>
  <si>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</si>
  <si>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</si>
  <si>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</si>
  <si>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</si>
  <si>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</si>
  <si>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</si>
  <si>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</si>
  <si>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</si>
  <si>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</si>
  <si>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</si>
  <si>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</si>
  <si>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</si>
  <si>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</si>
  <si>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</si>
  <si>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</si>
  <si>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</si>
  <si>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</si>
  <si>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</si>
  <si>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</si>
  <si>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</si>
  <si>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</si>
  <si>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</si>
  <si>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</si>
  <si>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</si>
  <si>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</si>
  <si>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</si>
  <si>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</si>
  <si>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</si>
  <si>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</si>
  <si>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</si>
  <si>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</si>
  <si>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</si>
  <si>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</si>
  <si>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</si>
  <si>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</si>
  <si>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</si>
  <si>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</si>
  <si>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</si>
  <si>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</si>
  <si>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</si>
  <si>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</si>
  <si>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</si>
  <si>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</si>
  <si>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</si>
  <si>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</si>
  <si>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</si>
  <si>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</si>
  <si>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</si>
  <si>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</si>
  <si>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</si>
  <si>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</si>
  <si>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</si>
  <si>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</si>
  <si>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</si>
  <si>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</si>
  <si>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</si>
  <si>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</si>
  <si>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</si>
  <si>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</si>
  <si>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</si>
  <si>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</si>
  <si>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</si>
  <si>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</si>
  <si>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</si>
  <si>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</si>
  <si>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</si>
  <si>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</si>
  <si>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</si>
  <si>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</si>
  <si>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</si>
  <si>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</si>
  <si>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</si>
  <si>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</si>
  <si>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</si>
  <si>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</si>
  <si>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</si>
  <si>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</si>
  <si>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</si>
  <si>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</si>
  <si>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</si>
  <si>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</si>
  <si>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</si>
  <si>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</si>
  <si>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</si>
  <si>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</si>
  <si>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</si>
  <si>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</si>
  <si>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</si>
  <si>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</si>
  <si>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</si>
  <si>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</si>
  <si>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</si>
  <si>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</si>
  <si>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</si>
  <si>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</si>
  <si>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</si>
  <si>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</si>
  <si>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</si>
  <si>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</si>
  <si>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</si>
  <si>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</si>
  <si>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</si>
  <si>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</si>
  <si>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</si>
  <si>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</si>
  <si>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</si>
  <si>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</si>
  <si>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</si>
  <si>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</si>
  <si>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</si>
  <si>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</si>
  <si>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</si>
  <si>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</si>
  <si>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</si>
  <si>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</si>
  <si>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</si>
  <si>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</si>
  <si>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</si>
  <si>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</si>
  <si>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</si>
  <si>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</si>
  <si>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</si>
  <si>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</si>
  <si>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</si>
  <si>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</si>
  <si>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</si>
  <si>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</si>
  <si>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</si>
  <si>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</si>
  <si>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</si>
  <si>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</si>
  <si>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</si>
  <si>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</si>
  <si>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</si>
  <si>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</si>
  <si>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</si>
  <si>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</si>
  <si>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</si>
  <si>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</si>
  <si>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</si>
  <si>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</si>
  <si>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</si>
  <si>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</si>
  <si>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</si>
  <si>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</si>
  <si>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</si>
  <si>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</si>
  <si>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</si>
  <si>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</si>
  <si>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</si>
  <si>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</si>
  <si>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</si>
  <si>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</si>
  <si>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</si>
  <si>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</si>
  <si>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</si>
  <si>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</si>
  <si>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</si>
  <si>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</si>
  <si>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</si>
  <si>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</si>
  <si>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</si>
  <si>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</si>
  <si>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</si>
  <si>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</si>
  <si>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</si>
  <si>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</si>
  <si>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</si>
  <si>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</si>
  <si>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</si>
  <si>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</si>
  <si>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</si>
  <si>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</si>
  <si>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</si>
  <si>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</si>
  <si>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</si>
  <si>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</si>
  <si>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</si>
  <si>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</si>
  <si>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</si>
  <si>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</si>
  <si>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</si>
  <si>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</si>
  <si>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</si>
  <si>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</si>
  <si>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</si>
  <si>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</si>
  <si>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</si>
  <si>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</si>
  <si>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</si>
  <si>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</si>
  <si>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</si>
  <si>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</si>
  <si>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</si>
  <si>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</si>
  <si>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</si>
  <si>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</si>
  <si>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</si>
  <si>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</si>
  <si>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</si>
  <si>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</si>
  <si>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</si>
  <si>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</si>
  <si>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</si>
  <si>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</si>
  <si>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</si>
  <si>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</si>
  <si>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</si>
  <si>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</si>
  <si>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</si>
  <si>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</si>
  <si>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</si>
  <si>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</si>
  <si>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</si>
  <si>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</si>
  <si>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</si>
  <si>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</si>
  <si>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</si>
  <si>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</si>
  <si>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</si>
  <si>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</si>
  <si>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</si>
  <si>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</si>
  <si>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</si>
  <si>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</si>
  <si>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</si>
  <si>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</si>
  <si>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</si>
  <si>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</si>
  <si>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</si>
  <si>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</si>
  <si>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</si>
  <si>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</si>
  <si>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</si>
  <si>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</si>
  <si>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</si>
  <si>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</si>
  <si>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</si>
  <si>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</si>
  <si>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</si>
  <si>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</si>
  <si>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</si>
  <si>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</si>
  <si>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</si>
  <si>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</si>
  <si>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</si>
  <si>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</si>
  <si>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</si>
  <si>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</si>
  <si>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</si>
  <si>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</si>
  <si>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</si>
  <si>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</si>
  <si>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</si>
  <si>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</si>
  <si>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</si>
  <si>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</si>
  <si>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</si>
  <si>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</si>
  <si>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</si>
  <si>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</si>
  <si>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</si>
  <si>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</si>
  <si>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</si>
  <si>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</si>
  <si>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</si>
  <si>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</si>
  <si>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</si>
  <si>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</si>
  <si>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</si>
  <si>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</si>
  <si>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</si>
  <si>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</si>
  <si>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</si>
  <si>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</si>
  <si>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</si>
  <si>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</si>
  <si>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</si>
  <si>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</si>
  <si>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</si>
  <si>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</si>
  <si>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</si>
  <si>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</si>
  <si>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</si>
  <si>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</si>
  <si>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</si>
  <si>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</si>
  <si>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</si>
  <si>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</si>
  <si>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</si>
  <si>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</si>
  <si>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</si>
  <si>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</si>
  <si>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</si>
  <si>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</si>
  <si>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</si>
  <si>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</si>
  <si>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</si>
  <si>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</si>
  <si>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</si>
  <si>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</si>
  <si>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</si>
  <si>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</si>
  <si>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</si>
  <si>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</si>
  <si>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</si>
  <si>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</si>
  <si>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</si>
  <si>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</si>
  <si>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</si>
  <si>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</si>
  <si>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</si>
  <si>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</si>
  <si>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</si>
  <si>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</si>
  <si>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</si>
  <si>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</si>
  <si>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</si>
  <si>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</si>
  <si>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</si>
  <si>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</si>
  <si>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</si>
  <si>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</si>
  <si>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</si>
  <si>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</si>
  <si>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</si>
  <si>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</si>
  <si>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</si>
  <si>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</si>
  <si>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</si>
  <si>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</si>
  <si>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</si>
  <si>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</si>
  <si>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</si>
  <si>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</si>
  <si>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</si>
  <si>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</si>
  <si>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</si>
  <si>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</si>
  <si>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</si>
  <si>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</si>
  <si>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</si>
  <si>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</si>
  <si>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</si>
  <si>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</si>
  <si>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</si>
  <si>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</si>
  <si>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</si>
  <si>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</si>
  <si>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</si>
  <si>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</si>
  <si>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</si>
  <si>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</si>
  <si>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</si>
  <si>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</si>
  <si>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</si>
  <si>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</si>
  <si>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</si>
  <si>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</si>
  <si>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</si>
  <si>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</si>
  <si>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</si>
  <si>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</si>
  <si>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</si>
  <si>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</si>
  <si>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</si>
  <si>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</si>
  <si>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</si>
  <si>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</si>
  <si>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</si>
  <si>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</si>
  <si>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</si>
  <si>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</si>
  <si>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</si>
  <si>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</si>
  <si>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</si>
  <si>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</si>
  <si>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</si>
  <si>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</si>
  <si>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</si>
  <si>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</si>
  <si>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</si>
  <si>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</si>
  <si>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</si>
  <si>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</si>
  <si>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</si>
  <si>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</si>
  <si>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</si>
  <si>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</si>
  <si>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</si>
  <si>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</si>
  <si>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</si>
  <si>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</si>
  <si>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</si>
  <si>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</si>
  <si>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</si>
  <si>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</si>
  <si>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</si>
  <si>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</si>
  <si>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</si>
  <si>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</si>
  <si>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</si>
  <si>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</si>
  <si>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</si>
  <si>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</si>
  <si>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</si>
  <si>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</si>
  <si>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</si>
  <si>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</si>
  <si>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</si>
  <si>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</si>
  <si>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</si>
  <si>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</si>
  <si>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</si>
  <si>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</si>
  <si>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</si>
  <si>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</si>
  <si>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</si>
  <si>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</si>
  <si>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</si>
  <si>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</si>
  <si>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</si>
  <si>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</si>
  <si>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</si>
  <si>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</si>
  <si>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</si>
  <si>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</si>
  <si>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</si>
  <si>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</si>
  <si>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</si>
  <si>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</si>
  <si>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</si>
  <si>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</si>
  <si>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</si>
  <si>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</si>
  <si>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</si>
  <si>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</si>
  <si>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</si>
  <si>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</si>
  <si>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</si>
  <si>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</si>
  <si>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</si>
  <si>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</si>
  <si>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</si>
  <si>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</si>
  <si>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</si>
  <si>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</si>
  <si>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</si>
  <si>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</si>
  <si>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</si>
  <si>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</si>
  <si>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</si>
  <si>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</si>
  <si>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</si>
  <si>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</si>
  <si>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</si>
  <si>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</si>
  <si>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</si>
  <si>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</si>
  <si>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</si>
  <si>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</si>
  <si>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</si>
  <si>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</si>
  <si>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</si>
  <si>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</si>
  <si>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</si>
  <si>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</si>
  <si>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</si>
  <si>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</si>
  <si>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</si>
  <si>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</si>
  <si>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</si>
  <si>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</si>
  <si>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</si>
  <si>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</si>
  <si>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</si>
  <si>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</si>
  <si>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</si>
  <si>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</si>
  <si>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</si>
  <si>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</si>
  <si>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</si>
  <si>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</si>
  <si>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</si>
  <si>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</si>
  <si>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</si>
  <si>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</si>
  <si>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</si>
  <si>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</si>
  <si>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</si>
  <si>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</si>
  <si>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</si>
  <si>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</si>
  <si>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</si>
  <si>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</si>
  <si>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</si>
  <si>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</si>
  <si>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</si>
  <si>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</si>
  <si>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</si>
  <si>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</si>
  <si>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</si>
  <si>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</si>
  <si>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</si>
  <si>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</si>
  <si>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</si>
  <si>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</si>
  <si>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</si>
  <si>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</si>
  <si>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</si>
  <si>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</si>
  <si>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</si>
  <si>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</si>
  <si>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</si>
  <si>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</si>
  <si>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</si>
  <si>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</si>
  <si>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</si>
  <si>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</si>
  <si>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</si>
  <si>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</si>
  <si>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</si>
  <si>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</si>
  <si>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</si>
  <si>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</si>
  <si>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</si>
  <si>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</si>
  <si>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</si>
  <si>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</si>
  <si>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</si>
  <si>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</si>
  <si>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</si>
  <si>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</si>
  <si>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</si>
  <si>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</si>
  <si>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</si>
  <si>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</si>
  <si>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</si>
  <si>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</si>
  <si>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</si>
  <si>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</si>
  <si>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</si>
  <si>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</si>
  <si>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</si>
  <si>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</si>
  <si>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</si>
  <si>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</si>
  <si>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</si>
  <si>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</si>
  <si>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</si>
  <si>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</si>
  <si>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</si>
  <si>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</si>
  <si>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</si>
  <si>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</si>
  <si>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</si>
  <si>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</si>
  <si>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</si>
  <si>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</si>
  <si>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</si>
  <si>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</si>
  <si>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</si>
  <si>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</si>
  <si>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</si>
  <si>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</si>
  <si>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</si>
  <si>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</si>
  <si>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</si>
  <si>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</si>
  <si>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</si>
  <si>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</si>
  <si>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</si>
  <si>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</si>
  <si>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</si>
  <si>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</si>
  <si>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</si>
  <si>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</si>
  <si>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</si>
  <si>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</si>
  <si>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</si>
  <si>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</si>
  <si>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</si>
  <si>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</si>
  <si>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</si>
  <si>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</si>
  <si>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</si>
  <si>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</si>
  <si>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</si>
  <si>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</si>
  <si>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</si>
  <si>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</si>
  <si>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</si>
  <si>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</si>
  <si>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</si>
  <si>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</si>
  <si>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</si>
  <si>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</si>
  <si>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</si>
  <si>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</si>
  <si>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</si>
  <si>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</si>
  <si>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</si>
  <si>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</si>
  <si>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</si>
  <si>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</si>
  <si>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</si>
  <si>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</si>
  <si>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</si>
  <si>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</si>
  <si>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</si>
  <si>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</si>
  <si>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</si>
  <si>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</si>
  <si>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</si>
  <si>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</si>
  <si>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</si>
  <si>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</si>
  <si>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</si>
  <si>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</si>
  <si>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</si>
  <si>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</si>
  <si>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</si>
  <si>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</si>
  <si>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</si>
  <si>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</si>
  <si>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</si>
  <si>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</si>
  <si>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</si>
  <si>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</si>
  <si>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</si>
  <si>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</si>
  <si>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</si>
  <si>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</si>
  <si>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</si>
  <si>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</si>
  <si>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</si>
  <si>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</si>
  <si>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</si>
  <si>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</si>
  <si>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</si>
  <si>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</si>
  <si>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</si>
  <si>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</si>
  <si>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</si>
  <si>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</si>
  <si>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</si>
  <si>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</si>
  <si>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</si>
  <si>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</si>
  <si>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</si>
  <si>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</si>
  <si>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</si>
  <si>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</si>
  <si>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</si>
  <si>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</si>
  <si>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</si>
  <si>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</si>
  <si>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</si>
  <si>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</si>
  <si>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</si>
  <si>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</si>
  <si>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</si>
  <si>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</si>
  <si>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</si>
  <si>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</si>
  <si>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</si>
  <si>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</si>
  <si>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</si>
  <si>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</si>
  <si>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</si>
  <si>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</si>
  <si>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</si>
  <si>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</si>
  <si>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</si>
  <si>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</si>
  <si>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</si>
  <si>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</si>
  <si>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</si>
  <si>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</si>
  <si>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</si>
  <si>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</si>
  <si>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</si>
  <si>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</si>
  <si>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</si>
  <si>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</si>
  <si>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</si>
  <si>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</si>
  <si>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</si>
  <si>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</si>
  <si>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</si>
  <si>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</si>
  <si>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</si>
  <si>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</si>
  <si>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</si>
  <si>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</si>
  <si>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</si>
  <si>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</si>
  <si>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</si>
  <si>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</si>
  <si>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</si>
  <si>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</si>
  <si>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</si>
  <si>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</si>
  <si>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</si>
  <si>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</si>
  <si>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</si>
  <si>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</si>
  <si>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</si>
  <si>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</si>
  <si>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</si>
  <si>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</si>
  <si>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</si>
  <si>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</si>
  <si>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</si>
  <si>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</si>
  <si>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</si>
  <si>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</si>
  <si>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</si>
  <si>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</si>
  <si>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</si>
  <si>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</si>
  <si>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</si>
  <si>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</si>
  <si>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</si>
  <si>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</si>
  <si>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</si>
  <si>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</si>
  <si>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</si>
  <si>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</si>
  <si>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</si>
  <si>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</si>
  <si>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</si>
  <si>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</si>
  <si>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</si>
  <si>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</si>
  <si>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</si>
  <si>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</si>
  <si>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</si>
  <si>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</si>
  <si>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</si>
  <si>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</si>
  <si>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</si>
  <si>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</si>
  <si>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</si>
  <si>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</si>
  <si>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</si>
  <si>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</si>
  <si>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</si>
  <si>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</si>
  <si>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</si>
  <si>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</si>
  <si>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</si>
  <si>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</si>
  <si>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</si>
  <si>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</si>
  <si>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</si>
  <si>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</si>
  <si>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</si>
  <si>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</si>
  <si>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</si>
  <si>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</si>
  <si>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</si>
  <si>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</si>
  <si>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</si>
  <si>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</si>
  <si>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</si>
  <si>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</si>
  <si>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</si>
  <si>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</si>
  <si>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</si>
  <si>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</si>
  <si>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</si>
  <si>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</si>
  <si>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</si>
  <si>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</si>
  <si>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</si>
  <si>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</si>
  <si>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</si>
  <si>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</si>
  <si>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</si>
  <si>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</si>
  <si>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</si>
  <si>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</si>
  <si>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</si>
  <si>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</si>
  <si>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</si>
  <si>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</si>
  <si>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</si>
  <si>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</si>
  <si>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</si>
  <si>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</si>
  <si>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</si>
  <si>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</si>
  <si>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</si>
  <si>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</si>
  <si>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</si>
  <si>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</si>
  <si>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</si>
  <si>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</si>
  <si>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</si>
  <si>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</si>
  <si>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</si>
  <si>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</si>
  <si>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</si>
  <si>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</si>
  <si>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</si>
  <si>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</si>
  <si>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</si>
  <si>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</si>
  <si>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</si>
  <si>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</si>
  <si>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</si>
  <si>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</si>
  <si>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</si>
  <si>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</si>
  <si>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</si>
  <si>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</si>
  <si>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</si>
  <si>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</si>
  <si>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</si>
  <si>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</si>
  <si>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</si>
  <si>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</si>
  <si>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</si>
  <si>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</si>
  <si>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</si>
  <si>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</si>
  <si>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</si>
  <si>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</si>
  <si>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</si>
  <si>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</si>
  <si>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</si>
  <si>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</si>
  <si>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</si>
  <si>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</si>
  <si>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</si>
  <si>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</si>
  <si>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</si>
  <si>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</si>
  <si>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</si>
  <si>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</si>
  <si>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</si>
  <si>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</si>
  <si>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</si>
  <si>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</si>
  <si>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</si>
  <si>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</si>
  <si>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</si>
  <si>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</si>
  <si>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</si>
  <si>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</si>
  <si>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</si>
  <si>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</si>
  <si>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</si>
  <si>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</si>
  <si>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</si>
  <si>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</si>
  <si>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</si>
  <si>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</si>
  <si>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</si>
  <si>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</si>
  <si>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</si>
  <si>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</si>
  <si>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</si>
  <si>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</si>
  <si>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</si>
  <si>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</si>
  <si>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</si>
  <si>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</si>
  <si>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</si>
  <si>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</si>
  <si>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</si>
  <si>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</si>
  <si>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</si>
  <si>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</si>
  <si>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</si>
  <si>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</si>
  <si>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</si>
  <si>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</si>
  <si>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</si>
  <si>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</si>
  <si>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</si>
  <si>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</si>
  <si>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</si>
  <si>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</si>
  <si>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</si>
  <si>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</si>
  <si>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</si>
  <si>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</si>
  <si>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</si>
  <si>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</si>
  <si>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</si>
  <si>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</si>
  <si>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</si>
  <si>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</si>
  <si>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</si>
  <si>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</si>
  <si>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</si>
  <si>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</si>
  <si>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</si>
  <si>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</si>
  <si>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</si>
  <si>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</si>
  <si>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</si>
  <si>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</si>
  <si>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</si>
  <si>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</si>
  <si>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</si>
  <si>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</si>
  <si>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</si>
  <si>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</si>
  <si>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</si>
  <si>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</si>
  <si>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</si>
  <si>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</si>
  <si>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</si>
  <si>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</si>
  <si>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</si>
  <si>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</si>
  <si>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</si>
  <si>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</si>
  <si>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</si>
  <si>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</si>
  <si>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</si>
  <si>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</si>
  <si>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</si>
  <si>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</si>
  <si>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</si>
  <si>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</si>
  <si>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</si>
  <si>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</si>
  <si>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</si>
  <si>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</si>
  <si>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</si>
  <si>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</si>
  <si>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</si>
  <si>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</si>
  <si>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</si>
  <si>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</si>
  <si>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</si>
  <si>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</si>
  <si>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</si>
  <si>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</si>
  <si>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</si>
  <si>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</si>
  <si>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</si>
  <si>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</si>
  <si>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</si>
  <si>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</si>
  <si>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</si>
  <si>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</si>
  <si>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</si>
  <si>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</si>
  <si>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</si>
  <si>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</si>
  <si>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</si>
  <si>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</si>
  <si>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</si>
  <si>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</si>
  <si>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</si>
  <si>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</si>
  <si>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</si>
  <si>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</si>
  <si>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</si>
  <si>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</si>
  <si>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</si>
  <si>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</si>
  <si>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</si>
  <si>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</si>
  <si>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</si>
  <si>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</si>
  <si>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</si>
  <si>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</si>
  <si>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</si>
  <si>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</si>
  <si>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</si>
  <si>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</si>
  <si>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</si>
  <si>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</si>
  <si>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</si>
  <si>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</si>
  <si>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</si>
  <si>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</si>
  <si>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</si>
  <si>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</si>
  <si>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</si>
  <si>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</si>
  <si>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</si>
  <si>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</si>
  <si>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</si>
  <si>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</si>
  <si>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</si>
  <si>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</si>
  <si>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</si>
  <si>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</si>
  <si>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</si>
  <si>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</si>
  <si>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</si>
  <si>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</si>
  <si>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</si>
  <si>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</si>
  <si>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</si>
  <si>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</si>
  <si>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</si>
  <si>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</si>
  <si>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</si>
  <si>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</si>
  <si>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</si>
  <si>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</si>
  <si>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</si>
  <si>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</si>
  <si>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</si>
  <si>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</si>
  <si>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</si>
  <si>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</si>
  <si>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</si>
  <si>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</si>
  <si>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</si>
  <si>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</si>
  <si>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</si>
  <si>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</si>
  <si>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</si>
  <si>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</si>
  <si>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</si>
  <si>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</si>
  <si>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</si>
  <si>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</si>
  <si>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</si>
  <si>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</si>
  <si>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</si>
  <si>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</si>
  <si>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</si>
  <si>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</si>
  <si>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</si>
  <si>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</si>
  <si>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</si>
  <si>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</si>
  <si>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</si>
  <si>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</si>
  <si>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</si>
  <si>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</si>
  <si>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</si>
  <si>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</si>
  <si>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</si>
  <si>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</si>
  <si>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</si>
  <si>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</si>
  <si>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</si>
  <si>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</si>
  <si>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</si>
  <si>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</si>
  <si>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</si>
  <si>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</si>
  <si>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</si>
  <si>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</si>
  <si>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</si>
  <si>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</si>
  <si>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</si>
  <si>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</si>
  <si>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</si>
  <si>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</si>
  <si>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</si>
  <si>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</si>
  <si>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</si>
  <si>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</si>
  <si>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</si>
  <si>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</si>
  <si>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</si>
  <si>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</si>
  <si>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</si>
  <si>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</si>
  <si>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</si>
  <si>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</si>
  <si>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</si>
  <si>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</si>
  <si>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</si>
  <si>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</si>
  <si>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</si>
  <si>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</si>
  <si>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</si>
  <si>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</si>
  <si>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</si>
  <si>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</si>
  <si>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</si>
  <si>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</si>
  <si>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</si>
  <si>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</si>
  <si>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</si>
  <si>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</si>
  <si>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</si>
  <si>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</si>
  <si>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</si>
  <si>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</si>
  <si>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</si>
  <si>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</si>
  <si>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</si>
  <si>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</si>
  <si>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</si>
  <si>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</si>
  <si>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</si>
  <si>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</si>
  <si>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</si>
  <si>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</si>
  <si>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</si>
  <si>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</si>
  <si>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</si>
  <si>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</si>
  <si>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</si>
  <si>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</si>
  <si>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</si>
  <si>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</si>
  <si>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</si>
  <si>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</si>
  <si>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</si>
  <si>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</si>
  <si>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</si>
  <si>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</si>
  <si>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</si>
  <si>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</si>
  <si>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</si>
  <si>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</si>
  <si>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</si>
  <si>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</si>
  <si>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</si>
  <si>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</si>
  <si>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</si>
  <si>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</si>
  <si>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</si>
  <si>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</si>
  <si>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</si>
  <si>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</si>
  <si>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</si>
  <si>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</si>
  <si>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</si>
  <si>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</si>
  <si>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</si>
  <si>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</si>
  <si>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</si>
  <si>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</si>
  <si>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</si>
  <si>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</si>
  <si>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</si>
  <si>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</si>
  <si>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</si>
  <si>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</si>
  <si>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</si>
  <si>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</si>
  <si>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</si>
  <si>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</si>
  <si>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</si>
  <si>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</si>
  <si>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</si>
  <si>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</si>
  <si>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</si>
  <si>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</si>
  <si>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</si>
  <si>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</si>
  <si>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</si>
  <si>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</si>
  <si>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</si>
  <si>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</si>
  <si>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</si>
  <si>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</si>
  <si>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</si>
  <si>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</si>
  <si>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</si>
  <si>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</si>
  <si>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</si>
  <si>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</si>
  <si>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</si>
  <si>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</si>
  <si>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</si>
  <si>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</si>
  <si>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</si>
  <si>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</si>
  <si>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</si>
  <si>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</si>
  <si>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</si>
  <si>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</si>
  <si>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</si>
  <si>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</si>
  <si>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</si>
  <si>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</si>
  <si>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</si>
  <si>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</si>
  <si>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</si>
  <si>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</si>
  <si>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</si>
  <si>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</si>
  <si>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</si>
  <si>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</si>
  <si>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</si>
  <si>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</si>
  <si>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</si>
  <si>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</si>
  <si>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</si>
  <si>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</si>
  <si>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</si>
  <si>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</si>
  <si>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</si>
  <si>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</si>
  <si>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</si>
  <si>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</si>
  <si>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</si>
  <si>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</si>
  <si>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</si>
  <si>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</si>
  <si>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</si>
  <si>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</si>
  <si>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</si>
  <si>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</si>
  <si>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</si>
  <si>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</si>
  <si>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</si>
  <si>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</si>
  <si>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</si>
  <si>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</si>
  <si>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</si>
  <si>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</si>
  <si>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</si>
  <si>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</si>
  <si>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</si>
  <si>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</si>
  <si>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</si>
  <si>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</si>
  <si>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</si>
  <si>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</si>
  <si>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</si>
  <si>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</si>
  <si>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</si>
  <si>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</si>
  <si>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</si>
  <si>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</si>
  <si>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</si>
  <si>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</si>
  <si>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</si>
  <si>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</si>
  <si>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</si>
  <si>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</si>
  <si>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</si>
  <si>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</si>
  <si>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</si>
  <si>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</si>
  <si>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</si>
  <si>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</si>
  <si>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</si>
  <si>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</si>
  <si>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</si>
  <si>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</si>
  <si>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</si>
  <si>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</si>
  <si>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</si>
  <si>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</si>
  <si>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</si>
  <si>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</si>
  <si>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</si>
  <si>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</si>
  <si>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</si>
  <si>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</si>
  <si>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</si>
  <si>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</si>
  <si>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</si>
  <si>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</si>
  <si>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</si>
  <si>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</si>
  <si>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</si>
  <si>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</si>
  <si>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</si>
  <si>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</si>
  <si>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</si>
  <si>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</si>
  <si>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</si>
  <si>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</si>
  <si>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</si>
  <si>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</si>
  <si>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</si>
  <si>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</si>
  <si>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</si>
  <si>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</si>
  <si>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</si>
  <si>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</si>
  <si>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</si>
  <si>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</si>
  <si>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</si>
  <si>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</si>
  <si>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</si>
  <si>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</si>
  <si>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</si>
  <si>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</si>
  <si>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</si>
  <si>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</si>
  <si>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</si>
  <si>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</si>
  <si>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</si>
  <si>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</si>
  <si>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</si>
  <si>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</si>
  <si>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</si>
  <si>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</si>
  <si>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</si>
  <si>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</si>
  <si>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</si>
  <si>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</si>
  <si>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</si>
  <si>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</si>
  <si>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</si>
  <si>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</si>
  <si>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</si>
  <si>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</si>
  <si>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</si>
  <si>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</si>
  <si>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</si>
  <si>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</si>
  <si>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</si>
  <si>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</si>
  <si>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</si>
  <si>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</si>
  <si>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</si>
  <si>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</si>
  <si>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</si>
  <si>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</si>
  <si>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</si>
  <si>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</si>
  <si>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</si>
  <si>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</si>
  <si>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</si>
  <si>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</si>
  <si>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</si>
  <si>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</si>
  <si>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</si>
  <si>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</si>
  <si>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</si>
  <si>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</si>
  <si>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</si>
  <si>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</si>
  <si>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</si>
  <si>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</si>
  <si>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</si>
  <si>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</si>
  <si>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</si>
  <si>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</si>
  <si>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</si>
  <si>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</si>
  <si>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</si>
  <si>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</si>
  <si>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</si>
  <si>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</si>
  <si>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</si>
  <si>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</si>
  <si>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</si>
  <si>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</si>
  <si>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</si>
  <si>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</si>
  <si>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</si>
  <si>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</si>
  <si>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</si>
  <si>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</si>
  <si>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</si>
  <si>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</si>
  <si>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</si>
  <si>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</si>
  <si>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</si>
  <si>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</si>
  <si>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</si>
  <si>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</si>
  <si>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</si>
  <si>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</si>
  <si>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</si>
  <si>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</si>
  <si>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</si>
  <si>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</si>
  <si>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</si>
  <si>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</si>
  <si>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</si>
  <si>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</si>
  <si>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</si>
  <si>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</si>
  <si>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</si>
  <si>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</si>
  <si>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</si>
  <si>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</si>
  <si>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</si>
  <si>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</si>
  <si>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</si>
  <si>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</si>
  <si>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</si>
  <si>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</si>
  <si>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</si>
  <si>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</si>
  <si>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</si>
  <si>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</si>
  <si>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</si>
  <si>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</si>
  <si>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</si>
  <si>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</si>
  <si>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</si>
  <si>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</si>
  <si>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</si>
  <si>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</si>
  <si>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</si>
  <si>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</si>
  <si>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</si>
  <si>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</si>
  <si>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</si>
  <si>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</si>
  <si>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</si>
  <si>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</si>
  <si>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</si>
  <si>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</si>
  <si>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</si>
  <si>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</si>
  <si>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</si>
  <si>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</si>
  <si>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</si>
  <si>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</si>
  <si>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</si>
  <si>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</si>
  <si>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</si>
  <si>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</si>
  <si>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</si>
  <si>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</si>
  <si>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</si>
  <si>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</si>
  <si>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</si>
  <si>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</si>
  <si>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</si>
  <si>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</si>
  <si>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</si>
  <si>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</si>
  <si>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</si>
  <si>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</si>
  <si>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</si>
  <si>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</si>
  <si>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</si>
  <si>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</si>
  <si>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</si>
  <si>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</si>
  <si>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</si>
  <si>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</si>
  <si>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</si>
  <si>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</si>
  <si>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</si>
  <si>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</si>
  <si>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</si>
  <si>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</si>
  <si>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</si>
  <si>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</si>
  <si>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</si>
  <si>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</si>
  <si>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</si>
  <si>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</si>
  <si>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</si>
  <si>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</si>
  <si>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</si>
  <si>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</si>
  <si>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</si>
  <si>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</si>
  <si>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</si>
  <si>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</si>
  <si>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</si>
  <si>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</si>
  <si>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</si>
  <si>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</si>
  <si>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</si>
  <si>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</si>
  <si>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</si>
  <si>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</si>
  <si>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</si>
  <si>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</si>
  <si>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</si>
  <si>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</si>
  <si>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</si>
  <si>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</si>
  <si>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</si>
  <si>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</si>
  <si>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</si>
  <si>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</si>
  <si>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</si>
  <si>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</si>
  <si>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</si>
  <si>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</si>
  <si>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</si>
  <si>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</si>
  <si>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</si>
  <si>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</si>
  <si>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</si>
  <si>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</si>
  <si>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</si>
  <si>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</si>
  <si>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</si>
  <si>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</si>
  <si>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</si>
  <si>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</si>
  <si>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</si>
  <si>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</si>
  <si>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</si>
  <si>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</si>
  <si>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</si>
  <si>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</si>
  <si>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</si>
  <si>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</si>
  <si>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</si>
  <si>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</si>
  <si>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</si>
  <si>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</si>
  <si>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</si>
  <si>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</si>
  <si>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</si>
  <si>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</si>
  <si>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</si>
  <si>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</si>
  <si>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</si>
  <si>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</si>
  <si>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</si>
  <si>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</si>
  <si>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</si>
  <si>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</si>
  <si>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</si>
  <si>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</si>
  <si>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</si>
  <si>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</si>
  <si>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</si>
  <si>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</si>
  <si>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</si>
  <si>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</si>
  <si>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</si>
  <si>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</si>
  <si>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</si>
  <si>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</si>
  <si>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</si>
  <si>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</si>
  <si>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</si>
  <si>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</si>
  <si>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</si>
  <si>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</si>
  <si>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</si>
  <si>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</si>
  <si>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</si>
  <si>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</si>
  <si>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</si>
  <si>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</si>
  <si>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</si>
  <si>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</si>
  <si>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</si>
  <si>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</si>
  <si>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</si>
  <si>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</si>
  <si>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</si>
  <si>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</si>
  <si>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</si>
  <si>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</si>
  <si>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</si>
  <si>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</si>
  <si>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</si>
  <si>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</si>
  <si>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</si>
  <si>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</si>
  <si>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</si>
  <si>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</si>
  <si>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</si>
  <si>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</si>
  <si>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</si>
  <si>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</si>
  <si>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</si>
  <si>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</si>
  <si>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</si>
  <si>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</si>
  <si>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</si>
  <si>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</si>
  <si>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</si>
  <si>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</si>
  <si>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</si>
  <si>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</si>
  <si>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</si>
  <si>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</si>
  <si>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</si>
  <si>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</si>
  <si>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</si>
  <si>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</si>
  <si>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</si>
  <si>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</si>
  <si>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</si>
  <si>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</si>
  <si>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</si>
  <si>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</si>
  <si>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</si>
  <si>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</si>
  <si>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</si>
  <si>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</si>
  <si>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</si>
  <si>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</si>
  <si>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</si>
  <si>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</si>
  <si>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</si>
  <si>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</si>
  <si>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</si>
  <si>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</si>
  <si>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</si>
  <si>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</si>
  <si>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</si>
  <si>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</si>
  <si>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</si>
  <si>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</si>
  <si>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</si>
  <si>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</si>
  <si>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</si>
  <si>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</si>
  <si>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</si>
  <si>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</si>
  <si>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</si>
  <si>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</si>
  <si>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</si>
  <si>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</si>
  <si>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</si>
  <si>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</si>
  <si>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</si>
  <si>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</si>
  <si>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</si>
  <si>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</si>
  <si>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</si>
  <si>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</si>
  <si>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</si>
  <si>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</si>
  <si>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</si>
  <si>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</si>
  <si>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</si>
  <si>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</si>
  <si>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</si>
  <si>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</si>
  <si>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</si>
  <si>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</si>
  <si>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</si>
  <si>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</si>
  <si>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</si>
  <si>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</si>
  <si>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</si>
  <si>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</si>
  <si>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</si>
  <si>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</si>
  <si>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</si>
  <si>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</si>
  <si>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</si>
  <si>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</si>
  <si>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</si>
  <si>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</si>
  <si>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</si>
  <si>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</si>
  <si>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</si>
  <si>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</si>
  <si>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</si>
  <si>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</si>
  <si>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</si>
  <si>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</si>
  <si>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</si>
  <si>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</si>
  <si>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</si>
  <si>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</si>
  <si>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</si>
  <si>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</si>
  <si>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</si>
  <si>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</si>
  <si>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</si>
  <si>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</si>
  <si>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</si>
  <si>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</si>
  <si>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</si>
  <si>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</si>
  <si>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</si>
  <si>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</si>
  <si>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</si>
  <si>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</si>
  <si>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</si>
  <si>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</si>
  <si>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</si>
  <si>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</si>
  <si>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</si>
  <si>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</si>
  <si>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</si>
  <si>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</si>
  <si>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</si>
  <si>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</si>
  <si>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</si>
  <si>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</si>
  <si>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</si>
  <si>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</si>
  <si>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</si>
  <si>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</si>
  <si>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</si>
  <si>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</si>
  <si>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</si>
  <si>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</si>
  <si>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</si>
  <si>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</si>
  <si>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</si>
  <si>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</si>
  <si>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</si>
  <si>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</si>
  <si>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</si>
  <si>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</si>
  <si>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</si>
  <si>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</si>
  <si>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</si>
  <si>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</si>
  <si>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</si>
  <si>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</si>
  <si>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</si>
  <si>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</si>
  <si>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</si>
  <si>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</si>
  <si>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</si>
  <si>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</si>
  <si>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</si>
  <si>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</si>
  <si>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</si>
  <si>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</si>
  <si>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</si>
  <si>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</si>
  <si>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</si>
  <si>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</si>
  <si>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</si>
  <si>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</si>
  <si>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</si>
  <si>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</si>
  <si>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</si>
  <si>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</si>
  <si>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</si>
  <si>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</si>
  <si>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</si>
  <si>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</si>
  <si>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</si>
  <si>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</si>
  <si>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</si>
  <si>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</si>
  <si>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</si>
  <si>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</si>
  <si>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</si>
  <si>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</si>
  <si>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</si>
  <si>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</si>
  <si>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</si>
  <si>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</si>
  <si>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</si>
  <si>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</si>
  <si>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</si>
  <si>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</si>
  <si>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</si>
  <si>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</si>
  <si>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</si>
  <si>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</si>
  <si>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</si>
  <si>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</si>
  <si>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</si>
  <si>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</si>
  <si>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</si>
  <si>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</si>
  <si>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</si>
  <si>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</si>
  <si>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</si>
  <si>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</si>
  <si>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</si>
  <si>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</si>
  <si>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</si>
  <si>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</si>
  <si>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</si>
  <si>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</si>
  <si>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</si>
  <si>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</si>
  <si>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</si>
  <si>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</si>
  <si>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</si>
  <si>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</si>
  <si>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</si>
  <si>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</si>
  <si>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</si>
  <si>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</si>
  <si>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</si>
  <si>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</si>
  <si>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</si>
  <si>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</si>
  <si>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</si>
  <si>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</si>
  <si>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</si>
  <si>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吴薇</t>
  </si>
  <si>
    <t>郑燚</t>
  </si>
  <si>
    <t>抵押</t>
  </si>
  <si>
    <t>房地产抵押价值</t>
  </si>
  <si>
    <t>北京市</t>
  </si>
  <si>
    <t>企业</t>
  </si>
  <si>
    <r>
      <rPr>
        <sz val="12"/>
        <color theme="9" tint="-0.249977111117893"/>
        <rFont val="宋体"/>
        <family val="3"/>
        <charset val="134"/>
      </rPr>
      <t>大兴区永兴路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</si>
  <si>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出让</t>
  </si>
  <si>
    <t>独立商业</t>
  </si>
  <si>
    <t>地下</t>
  </si>
  <si>
    <t>是</t>
  </si>
  <si>
    <r>
      <t>1</t>
    </r>
    <r>
      <rPr>
        <sz val="10"/>
        <color indexed="8"/>
        <rFont val="宋体"/>
        <family val="3"/>
        <charset val="134"/>
      </rPr>
      <t>号楼</t>
    </r>
    <phoneticPr fontId="3" type="noConversion"/>
  </si>
  <si>
    <t>成新度</t>
  </si>
  <si>
    <t>收益法</t>
  </si>
  <si>
    <t>按租金收入计税</t>
  </si>
  <si>
    <t>钢混</t>
  </si>
  <si>
    <t>非生产用房</t>
  </si>
  <si>
    <t>否</t>
  </si>
  <si>
    <t>未包含在土地购买价格中</t>
  </si>
  <si>
    <t>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</si>
  <si>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</si>
  <si>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</si>
  <si>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</si>
  <si>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</si>
  <si>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</si>
  <si>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</si>
  <si>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</si>
  <si>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</si>
  <si>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</si>
  <si>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</si>
  <si>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</si>
  <si>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</si>
  <si>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</si>
  <si>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</si>
  <si>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</si>
  <si>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北京市昌平区朱辛庄新区(二期)土地一级开发项目ZXZ-010地块F3其他类多功能用地</t>
  </si>
  <si>
    <t>商业/办公用地</t>
  </si>
  <si>
    <t>≤3</t>
  </si>
  <si>
    <t>挂牌</t>
  </si>
  <si>
    <t>2020-04-02</t>
  </si>
  <si>
    <t>北京裕聪置业有限公司</t>
  </si>
  <si>
    <t>5星</t>
  </si>
  <si>
    <t>北京市朝阳区望京花家地西里三组团配套综合楼1006-605地块B4商业金融用地</t>
  </si>
  <si>
    <t>北京金隅嘉业房地产开发有限公司</t>
  </si>
  <si>
    <t>北京市石景山区古城南街东侧(首钢园区东南区)1612-769、775等地块B4综合性商业金融服务业用地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</si>
  <si>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</si>
  <si>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</si>
  <si>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</si>
  <si>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</si>
  <si>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</si>
  <si>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</si>
  <si>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北京市海淀区学院路北端A、B、C、J地块B4综合性商业金融服务业用地、B23研发设计用地</t>
  </si>
  <si>
    <t>≤4.04</t>
  </si>
  <si>
    <t>招标</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</si>
  <si>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</si>
  <si>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</si>
  <si>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</si>
  <si>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</si>
  <si>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</si>
  <si>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</si>
  <si>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</si>
  <si>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</si>
  <si>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</si>
  <si>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</si>
  <si>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</si>
  <si>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</si>
  <si>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</si>
  <si>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</si>
  <si>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</si>
  <si>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</si>
  <si>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</si>
  <si>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</si>
  <si>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</si>
  <si>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</si>
  <si>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</si>
  <si>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</si>
  <si>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</si>
  <si>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</si>
  <si>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</si>
  <si>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</si>
  <si>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</si>
  <si>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</si>
  <si>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</si>
  <si>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</si>
  <si>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</si>
  <si>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</si>
  <si>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</si>
  <si>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</si>
  <si>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</si>
  <si>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</si>
  <si>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</si>
  <si>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</si>
  <si>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</si>
  <si>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</si>
  <si>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</si>
  <si>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</si>
  <si>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</si>
  <si>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</si>
  <si>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</si>
  <si>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</si>
  <si>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</si>
  <si>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</si>
  <si>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</si>
  <si>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</si>
  <si>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</si>
  <si>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</si>
  <si>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</si>
  <si>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</si>
  <si>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</si>
  <si>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</si>
  <si>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</si>
  <si>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</si>
  <si>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</si>
  <si>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</si>
  <si>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</si>
  <si>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</si>
  <si>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</si>
  <si>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</si>
  <si>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</si>
  <si>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</si>
  <si>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</si>
  <si>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</si>
  <si>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</si>
  <si>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</si>
  <si>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</si>
  <si>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</si>
  <si>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</si>
  <si>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</si>
  <si>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</si>
  <si>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</si>
  <si>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</si>
  <si>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</si>
  <si>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</si>
  <si>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</si>
  <si>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</si>
  <si>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</si>
  <si>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</si>
  <si>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</si>
  <si>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</si>
  <si>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</si>
  <si>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</si>
  <si>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</si>
  <si>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</si>
  <si>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</si>
  <si>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</si>
  <si>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</si>
  <si>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</si>
  <si>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</si>
  <si>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</si>
  <si>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正常</t>
  </si>
  <si>
    <t>商业</t>
    <phoneticPr fontId="31" type="noConversion"/>
  </si>
  <si>
    <t>商业、办公</t>
  </si>
  <si>
    <t>商业、办公</t>
    <phoneticPr fontId="31" type="noConversion"/>
  </si>
  <si>
    <t>40</t>
    <phoneticPr fontId="31" type="noConversion"/>
  </si>
  <si>
    <t>是否自持</t>
    <phoneticPr fontId="31" type="noConversion"/>
  </si>
  <si>
    <t>较好</t>
  </si>
  <si>
    <t>一般</t>
  </si>
  <si>
    <t>七通</t>
  </si>
  <si>
    <t>多面临街</t>
  </si>
  <si>
    <t>快速路</t>
    <phoneticPr fontId="31" type="noConversion"/>
  </si>
  <si>
    <t>城市主干道</t>
    <phoneticPr fontId="31" type="noConversion"/>
  </si>
  <si>
    <t>城市次干道</t>
  </si>
  <si>
    <t>城市次干道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</si>
  <si>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</si>
  <si>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</si>
  <si>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</si>
  <si>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</si>
  <si>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</si>
  <si>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</si>
  <si>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</si>
  <si>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</si>
  <si>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</si>
  <si>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</si>
  <si>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</si>
  <si>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</si>
  <si>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七通一平</t>
  </si>
  <si>
    <t>七通一平</t>
    <phoneticPr fontId="31" type="noConversion"/>
  </si>
  <si>
    <t>六通一平</t>
  </si>
  <si>
    <t>六通一平</t>
    <phoneticPr fontId="31" type="noConversion"/>
  </si>
  <si>
    <t>五通一平</t>
    <phoneticPr fontId="31" type="noConversion"/>
  </si>
  <si>
    <t>四通一平</t>
    <phoneticPr fontId="31" type="noConversion"/>
  </si>
  <si>
    <t>批发零售用地</t>
  </si>
  <si>
    <t>现房</t>
  </si>
  <si>
    <t>成本法</t>
  </si>
  <si>
    <t>北京市系数</t>
  </si>
  <si>
    <t>否</t>
    <phoneticPr fontId="31" type="noConversion"/>
  </si>
  <si>
    <t>是</t>
    <phoneticPr fontId="31" type="noConversion"/>
  </si>
  <si>
    <t>金科天宸荟</t>
    <phoneticPr fontId="143" type="noConversion"/>
  </si>
  <si>
    <r>
      <t>一层商业4</t>
    </r>
    <r>
      <rPr>
        <sz val="11"/>
        <color theme="1"/>
        <rFont val="宋体"/>
        <family val="3"/>
        <charset val="134"/>
        <scheme val="minor"/>
      </rPr>
      <t>0000+左右</t>
    </r>
    <phoneticPr fontId="143" type="noConversion"/>
  </si>
  <si>
    <t>商业综合体</t>
    <phoneticPr fontId="143" type="noConversion"/>
  </si>
  <si>
    <t>二层以上23000-26000左右，约为办公价格</t>
    <phoneticPr fontId="143" type="noConversion"/>
  </si>
  <si>
    <t>成本比率</t>
  </si>
  <si>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3" type="noConversion"/>
  </si>
  <si>
    <t>超市</t>
  </si>
  <si>
    <t>超市</t>
    <phoneticPr fontId="7" type="noConversion"/>
  </si>
  <si>
    <t>承租面积</t>
    <phoneticPr fontId="143" type="noConversion"/>
  </si>
  <si>
    <t>租赁期起始</t>
    <phoneticPr fontId="143" type="noConversion"/>
  </si>
  <si>
    <t>租赁期终止</t>
    <phoneticPr fontId="143" type="noConversion"/>
  </si>
  <si>
    <t>租赁期</t>
    <phoneticPr fontId="143" type="noConversion"/>
  </si>
  <si>
    <t>价值时点</t>
  </si>
  <si>
    <t>法定最高/出让年限</t>
  </si>
  <si>
    <t>终止日期</t>
  </si>
  <si>
    <t>剩余土地使用年限</t>
  </si>
  <si>
    <t>否</t>
    <phoneticPr fontId="31" type="noConversion"/>
  </si>
  <si>
    <t>剩余租赁期</t>
    <phoneticPr fontId="143" type="noConversion"/>
  </si>
  <si>
    <t>起始日期</t>
    <phoneticPr fontId="143" type="noConversion"/>
  </si>
  <si>
    <t>终止日期</t>
    <phoneticPr fontId="143" type="noConversion"/>
  </si>
  <si>
    <t>剩余年期</t>
    <phoneticPr fontId="143" type="noConversion"/>
  </si>
  <si>
    <t>押三</t>
  </si>
  <si>
    <t>合同日租金</t>
    <phoneticPr fontId="143" type="noConversion"/>
  </si>
  <si>
    <t>合同月租金</t>
    <phoneticPr fontId="143" type="noConversion"/>
  </si>
  <si>
    <t>自定义</t>
  </si>
  <si>
    <t>押一</t>
  </si>
  <si>
    <t>一般</t>
    <phoneticPr fontId="25" type="noConversion"/>
  </si>
  <si>
    <t>七通</t>
    <phoneticPr fontId="25" type="noConversion"/>
  </si>
  <si>
    <t>不临58条商业街</t>
  </si>
  <si>
    <t>与级别开发程度一致</t>
  </si>
  <si>
    <t>按公示增长率计算</t>
  </si>
  <si>
    <t>2020-2</t>
    <phoneticPr fontId="143" type="noConversion"/>
  </si>
  <si>
    <t>2020-1</t>
    <phoneticPr fontId="3"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</si>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</sst>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C00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17" borderId="0" xfId="17" applyFill="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5" borderId="0" xfId="0" applyFont="1" applyFill="1">
      <alignment vertical="center"/>
    </xf>
    <xf numFmtId="0" fontId="56" fillId="18" borderId="0" xfId="17" applyFill="1"/>
    <xf numFmtId="14" fontId="0" fillId="0" borderId="0" xfId="0" applyNumberFormat="1">
      <alignment vertical="center"/>
    </xf>
    <xf numFmtId="0" fontId="118" fillId="6" borderId="26" xfId="0" applyFont="1" applyFill="1" applyBorder="1" applyAlignment="1"/>
    <xf numFmtId="184" fontId="47" fillId="0" borderId="67" xfId="0" applyNumberFormat="1" applyFont="1" applyFill="1" applyBorder="1" applyAlignment="1" applyProtection="1">
      <alignment horizontal="center" vertical="center"/>
      <protection locked="0"/>
    </xf>
    <xf numFmtId="0" fontId="118"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0"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0" fontId="0" fillId="0" borderId="0" xfId="0" applyNumberFormat="1" applyFont="1">
      <alignment vertical="center"/>
    </xf>
    <xf numFmtId="0" fontId="0" fillId="0" borderId="0" xfId="0" applyNumberFormat="1">
      <alignment vertical="center"/>
    </xf>
    <xf numFmtId="181" fontId="55" fillId="9" borderId="24" xfId="0" applyNumberFormat="1"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52" fillId="12" borderId="126" xfId="9" applyFont="1" applyFill="1" applyBorder="1" applyAlignment="1" applyProtection="1">
      <alignment horizontal="center" vertical="center" wrapText="1"/>
    </xf>
    <xf numFmtId="9" fontId="56" fillId="19"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0" fillId="20" borderId="1" xfId="1" applyNumberFormat="1" applyFont="1" applyFill="1" applyBorder="1" applyAlignment="1" applyProtection="1">
      <alignment horizontal="center" vertical="center"/>
      <protection locked="0"/>
    </xf>
    <xf numFmtId="9" fontId="50" fillId="20" borderId="5" xfId="0" applyNumberFormat="1" applyFont="1" applyFill="1" applyBorder="1" applyAlignment="1" applyProtection="1">
      <alignment horizontal="center" vertical="center"/>
      <protection locked="0"/>
    </xf>
    <xf numFmtId="177" fontId="56" fillId="20" borderId="1" xfId="1" applyNumberFormat="1" applyFont="1" applyFill="1" applyBorder="1" applyAlignment="1" applyProtection="1">
      <alignment horizontal="center"/>
      <protection locked="0"/>
    </xf>
    <xf numFmtId="10" fontId="47" fillId="20" borderId="1" xfId="0" applyNumberFormat="1" applyFont="1" applyFill="1" applyBorder="1" applyAlignment="1" applyProtection="1">
      <alignment horizontal="center" vertical="center"/>
      <protection locked="0"/>
    </xf>
    <xf numFmtId="0" fontId="47" fillId="20" borderId="13" xfId="0" applyFont="1" applyFill="1" applyBorder="1" applyAlignment="1" applyProtection="1">
      <alignment horizontal="center" vertical="center"/>
      <protection locked="0"/>
    </xf>
    <xf numFmtId="0" fontId="47" fillId="20" borderId="1"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181" fontId="50" fillId="20" borderId="24" xfId="0" applyNumberFormat="1" applyFont="1" applyFill="1" applyBorder="1" applyAlignment="1" applyProtection="1">
      <alignment horizontal="center" vertical="center"/>
      <protection locked="0"/>
    </xf>
    <xf numFmtId="9" fontId="0" fillId="0" borderId="0" xfId="0" applyNumberFormat="1">
      <alignment vertical="center"/>
    </xf>
    <xf numFmtId="181" fontId="47" fillId="20" borderId="1" xfId="0" applyNumberFormat="1" applyFont="1" applyFill="1" applyBorder="1" applyAlignment="1" applyProtection="1">
      <alignment horizontal="center" vertical="center"/>
      <protection locked="0"/>
    </xf>
    <xf numFmtId="181" fontId="0" fillId="0" borderId="0" xfId="0" applyNumberFormat="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68</xdr:row>
      <xdr:rowOff>53340</xdr:rowOff>
    </xdr:from>
    <xdr:to>
      <xdr:col>4</xdr:col>
      <xdr:colOff>259779</xdr:colOff>
      <xdr:row>90</xdr:row>
      <xdr:rowOff>15556</xdr:rowOff>
    </xdr:to>
    <xdr:pic>
      <xdr:nvPicPr>
        <xdr:cNvPr id="10" name="图片 9"/>
        <xdr:cNvPicPr>
          <a:picLocks noChangeAspect="1"/>
        </xdr:cNvPicPr>
      </xdr:nvPicPr>
      <xdr:blipFill>
        <a:blip xmlns:r="http://schemas.openxmlformats.org/officeDocument/2006/relationships" r:embed="rId1"/>
        <a:stretch>
          <a:fillRect/>
        </a:stretch>
      </xdr:blipFill>
      <xdr:spPr>
        <a:xfrm>
          <a:off x="236220" y="11452860"/>
          <a:ext cx="8070279" cy="3650296"/>
        </a:xfrm>
        <a:prstGeom prst="rect">
          <a:avLst/>
        </a:prstGeom>
      </xdr:spPr>
    </xdr:pic>
    <xdr:clientData/>
  </xdr:twoCellAnchor>
  <xdr:twoCellAnchor editAs="oneCell">
    <xdr:from>
      <xdr:col>0</xdr:col>
      <xdr:colOff>312420</xdr:colOff>
      <xdr:row>38</xdr:row>
      <xdr:rowOff>99060</xdr:rowOff>
    </xdr:from>
    <xdr:to>
      <xdr:col>3</xdr:col>
      <xdr:colOff>84403</xdr:colOff>
      <xdr:row>65</xdr:row>
      <xdr:rowOff>107073</xdr:rowOff>
    </xdr:to>
    <xdr:pic>
      <xdr:nvPicPr>
        <xdr:cNvPr id="11" name="图片 10"/>
        <xdr:cNvPicPr>
          <a:picLocks noChangeAspect="1"/>
        </xdr:cNvPicPr>
      </xdr:nvPicPr>
      <xdr:blipFill>
        <a:blip xmlns:r="http://schemas.openxmlformats.org/officeDocument/2006/relationships" r:embed="rId2"/>
        <a:stretch>
          <a:fillRect/>
        </a:stretch>
      </xdr:blipFill>
      <xdr:spPr>
        <a:xfrm>
          <a:off x="312420" y="6469380"/>
          <a:ext cx="6729043" cy="4534293"/>
        </a:xfrm>
        <a:prstGeom prst="rect">
          <a:avLst/>
        </a:prstGeom>
      </xdr:spPr>
    </xdr:pic>
    <xdr:clientData/>
  </xdr:twoCellAnchor>
  <xdr:twoCellAnchor editAs="oneCell">
    <xdr:from>
      <xdr:col>0</xdr:col>
      <xdr:colOff>0</xdr:colOff>
      <xdr:row>92</xdr:row>
      <xdr:rowOff>0</xdr:rowOff>
    </xdr:from>
    <xdr:to>
      <xdr:col>8</xdr:col>
      <xdr:colOff>503994</xdr:colOff>
      <xdr:row>131</xdr:row>
      <xdr:rowOff>84394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5422880"/>
          <a:ext cx="12398814" cy="6622354"/>
        </a:xfrm>
        <a:prstGeom prst="rect">
          <a:avLst/>
        </a:prstGeom>
      </xdr:spPr>
    </xdr:pic>
    <xdr:clientData/>
  </xdr:twoCellAnchor>
  <xdr:twoCellAnchor editAs="oneCell">
    <xdr:from>
      <xdr:col>0</xdr:col>
      <xdr:colOff>60960</xdr:colOff>
      <xdr:row>132</xdr:row>
      <xdr:rowOff>137160</xdr:rowOff>
    </xdr:from>
    <xdr:to>
      <xdr:col>8</xdr:col>
      <xdr:colOff>542092</xdr:colOff>
      <xdr:row>172</xdr:row>
      <xdr:rowOff>137741</xdr:rowOff>
    </xdr:to>
    <xdr:pic>
      <xdr:nvPicPr>
        <xdr:cNvPr id="13" name="图片 12"/>
        <xdr:cNvPicPr>
          <a:picLocks noChangeAspect="1"/>
        </xdr:cNvPicPr>
      </xdr:nvPicPr>
      <xdr:blipFill>
        <a:blip xmlns:r="http://schemas.openxmlformats.org/officeDocument/2006/relationships" r:embed="rId4"/>
        <a:stretch>
          <a:fillRect/>
        </a:stretch>
      </xdr:blipFill>
      <xdr:spPr>
        <a:xfrm>
          <a:off x="60960" y="22265640"/>
          <a:ext cx="12375952" cy="6706181"/>
        </a:xfrm>
        <a:prstGeom prst="rect">
          <a:avLst/>
        </a:prstGeom>
      </xdr:spPr>
    </xdr:pic>
    <xdr:clientData/>
  </xdr:twoCellAnchor>
  <xdr:twoCellAnchor editAs="oneCell">
    <xdr:from>
      <xdr:col>0</xdr:col>
      <xdr:colOff>0</xdr:colOff>
      <xdr:row>174</xdr:row>
      <xdr:rowOff>0</xdr:rowOff>
    </xdr:from>
    <xdr:to>
      <xdr:col>8</xdr:col>
      <xdr:colOff>465891</xdr:colOff>
      <xdr:row>213</xdr:row>
      <xdr:rowOff>137738</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29169360"/>
          <a:ext cx="12360711" cy="6675698"/>
        </a:xfrm>
        <a:prstGeom prst="rect">
          <a:avLst/>
        </a:prstGeom>
      </xdr:spPr>
    </xdr:pic>
    <xdr:clientData/>
  </xdr:twoCellAnchor>
  <xdr:twoCellAnchor editAs="oneCell">
    <xdr:from>
      <xdr:col>9</xdr:col>
      <xdr:colOff>0</xdr:colOff>
      <xdr:row>94</xdr:row>
      <xdr:rowOff>0</xdr:rowOff>
    </xdr:from>
    <xdr:to>
      <xdr:col>12</xdr:col>
      <xdr:colOff>4747883</xdr:colOff>
      <xdr:row>114</xdr:row>
      <xdr:rowOff>99359</xdr:rowOff>
    </xdr:to>
    <xdr:pic>
      <xdr:nvPicPr>
        <xdr:cNvPr id="15" name="图片 14"/>
        <xdr:cNvPicPr>
          <a:picLocks noChangeAspect="1"/>
        </xdr:cNvPicPr>
      </xdr:nvPicPr>
      <xdr:blipFill>
        <a:blip xmlns:r="http://schemas.openxmlformats.org/officeDocument/2006/relationships" r:embed="rId6"/>
        <a:stretch>
          <a:fillRect/>
        </a:stretch>
      </xdr:blipFill>
      <xdr:spPr>
        <a:xfrm>
          <a:off x="12725400" y="15758160"/>
          <a:ext cx="7186283" cy="3452159"/>
        </a:xfrm>
        <a:prstGeom prst="rect">
          <a:avLst/>
        </a:prstGeom>
      </xdr:spPr>
    </xdr:pic>
    <xdr:clientData/>
  </xdr:twoCellAnchor>
  <xdr:twoCellAnchor editAs="oneCell">
    <xdr:from>
      <xdr:col>9</xdr:col>
      <xdr:colOff>0</xdr:colOff>
      <xdr:row>136</xdr:row>
      <xdr:rowOff>0</xdr:rowOff>
    </xdr:from>
    <xdr:to>
      <xdr:col>12</xdr:col>
      <xdr:colOff>4481160</xdr:colOff>
      <xdr:row>155</xdr:row>
      <xdr:rowOff>38379</xdr:rowOff>
    </xdr:to>
    <xdr:pic>
      <xdr:nvPicPr>
        <xdr:cNvPr id="16" name="图片 15"/>
        <xdr:cNvPicPr>
          <a:picLocks noChangeAspect="1"/>
        </xdr:cNvPicPr>
      </xdr:nvPicPr>
      <xdr:blipFill>
        <a:blip xmlns:r="http://schemas.openxmlformats.org/officeDocument/2006/relationships" r:embed="rId7"/>
        <a:stretch>
          <a:fillRect/>
        </a:stretch>
      </xdr:blipFill>
      <xdr:spPr>
        <a:xfrm>
          <a:off x="12725400" y="22799040"/>
          <a:ext cx="6919560" cy="3223539"/>
        </a:xfrm>
        <a:prstGeom prst="rect">
          <a:avLst/>
        </a:prstGeom>
      </xdr:spPr>
    </xdr:pic>
    <xdr:clientData/>
  </xdr:twoCellAnchor>
  <xdr:twoCellAnchor editAs="oneCell">
    <xdr:from>
      <xdr:col>8</xdr:col>
      <xdr:colOff>822960</xdr:colOff>
      <xdr:row>177</xdr:row>
      <xdr:rowOff>45720</xdr:rowOff>
    </xdr:from>
    <xdr:to>
      <xdr:col>12</xdr:col>
      <xdr:colOff>3978197</xdr:colOff>
      <xdr:row>198</xdr:row>
      <xdr:rowOff>38404</xdr:rowOff>
    </xdr:to>
    <xdr:pic>
      <xdr:nvPicPr>
        <xdr:cNvPr id="17" name="图片 16"/>
        <xdr:cNvPicPr>
          <a:picLocks noChangeAspect="1"/>
        </xdr:cNvPicPr>
      </xdr:nvPicPr>
      <xdr:blipFill>
        <a:blip xmlns:r="http://schemas.openxmlformats.org/officeDocument/2006/relationships" r:embed="rId8"/>
        <a:stretch>
          <a:fillRect/>
        </a:stretch>
      </xdr:blipFill>
      <xdr:spPr>
        <a:xfrm>
          <a:off x="12717780" y="29718000"/>
          <a:ext cx="6424217" cy="351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8</xdr:row>
      <xdr:rowOff>167640</xdr:rowOff>
    </xdr:from>
    <xdr:to>
      <xdr:col>20</xdr:col>
      <xdr:colOff>389692</xdr:colOff>
      <xdr:row>12</xdr:row>
      <xdr:rowOff>30532</xdr:rowOff>
    </xdr:to>
    <xdr:pic>
      <xdr:nvPicPr>
        <xdr:cNvPr id="3" name="图片 2"/>
        <xdr:cNvPicPr>
          <a:picLocks noChangeAspect="1"/>
        </xdr:cNvPicPr>
      </xdr:nvPicPr>
      <xdr:blipFill>
        <a:blip xmlns:r="http://schemas.openxmlformats.org/officeDocument/2006/relationships" r:embed="rId1"/>
        <a:stretch>
          <a:fillRect/>
        </a:stretch>
      </xdr:blipFill>
      <xdr:spPr>
        <a:xfrm>
          <a:off x="205740" y="1630680"/>
          <a:ext cx="12375952" cy="594412"/>
        </a:xfrm>
        <a:prstGeom prst="rect">
          <a:avLst/>
        </a:prstGeom>
      </xdr:spPr>
    </xdr:pic>
    <xdr:clientData/>
  </xdr:twoCellAnchor>
  <xdr:twoCellAnchor editAs="oneCell">
    <xdr:from>
      <xdr:col>0</xdr:col>
      <xdr:colOff>228600</xdr:colOff>
      <xdr:row>13</xdr:row>
      <xdr:rowOff>99060</xdr:rowOff>
    </xdr:from>
    <xdr:to>
      <xdr:col>20</xdr:col>
      <xdr:colOff>351587</xdr:colOff>
      <xdr:row>15</xdr:row>
      <xdr:rowOff>15264</xdr:rowOff>
    </xdr:to>
    <xdr:pic>
      <xdr:nvPicPr>
        <xdr:cNvPr id="4" name="图片 3"/>
        <xdr:cNvPicPr>
          <a:picLocks noChangeAspect="1"/>
        </xdr:cNvPicPr>
      </xdr:nvPicPr>
      <xdr:blipFill>
        <a:blip xmlns:r="http://schemas.openxmlformats.org/officeDocument/2006/relationships" r:embed="rId2"/>
        <a:stretch>
          <a:fillRect/>
        </a:stretch>
      </xdr:blipFill>
      <xdr:spPr>
        <a:xfrm>
          <a:off x="228600" y="2476500"/>
          <a:ext cx="12314987" cy="281964"/>
        </a:xfrm>
        <a:prstGeom prst="rect">
          <a:avLst/>
        </a:prstGeom>
      </xdr:spPr>
    </xdr:pic>
    <xdr:clientData/>
  </xdr:twoCellAnchor>
  <xdr:twoCellAnchor editAs="oneCell">
    <xdr:from>
      <xdr:col>0</xdr:col>
      <xdr:colOff>220980</xdr:colOff>
      <xdr:row>16</xdr:row>
      <xdr:rowOff>175260</xdr:rowOff>
    </xdr:from>
    <xdr:to>
      <xdr:col>20</xdr:col>
      <xdr:colOff>313485</xdr:colOff>
      <xdr:row>33</xdr:row>
      <xdr:rowOff>152667</xdr:rowOff>
    </xdr:to>
    <xdr:pic>
      <xdr:nvPicPr>
        <xdr:cNvPr id="5" name="图片 4"/>
        <xdr:cNvPicPr>
          <a:picLocks noChangeAspect="1"/>
        </xdr:cNvPicPr>
      </xdr:nvPicPr>
      <xdr:blipFill>
        <a:blip xmlns:r="http://schemas.openxmlformats.org/officeDocument/2006/relationships" r:embed="rId3"/>
        <a:stretch>
          <a:fillRect/>
        </a:stretch>
      </xdr:blipFill>
      <xdr:spPr>
        <a:xfrm>
          <a:off x="220980" y="3101340"/>
          <a:ext cx="12284505" cy="3086367"/>
        </a:xfrm>
        <a:prstGeom prst="rect">
          <a:avLst/>
        </a:prstGeom>
      </xdr:spPr>
    </xdr:pic>
    <xdr:clientData/>
  </xdr:twoCellAnchor>
  <xdr:twoCellAnchor editAs="oneCell">
    <xdr:from>
      <xdr:col>0</xdr:col>
      <xdr:colOff>228600</xdr:colOff>
      <xdr:row>2</xdr:row>
      <xdr:rowOff>60960</xdr:rowOff>
    </xdr:from>
    <xdr:to>
      <xdr:col>20</xdr:col>
      <xdr:colOff>382070</xdr:colOff>
      <xdr:row>8</xdr:row>
      <xdr:rowOff>106779</xdr:rowOff>
    </xdr:to>
    <xdr:pic>
      <xdr:nvPicPr>
        <xdr:cNvPr id="6" name="图片 5"/>
        <xdr:cNvPicPr>
          <a:picLocks noChangeAspect="1"/>
        </xdr:cNvPicPr>
      </xdr:nvPicPr>
      <xdr:blipFill>
        <a:blip xmlns:r="http://schemas.openxmlformats.org/officeDocument/2006/relationships" r:embed="rId4"/>
        <a:stretch>
          <a:fillRect/>
        </a:stretch>
      </xdr:blipFill>
      <xdr:spPr>
        <a:xfrm>
          <a:off x="228600" y="426720"/>
          <a:ext cx="12345470" cy="1143099"/>
        </a:xfrm>
        <a:prstGeom prst="rect">
          <a:avLst/>
        </a:prstGeom>
      </xdr:spPr>
    </xdr:pic>
    <xdr:clientData/>
  </xdr:twoCellAnchor>
  <xdr:twoCellAnchor editAs="oneCell">
    <xdr:from>
      <xdr:col>0</xdr:col>
      <xdr:colOff>274320</xdr:colOff>
      <xdr:row>42</xdr:row>
      <xdr:rowOff>15240</xdr:rowOff>
    </xdr:from>
    <xdr:to>
      <xdr:col>20</xdr:col>
      <xdr:colOff>351583</xdr:colOff>
      <xdr:row>55</xdr:row>
      <xdr:rowOff>137377</xdr:rowOff>
    </xdr:to>
    <xdr:pic>
      <xdr:nvPicPr>
        <xdr:cNvPr id="7" name="图片 6"/>
        <xdr:cNvPicPr>
          <a:picLocks noChangeAspect="1"/>
        </xdr:cNvPicPr>
      </xdr:nvPicPr>
      <xdr:blipFill>
        <a:blip xmlns:r="http://schemas.openxmlformats.org/officeDocument/2006/relationships" r:embed="rId5"/>
        <a:stretch>
          <a:fillRect/>
        </a:stretch>
      </xdr:blipFill>
      <xdr:spPr>
        <a:xfrm>
          <a:off x="274320" y="7696200"/>
          <a:ext cx="12269263" cy="2499577"/>
        </a:xfrm>
        <a:prstGeom prst="rect">
          <a:avLst/>
        </a:prstGeom>
      </xdr:spPr>
    </xdr:pic>
    <xdr:clientData/>
  </xdr:twoCellAnchor>
  <xdr:twoCellAnchor editAs="oneCell">
    <xdr:from>
      <xdr:col>0</xdr:col>
      <xdr:colOff>335280</xdr:colOff>
      <xdr:row>37</xdr:row>
      <xdr:rowOff>60960</xdr:rowOff>
    </xdr:from>
    <xdr:to>
      <xdr:col>10</xdr:col>
      <xdr:colOff>152912</xdr:colOff>
      <xdr:row>40</xdr:row>
      <xdr:rowOff>83870</xdr:rowOff>
    </xdr:to>
    <xdr:pic>
      <xdr:nvPicPr>
        <xdr:cNvPr id="8" name="图片 7"/>
        <xdr:cNvPicPr>
          <a:picLocks noChangeAspect="1"/>
        </xdr:cNvPicPr>
      </xdr:nvPicPr>
      <xdr:blipFill>
        <a:blip xmlns:r="http://schemas.openxmlformats.org/officeDocument/2006/relationships" r:embed="rId6"/>
        <a:stretch>
          <a:fillRect/>
        </a:stretch>
      </xdr:blipFill>
      <xdr:spPr>
        <a:xfrm>
          <a:off x="335280" y="6827520"/>
          <a:ext cx="5913632" cy="571550"/>
        </a:xfrm>
        <a:prstGeom prst="rect">
          <a:avLst/>
        </a:prstGeom>
      </xdr:spPr>
    </xdr:pic>
    <xdr:clientData/>
  </xdr:twoCellAnchor>
  <xdr:twoCellAnchor editAs="oneCell">
    <xdr:from>
      <xdr:col>0</xdr:col>
      <xdr:colOff>304800</xdr:colOff>
      <xdr:row>56</xdr:row>
      <xdr:rowOff>129540</xdr:rowOff>
    </xdr:from>
    <xdr:to>
      <xdr:col>20</xdr:col>
      <xdr:colOff>473511</xdr:colOff>
      <xdr:row>60</xdr:row>
      <xdr:rowOff>144845</xdr:rowOff>
    </xdr:to>
    <xdr:pic>
      <xdr:nvPicPr>
        <xdr:cNvPr id="9" name="图片 8"/>
        <xdr:cNvPicPr>
          <a:picLocks noChangeAspect="1"/>
        </xdr:cNvPicPr>
      </xdr:nvPicPr>
      <xdr:blipFill>
        <a:blip xmlns:r="http://schemas.openxmlformats.org/officeDocument/2006/relationships" r:embed="rId7"/>
        <a:stretch>
          <a:fillRect/>
        </a:stretch>
      </xdr:blipFill>
      <xdr:spPr>
        <a:xfrm>
          <a:off x="304800" y="10370820"/>
          <a:ext cx="12360711" cy="746825"/>
        </a:xfrm>
        <a:prstGeom prst="rect">
          <a:avLst/>
        </a:prstGeom>
      </xdr:spPr>
    </xdr:pic>
    <xdr:clientData/>
  </xdr:twoCellAnchor>
  <xdr:twoCellAnchor editAs="oneCell">
    <xdr:from>
      <xdr:col>0</xdr:col>
      <xdr:colOff>297180</xdr:colOff>
      <xdr:row>62</xdr:row>
      <xdr:rowOff>91440</xdr:rowOff>
    </xdr:from>
    <xdr:to>
      <xdr:col>11</xdr:col>
      <xdr:colOff>313002</xdr:colOff>
      <xdr:row>67</xdr:row>
      <xdr:rowOff>76278</xdr:rowOff>
    </xdr:to>
    <xdr:pic>
      <xdr:nvPicPr>
        <xdr:cNvPr id="10" name="图片 9"/>
        <xdr:cNvPicPr>
          <a:picLocks noChangeAspect="1"/>
        </xdr:cNvPicPr>
      </xdr:nvPicPr>
      <xdr:blipFill>
        <a:blip xmlns:r="http://schemas.openxmlformats.org/officeDocument/2006/relationships" r:embed="rId8"/>
        <a:stretch>
          <a:fillRect/>
        </a:stretch>
      </xdr:blipFill>
      <xdr:spPr>
        <a:xfrm>
          <a:off x="297180" y="11430000"/>
          <a:ext cx="6721422" cy="899238"/>
        </a:xfrm>
        <a:prstGeom prst="rect">
          <a:avLst/>
        </a:prstGeom>
      </xdr:spPr>
    </xdr:pic>
    <xdr:clientData/>
  </xdr:twoCellAnchor>
  <xdr:twoCellAnchor editAs="oneCell">
    <xdr:from>
      <xdr:col>0</xdr:col>
      <xdr:colOff>396240</xdr:colOff>
      <xdr:row>69</xdr:row>
      <xdr:rowOff>7620</xdr:rowOff>
    </xdr:from>
    <xdr:to>
      <xdr:col>21</xdr:col>
      <xdr:colOff>1075</xdr:colOff>
      <xdr:row>74</xdr:row>
      <xdr:rowOff>129630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96240" y="12626340"/>
          <a:ext cx="12406435" cy="1036410"/>
        </a:xfrm>
        <a:prstGeom prst="rect">
          <a:avLst/>
        </a:prstGeom>
      </xdr:spPr>
    </xdr:pic>
    <xdr:clientData/>
  </xdr:twoCellAnchor>
  <xdr:twoCellAnchor editAs="oneCell">
    <xdr:from>
      <xdr:col>0</xdr:col>
      <xdr:colOff>228600</xdr:colOff>
      <xdr:row>77</xdr:row>
      <xdr:rowOff>137160</xdr:rowOff>
    </xdr:from>
    <xdr:to>
      <xdr:col>11</xdr:col>
      <xdr:colOff>343491</xdr:colOff>
      <xdr:row>96</xdr:row>
      <xdr:rowOff>68875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28600" y="14218920"/>
          <a:ext cx="6820491" cy="3406435"/>
        </a:xfrm>
        <a:prstGeom prst="rect">
          <a:avLst/>
        </a:prstGeom>
      </xdr:spPr>
    </xdr:pic>
    <xdr:clientData/>
  </xdr:twoCellAnchor>
  <xdr:twoCellAnchor editAs="oneCell">
    <xdr:from>
      <xdr:col>12</xdr:col>
      <xdr:colOff>137160</xdr:colOff>
      <xdr:row>76</xdr:row>
      <xdr:rowOff>160020</xdr:rowOff>
    </xdr:from>
    <xdr:to>
      <xdr:col>20</xdr:col>
      <xdr:colOff>571960</xdr:colOff>
      <xdr:row>96</xdr:row>
      <xdr:rowOff>137475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452360" y="14058900"/>
          <a:ext cx="531160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251460</xdr:colOff>
      <xdr:row>0</xdr:row>
      <xdr:rowOff>38100</xdr:rowOff>
    </xdr:from>
    <xdr:to>
      <xdr:col>24</xdr:col>
      <xdr:colOff>511144</xdr:colOff>
      <xdr:row>34</xdr:row>
      <xdr:rowOff>4362</xdr:rowOff>
    </xdr:to>
    <xdr:pic>
      <xdr:nvPicPr>
        <xdr:cNvPr id="2" name="图片 1"/>
        <xdr:cNvPicPr>
          <a:picLocks noChangeAspect="1"/>
        </xdr:cNvPicPr>
      </xdr:nvPicPr>
      <xdr:blipFill>
        <a:blip xmlns:r="http://schemas.openxmlformats.org/officeDocument/2006/relationships" r:embed="rId1"/>
        <a:stretch>
          <a:fillRect/>
        </a:stretch>
      </xdr:blipFill>
      <xdr:spPr>
        <a:xfrm>
          <a:off x="10294620" y="38100"/>
          <a:ext cx="6965284" cy="6382302"/>
        </a:xfrm>
        <a:prstGeom prst="rect">
          <a:avLst/>
        </a:prstGeom>
      </xdr:spPr>
    </xdr:pic>
    <xdr:clientData/>
  </xdr:twoCellAnchor>
  <xdr:twoCellAnchor editAs="oneCell">
    <xdr:from>
      <xdr:col>1</xdr:col>
      <xdr:colOff>670560</xdr:colOff>
      <xdr:row>19</xdr:row>
      <xdr:rowOff>114300</xdr:rowOff>
    </xdr:from>
    <xdr:to>
      <xdr:col>8</xdr:col>
      <xdr:colOff>632937</xdr:colOff>
      <xdr:row>50</xdr:row>
      <xdr:rowOff>168136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4480" y="3787140"/>
          <a:ext cx="5502117" cy="57231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北京市大兴区永兴路7号院1号楼-3层至4层101号房地产抵押价值预评估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受贵公司委托，我公司对北京市大兴区永兴路7号院1号楼-3层至4层101号房地产抵押价值进行了预评估。</v>
      </c>
    </row>
    <row r="7" spans="1:2" s="1592" customFormat="1">
      <c r="A7" s="1590" t="s">
        <v>1259</v>
      </c>
      <c r="B7" s="1591" t="str">
        <f>'预评函-1'!A7</f>
        <v>估价对象为北京市大兴区永兴路7号院1号楼-3层至4层101号房地产，为所有。根据，估价对象（分摊）出让国有建设用地使用权面积为0平方米，建筑面积为9152.04平方米。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估价对象为北京市大兴区永兴路7号院1号楼-3层至4层101号房地产,属开发建设的，该项目尚在开发建设中。根据，估价对象（分摊）出让国有建设用地使用权面积为0平方米，规划建筑面积为9152.04平方米。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2020年6月18日</v>
      </c>
    </row>
    <row r="13" spans="1:2" s="1592" customFormat="1">
      <c r="A13" s="1590" t="s">
        <v>1222</v>
      </c>
      <c r="B13" s="1591" t="str">
        <f>'预评函-1'!A18</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本次评估采用的主估价方法为成本法和收益法。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6482</v>
      </c>
    </row>
    <row r="21" spans="1:2" s="1592" customFormat="1">
      <c r="A21" s="1590" t="s">
        <v>1230</v>
      </c>
      <c r="B21" s="1591">
        <f ca="1">'预评函-2'!D7</f>
        <v>7083</v>
      </c>
    </row>
    <row r="22" spans="1:2" s="1592" customFormat="1">
      <c r="A22" s="1590" t="s">
        <v>1231</v>
      </c>
      <c r="B22" s="1591" t="str">
        <f ca="1">'预评函-2'!D6</f>
        <v>陆仟肆佰捌拾贰万元整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6482</v>
      </c>
    </row>
    <row r="31" spans="1:2" s="1592" customFormat="1">
      <c r="A31" s="1590" t="s">
        <v>1269</v>
      </c>
      <c r="B31" s="1591">
        <f ca="1">'预评函-2'!D15</f>
        <v>7083</v>
      </c>
    </row>
    <row r="32" spans="1:2" s="1592" customFormat="1">
      <c r="A32" s="1590" t="s">
        <v>1236</v>
      </c>
      <c r="B32" s="1591" t="str">
        <f ca="1">'预评函-2'!D14</f>
        <v>陆仟肆佰捌拾贰万元整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北京市大兴区永兴路7号院1号楼-3层至4层101号房地产</v>
      </c>
    </row>
    <row r="42" spans="1:2" s="1592" customFormat="1" ht="31.2">
      <c r="A42" s="1590" t="s">
        <v>1283</v>
      </c>
      <c r="B42" s="1591" t="str">
        <f>'预评函-3'!B2</f>
        <v>建筑面积</v>
      </c>
    </row>
    <row r="43" spans="1:2" s="1592" customFormat="1">
      <c r="A43" s="1590" t="s">
        <v>1284</v>
      </c>
      <c r="B43" s="1591">
        <f>'预评函-3'!B4</f>
        <v>9152.0400000000009</v>
      </c>
    </row>
    <row r="44" spans="1:2" s="1592" customFormat="1" ht="31.2">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f ca="1">'预评函-3'!D4</f>
        <v>3189</v>
      </c>
    </row>
    <row r="48" spans="1:2" s="1592" customFormat="1">
      <c r="A48" s="1590" t="s">
        <v>1242</v>
      </c>
      <c r="B48" s="1591">
        <f ca="1">'预评函-3'!E4</f>
        <v>3485</v>
      </c>
    </row>
    <row r="49" spans="1:2" s="1592" customFormat="1">
      <c r="A49" s="1590" t="s">
        <v>1243</v>
      </c>
      <c r="B49" s="1591" t="str">
        <f ca="1">'预评函-3'!D5</f>
        <v>叁仟壹佰捌拾玖万元整</v>
      </c>
    </row>
    <row r="50" spans="1:2" s="1592" customFormat="1">
      <c r="A50" s="1590" t="s">
        <v>1267</v>
      </c>
      <c r="B50" s="1591" t="str">
        <f>'预评函-3'!F2</f>
        <v>在建建筑物价值</v>
      </c>
    </row>
    <row r="51" spans="1:2" s="1592" customFormat="1">
      <c r="A51" s="1590" t="s">
        <v>1244</v>
      </c>
      <c r="B51" s="1591">
        <f ca="1">'预评函-3'!F4</f>
        <v>3293</v>
      </c>
    </row>
    <row r="52" spans="1:2" s="1592" customFormat="1">
      <c r="A52" s="1590" t="s">
        <v>1245</v>
      </c>
      <c r="B52" s="1591">
        <f ca="1">'预评函-3'!G4</f>
        <v>3598</v>
      </c>
    </row>
    <row r="53" spans="1:2" s="1592" customFormat="1">
      <c r="A53" s="1590" t="s">
        <v>1273</v>
      </c>
      <c r="B53" s="1591" t="str">
        <f ca="1">'预评函-3'!F5</f>
        <v>叁仟贰佰玖拾叁万元整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6.2" thickBot="1">
      <c r="A73" s="1593" t="s">
        <v>1258</v>
      </c>
      <c r="B73" s="1594">
        <f ca="1">'预评函-4'!B5</f>
        <v>1120070131</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0" t="s">
        <v>860</v>
      </c>
      <c r="C54" s="2017" t="s">
        <v>1276</v>
      </c>
    </row>
    <row r="55" spans="1:4">
      <c r="A55" s="3032"/>
      <c r="B55" s="2020" t="s">
        <v>861</v>
      </c>
      <c r="C55" s="2017" t="s">
        <v>1277</v>
      </c>
    </row>
    <row r="56" spans="1:4">
      <c r="A56" s="3032"/>
      <c r="B56" s="2020" t="s">
        <v>862</v>
      </c>
      <c r="C56" s="2017" t="s">
        <v>1281</v>
      </c>
    </row>
    <row r="57" spans="1:4">
      <c r="A57" s="303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1769</v>
      </c>
      <c r="B1" s="3041"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42"/>
      <c r="D1" s="3042"/>
      <c r="E1" s="3042"/>
      <c r="F1" s="3042"/>
      <c r="G1" s="3042"/>
      <c r="H1" s="3042"/>
      <c r="I1" s="304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024" t="s">
        <v>1770</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033" t="s">
        <v>1771</v>
      </c>
      <c r="B3" s="2034"/>
      <c r="C3" s="2035" t="s">
        <v>1772</v>
      </c>
      <c r="D3" s="2034">
        <v>44000</v>
      </c>
      <c r="E3" s="2024"/>
      <c r="F3" s="2024"/>
      <c r="G3" s="2024"/>
      <c r="H3" s="2024"/>
      <c r="I3" s="2024"/>
      <c r="J3" s="2024"/>
      <c r="K3" s="2025"/>
      <c r="L3" s="2026"/>
      <c r="M3" s="2026"/>
      <c r="N3" s="2027"/>
      <c r="O3" s="2028"/>
      <c r="P3" s="2027"/>
      <c r="Q3" s="2027"/>
      <c r="R3" s="2027"/>
      <c r="S3" s="2029"/>
    </row>
    <row r="4" spans="1:19" ht="18" customHeight="1" thickBot="1">
      <c r="A4" s="2036" t="s">
        <v>1773</v>
      </c>
      <c r="B4" s="2037" t="s">
        <v>3045</v>
      </c>
      <c r="C4" s="1037">
        <f ca="1">SUMIF(注册房地产估价师,B4,估价师及机构信息!B3:B24)</f>
        <v>1419970001</v>
      </c>
      <c r="D4" s="2037" t="s">
        <v>3046</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51"/>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3"/>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52"/>
      <c r="C7" s="2046"/>
      <c r="D7" s="2047"/>
      <c r="E7" s="2032"/>
      <c r="F7" s="2040"/>
      <c r="G7" s="2040"/>
      <c r="H7" s="2040"/>
      <c r="I7" s="2040"/>
      <c r="J7" s="2040"/>
      <c r="K7" s="2049"/>
      <c r="L7" s="2026"/>
      <c r="M7" s="2026"/>
      <c r="N7" s="2027"/>
      <c r="O7" s="2028"/>
      <c r="P7" s="2027"/>
      <c r="Q7" s="2027"/>
      <c r="R7" s="2027"/>
    </row>
    <row r="8" spans="1:19" ht="18" customHeight="1">
      <c r="A8" s="2045" t="s">
        <v>1777</v>
      </c>
      <c r="B8" s="2050" t="s">
        <v>3047</v>
      </c>
      <c r="C8" s="2051"/>
      <c r="D8" s="3044" t="s">
        <v>1778</v>
      </c>
      <c r="E8" s="2052" t="s">
        <v>3048</v>
      </c>
      <c r="F8" s="2053"/>
      <c r="G8" s="2024"/>
      <c r="H8" s="2024"/>
      <c r="I8" s="2024"/>
      <c r="J8" s="2040"/>
      <c r="K8" s="2041"/>
      <c r="L8" s="2026"/>
      <c r="M8" s="2026"/>
      <c r="N8" s="2027"/>
      <c r="O8" s="2028"/>
      <c r="P8" s="2027"/>
      <c r="Q8" s="2027"/>
      <c r="R8" s="2027"/>
    </row>
    <row r="9" spans="1:19" ht="18" customHeight="1" thickBot="1">
      <c r="A9" s="2038" t="s">
        <v>1779</v>
      </c>
      <c r="B9" s="2054" t="s">
        <v>3048</v>
      </c>
      <c r="C9" s="2055"/>
      <c r="D9" s="3045"/>
      <c r="E9" s="2054"/>
      <c r="F9" s="2056"/>
      <c r="G9" s="2057"/>
      <c r="H9" s="2057"/>
      <c r="I9" s="2057"/>
      <c r="J9" s="2040"/>
      <c r="K9" s="2049"/>
      <c r="L9" s="2026"/>
      <c r="M9" s="2026"/>
      <c r="N9" s="2027"/>
      <c r="O9" s="2028"/>
      <c r="P9" s="2027"/>
      <c r="Q9" s="2027"/>
      <c r="R9" s="2027"/>
    </row>
    <row r="10" spans="1:19" ht="18" customHeight="1" thickTop="1">
      <c r="A10" s="2058" t="s">
        <v>1780</v>
      </c>
      <c r="B10" s="2059" t="s">
        <v>3049</v>
      </c>
      <c r="C10" s="2060"/>
      <c r="D10" s="2044"/>
      <c r="E10" s="2061" t="s">
        <v>1781</v>
      </c>
      <c r="F10" s="2062" t="s">
        <v>3051</v>
      </c>
      <c r="G10" s="2063"/>
      <c r="H10" s="2064"/>
      <c r="I10" s="2044"/>
      <c r="J10" s="2040"/>
      <c r="K10" s="2049"/>
      <c r="L10" s="2026"/>
      <c r="M10" s="2026"/>
      <c r="N10" s="2027"/>
      <c r="O10" s="2028"/>
      <c r="P10" s="2027"/>
      <c r="Q10" s="2027"/>
      <c r="R10" s="2027"/>
    </row>
    <row r="11" spans="1:19" ht="18" customHeight="1">
      <c r="A11" s="2065" t="s">
        <v>1782</v>
      </c>
      <c r="B11" s="2066" t="s">
        <v>3050</v>
      </c>
      <c r="C11" s="2067"/>
      <c r="D11" s="2068"/>
      <c r="E11" s="2040"/>
      <c r="F11" s="2040"/>
      <c r="G11" s="2040"/>
      <c r="H11" s="2040"/>
      <c r="I11" s="2040"/>
      <c r="J11" s="2040"/>
      <c r="K11" s="2049"/>
      <c r="L11" s="2026"/>
      <c r="M11" s="2026"/>
      <c r="N11" s="2027"/>
      <c r="O11" s="2028"/>
      <c r="P11" s="2027"/>
      <c r="Q11" s="2027"/>
      <c r="R11" s="2027"/>
    </row>
    <row r="12" spans="1:19" ht="18" customHeight="1">
      <c r="A12" s="2069" t="s">
        <v>1783</v>
      </c>
      <c r="B12" s="2066" t="s">
        <v>3052</v>
      </c>
      <c r="C12" s="2070" t="s">
        <v>1784</v>
      </c>
      <c r="D12" s="2071" t="s">
        <v>1785</v>
      </c>
      <c r="E12" s="2071" t="s">
        <v>1786</v>
      </c>
      <c r="F12" s="2071" t="s">
        <v>1787</v>
      </c>
      <c r="G12" s="2071" t="s">
        <v>1788</v>
      </c>
      <c r="H12" s="2071" t="s">
        <v>1789</v>
      </c>
      <c r="I12" s="2071" t="s">
        <v>1790</v>
      </c>
      <c r="J12" s="2040"/>
      <c r="K12" s="2049"/>
      <c r="L12" s="2026"/>
      <c r="M12" s="2026"/>
      <c r="N12" s="2027"/>
      <c r="O12" s="2028"/>
      <c r="P12" s="2027"/>
      <c r="Q12" s="2027"/>
      <c r="R12" s="2027"/>
    </row>
    <row r="13" spans="1:19" ht="18" customHeight="1">
      <c r="A13" s="2072"/>
      <c r="B13" s="2073"/>
      <c r="C13" s="2074" t="s">
        <v>1791</v>
      </c>
      <c r="D13" s="2075"/>
      <c r="E13" s="2075">
        <v>55536</v>
      </c>
      <c r="F13" s="2075"/>
      <c r="G13" s="2075"/>
      <c r="H13" s="2075"/>
      <c r="I13" s="1047"/>
      <c r="J13" s="2040"/>
      <c r="K13" s="2049"/>
      <c r="L13" s="2026"/>
      <c r="M13" s="2026"/>
      <c r="N13" s="2027"/>
      <c r="O13" s="2028"/>
      <c r="P13" s="2027"/>
      <c r="Q13" s="2027"/>
      <c r="R13" s="2027"/>
    </row>
    <row r="14" spans="1:19" ht="18" customHeight="1">
      <c r="A14" s="2072"/>
      <c r="B14" s="2073"/>
      <c r="C14" s="2074" t="s">
        <v>1792</v>
      </c>
      <c r="D14" s="1050"/>
      <c r="E14" s="1050">
        <v>40</v>
      </c>
      <c r="F14" s="1050">
        <v>50</v>
      </c>
      <c r="G14" s="1050">
        <v>50</v>
      </c>
      <c r="H14" s="1050"/>
      <c r="I14" s="1050"/>
      <c r="J14" s="2040"/>
      <c r="K14" s="2076"/>
      <c r="L14" s="2026"/>
      <c r="M14" s="2026"/>
      <c r="N14" s="2027"/>
      <c r="O14" s="2028"/>
      <c r="P14" s="2027"/>
      <c r="Q14" s="2027"/>
      <c r="R14" s="2027"/>
    </row>
    <row r="15" spans="1:19" ht="18" customHeight="1">
      <c r="A15" s="2058"/>
      <c r="B15" s="2077"/>
      <c r="C15" s="2074" t="s">
        <v>1793</v>
      </c>
      <c r="D15" s="1049" t="str">
        <f>IF(B12="出让",IF(D13="","",ROUNDDOWN(MIN((D13-$D$3)/365,D14),2)),D14)</f>
        <v/>
      </c>
      <c r="E15" s="1049">
        <f>IF(B12="出让",IF(E13="","",ROUNDDOWN(MIN((E13-$D$3)/365,E14),2)),E14)</f>
        <v>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1794</v>
      </c>
      <c r="B16" s="3051"/>
      <c r="C16" s="3052"/>
      <c r="D16" s="3053"/>
      <c r="E16" s="2081" t="s">
        <v>1795</v>
      </c>
      <c r="F16" s="3054"/>
      <c r="G16" s="3055"/>
      <c r="H16" s="3055"/>
      <c r="I16" s="3056"/>
      <c r="J16" s="2027"/>
      <c r="K16" s="2078"/>
      <c r="L16" s="2079"/>
      <c r="M16" s="2079"/>
      <c r="N16" s="2080"/>
      <c r="O16" s="2079"/>
      <c r="P16" s="2080"/>
      <c r="Q16" s="2027"/>
      <c r="R16" s="2027"/>
    </row>
    <row r="17" spans="1:22" ht="18" customHeight="1">
      <c r="A17" s="2082" t="s">
        <v>1796</v>
      </c>
      <c r="B17" s="2033" t="s">
        <v>1797</v>
      </c>
      <c r="C17" s="1054">
        <f>'数据-汇总表'!E3</f>
        <v>9152.0400000000009</v>
      </c>
      <c r="D17" s="2083" t="s">
        <v>1798</v>
      </c>
      <c r="E17" s="3057"/>
      <c r="F17" s="3058"/>
      <c r="G17" s="3058"/>
      <c r="H17" s="3058"/>
      <c r="I17" s="3059"/>
      <c r="J17" s="2027"/>
      <c r="K17" s="2084"/>
      <c r="L17" s="2079"/>
      <c r="M17" s="2079"/>
      <c r="N17" s="2080"/>
      <c r="O17" s="2079"/>
      <c r="P17" s="2080"/>
      <c r="Q17" s="2027"/>
      <c r="R17" s="2027"/>
      <c r="S17" s="2027"/>
      <c r="T17" s="2027"/>
      <c r="U17" s="2027"/>
      <c r="V17" s="2027"/>
    </row>
    <row r="18" spans="1:22" ht="36" customHeight="1" thickBot="1">
      <c r="A18" s="2085" t="s">
        <v>1799</v>
      </c>
      <c r="B18" s="2036" t="s">
        <v>1800</v>
      </c>
      <c r="C18" s="1444">
        <f>'数据-汇总表'!D3</f>
        <v>0</v>
      </c>
      <c r="D18" s="2086" t="s">
        <v>1798</v>
      </c>
      <c r="E18" s="3060"/>
      <c r="F18" s="3061"/>
      <c r="G18" s="3061"/>
      <c r="H18" s="3061"/>
      <c r="I18" s="3062"/>
      <c r="J18" s="2027"/>
      <c r="K18" s="2084"/>
      <c r="L18" s="2079"/>
      <c r="M18" s="2079"/>
      <c r="N18" s="2080"/>
      <c r="O18" s="2079"/>
      <c r="P18" s="2080"/>
      <c r="Q18" s="2027"/>
      <c r="R18" s="2027"/>
      <c r="S18" s="2027"/>
      <c r="T18" s="2027"/>
      <c r="U18" s="2027"/>
      <c r="V18" s="2027"/>
    </row>
    <row r="19" spans="1:22" ht="37.5" customHeight="1" thickTop="1" thickBot="1">
      <c r="A19" s="373" t="s">
        <v>1801</v>
      </c>
      <c r="B19" s="352" t="s">
        <v>1802</v>
      </c>
      <c r="C19" s="2087"/>
      <c r="D19" s="2088" t="s">
        <v>1803</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1804</v>
      </c>
      <c r="B20" s="3047" t="s">
        <v>1805</v>
      </c>
      <c r="C20" s="3048"/>
      <c r="D20" s="3049" t="s">
        <v>1806</v>
      </c>
      <c r="E20" s="3050"/>
      <c r="F20" s="2093" t="s">
        <v>1807</v>
      </c>
      <c r="G20" s="2040"/>
      <c r="H20" s="2040"/>
      <c r="I20" s="2040"/>
      <c r="J20" s="2040"/>
      <c r="K20" s="3046"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1809</v>
      </c>
      <c r="C21" s="2095" t="s">
        <v>1810</v>
      </c>
      <c r="D21" s="2096"/>
      <c r="E21" s="2097" t="s">
        <v>1810</v>
      </c>
      <c r="F21" s="2098"/>
      <c r="G21" s="2040"/>
      <c r="H21" s="2040"/>
      <c r="I21" s="2040"/>
      <c r="J21" s="2040"/>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1811</v>
      </c>
      <c r="C22" s="2095" t="s">
        <v>1812</v>
      </c>
      <c r="D22" s="2024"/>
      <c r="E22" s="2024"/>
      <c r="F22" s="2100"/>
      <c r="G22" s="2040"/>
      <c r="H22" s="2040"/>
      <c r="I22" s="2040"/>
      <c r="J22" s="2040"/>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34" t="s">
        <v>1819</v>
      </c>
      <c r="B27" s="2058" t="s">
        <v>1820</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34"/>
      <c r="B28" s="2033" t="s">
        <v>1821</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34"/>
      <c r="B29" s="2033" t="s">
        <v>1822</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35"/>
      <c r="B30" s="2033" t="s">
        <v>1823</v>
      </c>
      <c r="C30" s="3036"/>
      <c r="D30" s="3037"/>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38" t="s">
        <v>1824</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39"/>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39"/>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9"/>
      <c r="C34" s="2129"/>
      <c r="D34" s="2129"/>
      <c r="E34" s="2129"/>
      <c r="F34" s="2129"/>
      <c r="G34" s="2129"/>
      <c r="H34" s="2129"/>
      <c r="I34" s="2040"/>
      <c r="J34" s="2040"/>
      <c r="K34" s="1794">
        <f>COUNTIF(B34:H34,"——")</f>
        <v>0</v>
      </c>
      <c r="L34" s="2070" t="s">
        <v>1826</v>
      </c>
      <c r="M34" s="2070" t="s">
        <v>1827</v>
      </c>
      <c r="N34" s="2070" t="s">
        <v>1828</v>
      </c>
      <c r="O34" s="2070" t="s">
        <v>1829</v>
      </c>
      <c r="P34" s="2070" t="s">
        <v>1830</v>
      </c>
      <c r="Q34" s="2070" t="s">
        <v>1831</v>
      </c>
      <c r="R34" s="2070" t="s">
        <v>1832</v>
      </c>
      <c r="S34" s="3033" t="s">
        <v>1833</v>
      </c>
      <c r="T34" s="2130" t="str">
        <f>NUMBERSTRING(7-K34,1)&amp;"通"</f>
        <v>七通</v>
      </c>
      <c r="U34" s="2027"/>
      <c r="V34" s="2027"/>
    </row>
    <row r="35" spans="1:22" ht="18" customHeight="1">
      <c r="A35" s="2131"/>
      <c r="B35" s="3040" t="s">
        <v>1834</v>
      </c>
      <c r="C35" s="3040"/>
      <c r="D35" s="3040"/>
      <c r="E35" s="3040"/>
      <c r="F35" s="2132">
        <f>C10</f>
        <v>0</v>
      </c>
      <c r="G35" s="2040"/>
      <c r="H35" s="2040"/>
      <c r="I35" s="2040"/>
      <c r="J35" s="2040"/>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7"/>
      <c r="V35" s="2027"/>
    </row>
    <row r="36" spans="1:22" ht="18" customHeight="1">
      <c r="A36" s="2133"/>
      <c r="B36" s="2132" t="s">
        <v>1835</v>
      </c>
      <c r="C36" s="2132" t="s">
        <v>1836</v>
      </c>
      <c r="D36" s="2132" t="s">
        <v>1837</v>
      </c>
      <c r="E36" s="2132" t="s">
        <v>1838</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1839</v>
      </c>
      <c r="B37" s="2136" t="s">
        <v>530</v>
      </c>
      <c r="C37" s="2136" t="s">
        <v>530</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1840</v>
      </c>
      <c r="B38" s="2138" t="s">
        <v>398</v>
      </c>
      <c r="C38" s="2138" t="s">
        <v>398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4" t="s">
        <v>1844</v>
      </c>
      <c r="C42" s="1794" t="s">
        <v>1845</v>
      </c>
      <c r="D42" s="1794" t="s">
        <v>1846</v>
      </c>
      <c r="E42" s="1794" t="s">
        <v>1847</v>
      </c>
      <c r="F42" s="1794" t="s">
        <v>1848</v>
      </c>
      <c r="G42" s="1794" t="s">
        <v>1849</v>
      </c>
      <c r="H42" s="1794" t="s">
        <v>1850</v>
      </c>
      <c r="I42" s="1794" t="s">
        <v>1851</v>
      </c>
      <c r="J42" s="2148" t="s">
        <v>1852</v>
      </c>
      <c r="K42" s="2071" t="s">
        <v>1853</v>
      </c>
      <c r="L42" s="2071" t="s">
        <v>1854</v>
      </c>
      <c r="M42" s="2071" t="s">
        <v>1855</v>
      </c>
      <c r="N42" s="1794" t="s">
        <v>1856</v>
      </c>
      <c r="O42" s="1794" t="s">
        <v>1857</v>
      </c>
      <c r="P42" s="1794" t="s">
        <v>1858</v>
      </c>
      <c r="Q42" s="2070" t="s">
        <v>1859</v>
      </c>
      <c r="R42" s="2070" t="s">
        <v>1860</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D13" sqref="AD13"/>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c r="B3" s="14">
        <f>IF(C3="否",G5-AT5,G5)</f>
        <v>9152.0400000000009</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1870</v>
      </c>
      <c r="B5" s="1802"/>
      <c r="C5" s="1802"/>
      <c r="D5" s="1805"/>
      <c r="E5" s="16" t="s">
        <v>1</v>
      </c>
      <c r="F5" s="16">
        <f>SUM(F13:F587)</f>
        <v>0</v>
      </c>
      <c r="G5" s="16">
        <f>SUM(G13:G587)</f>
        <v>9152.0400000000009</v>
      </c>
      <c r="H5" s="16">
        <f t="shared" ref="H5:AT5" si="0">SUM(H13:H656)</f>
        <v>9152.0400000000009</v>
      </c>
      <c r="I5" s="16">
        <f t="shared" si="0"/>
        <v>0</v>
      </c>
      <c r="J5" s="16">
        <f t="shared" si="0"/>
        <v>0</v>
      </c>
      <c r="K5" s="16">
        <f t="shared" si="0"/>
        <v>9152.0400000000009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9152.0400000000009</v>
      </c>
      <c r="BA5" s="18">
        <f t="shared" si="1"/>
        <v>9152.0400000000009</v>
      </c>
      <c r="BB5" s="18">
        <f t="shared" si="1"/>
        <v>0</v>
      </c>
      <c r="BC5" s="18">
        <f t="shared" si="1"/>
        <v>9152.0400000000009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1871</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1879</v>
      </c>
      <c r="AV7" s="23" t="s">
        <v>1880</v>
      </c>
      <c r="AW7" s="2162" t="s">
        <v>1881</v>
      </c>
      <c r="AX7" s="23" t="s">
        <v>1874</v>
      </c>
      <c r="AY7" s="1802"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7"/>
      <c r="K8" s="1817"/>
      <c r="L8" s="1817"/>
      <c r="M8" s="1817"/>
      <c r="N8" s="1817"/>
      <c r="O8" s="1817"/>
      <c r="P8" s="1817"/>
      <c r="Q8" s="1817"/>
      <c r="R8" s="1817"/>
      <c r="S8" s="1817"/>
      <c r="T8" s="1817"/>
      <c r="U8" s="1817"/>
      <c r="V8" s="2182"/>
      <c r="W8" s="1817"/>
      <c r="X8" s="1817"/>
      <c r="Y8" s="1817"/>
      <c r="Z8" s="1817"/>
      <c r="AA8" s="2182"/>
      <c r="AB8" s="2183"/>
      <c r="AC8" s="981" t="s">
        <v>1885</v>
      </c>
      <c r="AD8" s="2184"/>
      <c r="AE8" s="2176"/>
      <c r="AF8" s="1817"/>
      <c r="AG8" s="1817"/>
      <c r="AH8" s="1817"/>
      <c r="AI8" s="1817"/>
      <c r="AJ8" s="1817"/>
      <c r="AK8" s="1817"/>
      <c r="AL8" s="1817"/>
      <c r="AM8" s="1817"/>
      <c r="AN8" s="1817"/>
      <c r="AO8" s="1817"/>
      <c r="AP8" s="1817"/>
      <c r="AQ8" s="1817"/>
      <c r="AR8" s="1817"/>
      <c r="AS8" s="1817"/>
      <c r="AT8" s="1292" t="s">
        <v>1886</v>
      </c>
      <c r="AU8" s="2178" t="s">
        <v>1887</v>
      </c>
      <c r="AV8" s="1292"/>
      <c r="AW8" s="2161"/>
      <c r="AX8" s="1292"/>
      <c r="AY8" s="2162"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2"/>
      <c r="H9" s="2186" t="s">
        <v>1890</v>
      </c>
      <c r="I9" s="2187"/>
      <c r="J9" s="981"/>
      <c r="K9" s="2187" t="s">
        <v>3054</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7"/>
      <c r="BN9" s="2181"/>
      <c r="BO9" s="1817"/>
      <c r="BP9" s="1817"/>
      <c r="BQ9" s="1817"/>
      <c r="BR9" s="1817"/>
      <c r="BS9" s="1817"/>
      <c r="BT9" s="26"/>
    </row>
    <row r="10" spans="1:72" s="2185" customFormat="1" ht="13.2">
      <c r="A10" s="2178"/>
      <c r="B10" s="2178"/>
      <c r="C10" s="2178"/>
      <c r="D10" s="2178"/>
      <c r="E10" s="2178"/>
      <c r="F10" s="2178"/>
      <c r="G10" s="1292"/>
      <c r="H10" s="28"/>
      <c r="I10" s="2187"/>
      <c r="J10" s="981"/>
      <c r="K10" s="2193" t="s">
        <v>1372</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f>I9</f>
        <v>0</v>
      </c>
      <c r="BC10" s="29" t="str">
        <f>K9</f>
        <v>地下</v>
      </c>
      <c r="BD10" s="29">
        <f>M9</f>
        <v>0</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2"/>
      <c r="H11" s="2195"/>
      <c r="I11" s="2198"/>
      <c r="J11" s="2199"/>
      <c r="K11" s="2198" t="s">
        <v>3053</v>
      </c>
      <c r="L11" s="2199"/>
      <c r="M11" s="2198"/>
      <c r="N11" s="2199"/>
      <c r="O11" s="2198"/>
      <c r="P11" s="2199"/>
      <c r="Q11" s="2198"/>
      <c r="R11" s="2199"/>
      <c r="S11" s="2198"/>
      <c r="T11" s="2199"/>
      <c r="U11" s="2198"/>
      <c r="V11" s="2199"/>
      <c r="W11" s="2198"/>
      <c r="X11" s="2199"/>
      <c r="Y11" s="2198"/>
      <c r="Z11" s="2199"/>
      <c r="AA11" s="2198"/>
      <c r="AB11" s="2199"/>
      <c r="AC11" s="1292"/>
      <c r="AD11" s="2200" t="s">
        <v>1900</v>
      </c>
      <c r="AE11" s="1818"/>
      <c r="AF11" s="2200" t="s">
        <v>1900</v>
      </c>
      <c r="AG11" s="1818"/>
      <c r="AH11" s="2200" t="s">
        <v>1901</v>
      </c>
      <c r="AI11" s="2201"/>
      <c r="AJ11" s="2200" t="s">
        <v>1901</v>
      </c>
      <c r="AK11" s="1818"/>
      <c r="AL11" s="1816"/>
      <c r="AM11" s="1818"/>
      <c r="AN11" s="1816"/>
      <c r="AO11" s="1818"/>
      <c r="AP11" s="1816"/>
      <c r="AQ11" s="1818"/>
      <c r="AR11" s="1816"/>
      <c r="AS11" s="1818"/>
      <c r="AT11" s="2161"/>
      <c r="AU11" s="2178"/>
      <c r="AV11" s="1292"/>
      <c r="AW11" s="2161"/>
      <c r="AX11" s="1292"/>
      <c r="AY11" s="28"/>
      <c r="AZ11" s="28"/>
      <c r="BA11" s="28"/>
      <c r="BB11" s="2183">
        <f>I10</f>
        <v>0</v>
      </c>
      <c r="BC11" s="2183" t="str">
        <f>K10</f>
        <v>商业</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5"/>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f>I11</f>
        <v>0</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2"/>
      <c r="B13" s="1272"/>
      <c r="C13" s="1272" t="s">
        <v>3056</v>
      </c>
      <c r="D13" s="2209" t="s">
        <v>3055</v>
      </c>
      <c r="E13" s="16">
        <f>IF($C$3="是",ROUND($A$3*G13/$B$3,2),ROUND($A$3*(G13-AT13)/$B$3,2))</f>
        <v>0</v>
      </c>
      <c r="F13" s="32"/>
      <c r="G13" s="33">
        <f>H13+AC13+AT13</f>
        <v>9152.0400000000009</v>
      </c>
      <c r="H13" s="20">
        <f>SUMIF(I$12:AB$12,"总值",I13:AB13)</f>
        <v>9152.0400000000009</v>
      </c>
      <c r="I13" s="2210"/>
      <c r="J13" s="2210"/>
      <c r="K13" s="2210">
        <v>9152.0400000000009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5">
        <f>ROUND($AY$6*AZ13/$AZ$5,2)</f>
        <v>0</v>
      </c>
      <c r="AZ13" s="16">
        <f>BA13+BL13</f>
        <v>9152.0400000000009</v>
      </c>
      <c r="BA13" s="16">
        <f>SUM(BB13:BK13)</f>
        <v>9152.0400000000009</v>
      </c>
      <c r="BB13" s="16">
        <f>IF($D13="是",I13-J13,0)</f>
        <v>0</v>
      </c>
      <c r="BC13" s="16">
        <f>IF($D13="是",K13-L13,0)</f>
        <v>9152.0400000000009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46.8">
      <c r="A3" s="3063"/>
      <c r="B3" s="3063"/>
      <c r="C3" s="3063"/>
      <c r="D3" s="3064"/>
      <c r="E3" s="306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1929</v>
      </c>
      <c r="B1" s="1392"/>
      <c r="C1" s="1392"/>
      <c r="D1" s="1392"/>
      <c r="E1" s="1392"/>
      <c r="F1" s="1392"/>
      <c r="G1" s="1392"/>
      <c r="H1" s="1392"/>
      <c r="I1" s="1392"/>
      <c r="J1" s="1392"/>
      <c r="K1" s="1392"/>
      <c r="L1" s="1392"/>
      <c r="M1" s="1392"/>
      <c r="N1" s="1392"/>
      <c r="O1" s="1392"/>
      <c r="P1" s="1392"/>
    </row>
    <row r="2" spans="1:16" ht="14.4">
      <c r="A2" s="3074" t="s">
        <v>1930</v>
      </c>
      <c r="B2" s="3074"/>
      <c r="C2" s="3074"/>
      <c r="D2" s="967" t="s">
        <v>1906</v>
      </c>
      <c r="E2" s="2223" t="s">
        <v>1907</v>
      </c>
      <c r="F2" s="1392"/>
      <c r="G2" s="2224"/>
      <c r="H2" s="2225"/>
      <c r="I2" s="2226" t="s">
        <v>1931</v>
      </c>
      <c r="J2" s="1392"/>
      <c r="K2" s="1392"/>
      <c r="L2" s="1392"/>
      <c r="M2" s="1392"/>
      <c r="N2" s="1427"/>
      <c r="O2" s="1392"/>
      <c r="P2" s="1392"/>
    </row>
    <row r="3" spans="1:16" ht="15" thickBot="1">
      <c r="A3" s="3075" t="s">
        <v>1904</v>
      </c>
      <c r="B3" s="3075"/>
      <c r="C3" s="3075"/>
      <c r="D3" s="46">
        <f>'数据-基础表'!AY6</f>
        <v>0</v>
      </c>
      <c r="E3" s="46">
        <f>'数据-基础表'!AZ5</f>
        <v>9152.0400000000009</v>
      </c>
      <c r="F3" s="1392"/>
      <c r="G3" s="1399"/>
      <c r="H3" s="1247" t="s">
        <v>1905</v>
      </c>
      <c r="I3" s="55" t="e">
        <f>ROUND('数据-基础表'!B3/'数据-基础表'!A3,2)</f>
        <v>#DIV/0!</v>
      </c>
      <c r="J3" s="1392"/>
      <c r="K3" s="1392"/>
      <c r="L3" s="1392"/>
      <c r="M3" s="1392"/>
      <c r="N3" s="1427"/>
      <c r="O3" s="1392"/>
      <c r="P3" s="1392"/>
    </row>
    <row r="4" spans="1:16" ht="14.4">
      <c r="A4" s="3076"/>
      <c r="B4" s="3077"/>
      <c r="C4" s="3078"/>
      <c r="D4" s="2227" t="s">
        <v>1906</v>
      </c>
      <c r="E4" s="2228" t="s">
        <v>1907</v>
      </c>
      <c r="F4" s="1392"/>
      <c r="G4" s="2229" t="s">
        <v>1932</v>
      </c>
      <c r="H4" s="1247" t="s">
        <v>1912</v>
      </c>
      <c r="I4" s="55" t="e">
        <f>ROUND(SUMIF('数据-基础表'!I9:AS9,"地上",'数据-基础表'!I5:AS5)/'数据-基础表'!A3,2)</f>
        <v>#DIV/0!</v>
      </c>
      <c r="J4" s="1392"/>
      <c r="K4" s="1392"/>
      <c r="L4" s="1392"/>
      <c r="M4" s="1392"/>
      <c r="N4" s="1427"/>
      <c r="O4" s="1392"/>
      <c r="P4" s="1392"/>
    </row>
    <row r="5" spans="1:16" ht="14.4">
      <c r="A5" s="47" t="s">
        <v>1908</v>
      </c>
      <c r="B5" s="3079" t="s">
        <v>1909</v>
      </c>
      <c r="C5" s="3079"/>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0"/>
      <c r="B6" s="3079" t="s">
        <v>1910</v>
      </c>
      <c r="C6" s="3079"/>
      <c r="D6" s="48">
        <f>ROUND($D$3*E6/$E$3,2)</f>
        <v>0</v>
      </c>
      <c r="E6" s="49">
        <f>E3-E5</f>
        <v>9152.0400000000009</v>
      </c>
      <c r="F6" s="1392"/>
      <c r="G6" s="2231" t="s">
        <v>1911</v>
      </c>
      <c r="H6" s="1399" t="s">
        <v>1912</v>
      </c>
      <c r="I6" s="939" t="e">
        <f>ROUND(F31/D31,2)</f>
        <v>#DIV/0!</v>
      </c>
      <c r="J6" s="1392"/>
      <c r="K6" s="1392"/>
      <c r="L6" s="1392"/>
      <c r="M6" s="1392"/>
      <c r="N6" s="1392"/>
      <c r="O6" s="1392"/>
      <c r="P6" s="1392"/>
    </row>
    <row r="7" spans="1:16" ht="14.4">
      <c r="A7" s="3071"/>
      <c r="B7" s="3072"/>
      <c r="C7" s="3073"/>
      <c r="D7" s="2227" t="s">
        <v>1906</v>
      </c>
      <c r="E7" s="2232" t="s">
        <v>1913</v>
      </c>
      <c r="F7" s="1392"/>
      <c r="G7" s="2224" t="s">
        <v>1914</v>
      </c>
      <c r="H7" s="64"/>
      <c r="I7" s="420">
        <v>2</v>
      </c>
      <c r="J7" s="1392"/>
      <c r="K7" s="1392"/>
      <c r="L7" s="1392"/>
      <c r="M7" s="1392"/>
      <c r="N7" s="1392"/>
      <c r="O7" s="1392"/>
      <c r="P7" s="1392"/>
    </row>
    <row r="8" spans="1:16" ht="14.4">
      <c r="A8" s="47" t="s">
        <v>1915</v>
      </c>
      <c r="B8" s="50" t="s">
        <v>1916</v>
      </c>
      <c r="C8" s="48" t="s">
        <v>1917</v>
      </c>
      <c r="D8" s="48">
        <f t="shared" ref="D8:D15" si="0">ROUND($D$3*E8/$E$3,2)</f>
        <v>0</v>
      </c>
      <c r="E8" s="51">
        <f>SUMIF('数据-基础表'!BB10:BK10,"地上",'数据-基础表'!BB5:BK5)</f>
        <v>0</v>
      </c>
      <c r="F8" s="1392"/>
      <c r="G8" s="2233"/>
      <c r="H8" s="2233"/>
      <c r="I8" s="1392"/>
      <c r="J8" s="1392"/>
      <c r="K8" s="1392"/>
      <c r="L8" s="1392"/>
      <c r="M8" s="1392"/>
      <c r="N8" s="1392"/>
      <c r="O8" s="1392"/>
      <c r="P8" s="1392"/>
    </row>
    <row r="9" spans="1:16" ht="14.4">
      <c r="A9" s="2234"/>
      <c r="B9" s="2235"/>
      <c r="C9" s="48" t="s">
        <v>1918</v>
      </c>
      <c r="D9" s="48">
        <f t="shared" si="0"/>
        <v>0</v>
      </c>
      <c r="E9" s="52">
        <v>0</v>
      </c>
      <c r="F9" s="1392"/>
      <c r="G9" s="2233"/>
      <c r="H9" s="2233"/>
      <c r="I9" s="1392"/>
      <c r="J9" s="1392"/>
      <c r="K9" s="1392"/>
      <c r="L9" s="1392"/>
      <c r="M9" s="1392"/>
      <c r="N9" s="1392"/>
      <c r="O9" s="1392"/>
      <c r="P9" s="1392"/>
    </row>
    <row r="10" spans="1:16" ht="14.4">
      <c r="A10" s="2234"/>
      <c r="B10" s="2235"/>
      <c r="C10" s="48" t="s">
        <v>1927</v>
      </c>
      <c r="D10" s="48">
        <f t="shared" si="0"/>
        <v>0</v>
      </c>
      <c r="E10" s="51">
        <f>SUMPRODUCT(('数据-基础表'!BB10:BK10="地下")*('数据-基础表'!BB11:BK11="商业")*('数据-基础表'!BB5:BK5))</f>
        <v>9152.0400000000009</v>
      </c>
      <c r="F10" s="1392"/>
      <c r="G10" s="2233"/>
      <c r="H10" s="2233"/>
      <c r="I10" s="1392"/>
      <c r="J10" s="1392"/>
      <c r="K10" s="1392"/>
      <c r="L10" s="1392"/>
      <c r="M10" s="1392"/>
      <c r="N10" s="1392"/>
      <c r="O10" s="1392"/>
      <c r="P10" s="1392"/>
    </row>
    <row r="11" spans="1:16" ht="14.4">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1922</v>
      </c>
      <c r="D16" s="50">
        <f>SUM(D8:D15)</f>
        <v>0</v>
      </c>
      <c r="E16" s="53">
        <f>SUM(E8:E15)</f>
        <v>9152.0400000000009</v>
      </c>
      <c r="F16" s="1392"/>
      <c r="G16" s="2233"/>
      <c r="H16" s="2236" t="s">
        <v>1934</v>
      </c>
      <c r="I16" s="2237"/>
      <c r="J16" s="1392"/>
      <c r="K16" s="3068" t="s">
        <v>1934</v>
      </c>
      <c r="L16" s="3069"/>
      <c r="M16" s="3069"/>
      <c r="N16" s="3069"/>
      <c r="O16" s="3069"/>
      <c r="P16" s="3070"/>
    </row>
    <row r="17" spans="1:19" ht="14.4">
      <c r="A17" s="2238" t="s">
        <v>1935</v>
      </c>
      <c r="B17" s="2239" t="s">
        <v>1936</v>
      </c>
      <c r="C17" s="2240" t="s">
        <v>1937</v>
      </c>
      <c r="D17" s="2241" t="s">
        <v>1925</v>
      </c>
      <c r="E17" s="2242" t="s">
        <v>1926</v>
      </c>
      <c r="F17" s="2243"/>
      <c r="G17" s="2244"/>
      <c r="H17" s="2245" t="s">
        <v>1938</v>
      </c>
      <c r="I17" s="2246" t="s">
        <v>1923</v>
      </c>
      <c r="J17" s="1392"/>
      <c r="K17" s="3065" t="s">
        <v>1939</v>
      </c>
      <c r="L17" s="3066"/>
      <c r="M17" s="3067"/>
      <c r="N17" s="3065" t="s">
        <v>1940</v>
      </c>
      <c r="O17" s="3066"/>
      <c r="P17" s="3067"/>
      <c r="R17" s="2224" t="s">
        <v>1941</v>
      </c>
      <c r="S17" s="64"/>
    </row>
    <row r="18" spans="1:19" ht="14.4">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ht="14.4">
      <c r="A19" s="2255"/>
      <c r="B19" s="50" t="s">
        <v>1924</v>
      </c>
      <c r="C19" s="2954" t="s">
        <v>3239</v>
      </c>
      <c r="D19" s="48">
        <f>ROUND($D$3*E19/$E$3,2)</f>
        <v>0</v>
      </c>
      <c r="E19" s="56">
        <f t="shared" ref="E19:E26" si="1">SUM(F19:G19)</f>
        <v>9152.0400000000009</v>
      </c>
      <c r="F19" s="57"/>
      <c r="G19" s="58">
        <f>'数据-基础表'!K13</f>
        <v>9152.0400000000009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9152.0400000000009</v>
      </c>
    </row>
    <row r="20" spans="1:19" ht="14.4">
      <c r="A20" s="2259"/>
      <c r="B20" s="50" t="s">
        <v>1952</v>
      </c>
      <c r="C20" s="29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ht="14.4">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1953</v>
      </c>
      <c r="D27" s="1393">
        <f>SUM(D19:D26)</f>
        <v>0</v>
      </c>
      <c r="E27" s="1394">
        <f>IF(SUM(E19:E26)='数据-基础表'!BA5,SUM(E19:E26),IF(F27="地上面积有误","面积有误","地下面积有误"))</f>
        <v>9152.0400000000009</v>
      </c>
      <c r="F27" s="1393">
        <f>IF(SUM(F19:F26)=E8,SUM(F19:F26),"地上面积有误")</f>
        <v>0</v>
      </c>
      <c r="G27" s="1395">
        <f>SUM(G19:G26)</f>
        <v>9152.0400000000009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9152.0400000000009</v>
      </c>
    </row>
    <row r="28" spans="1:19" ht="14.4">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5"/>
      <c r="B31" s="2266"/>
      <c r="C31" s="1007" t="s">
        <v>1957</v>
      </c>
      <c r="D31" s="729">
        <f>D27+D30</f>
        <v>0</v>
      </c>
      <c r="E31" s="729">
        <f>E27+E30</f>
        <v>9152.0400000000009</v>
      </c>
      <c r="F31" s="730">
        <f>F27+F30</f>
        <v>0</v>
      </c>
      <c r="G31" s="731">
        <f>G27+G30</f>
        <v>9152.0400000000009</v>
      </c>
      <c r="H31" s="1392"/>
      <c r="I31" s="1392"/>
      <c r="J31" s="1392"/>
      <c r="K31" s="1392"/>
      <c r="L31" s="1392"/>
      <c r="M31" s="1392"/>
      <c r="N31" s="1392"/>
      <c r="O31" s="1392"/>
      <c r="P31" s="1392"/>
    </row>
    <row r="32" spans="1:19" ht="14.4">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A6" sqref="AA6"/>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3" width="7.21875" style="2271" customWidth="1"/>
    <col min="34" max="34" width="9.664062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1959</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2" t="s">
        <v>1960</v>
      </c>
      <c r="B2" s="1266">
        <f>项目基本情况!D3</f>
        <v>44000</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3.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3057</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2" t="str">
        <f>'数据-汇总表'!C19</f>
        <v>超市</v>
      </c>
      <c r="B6" s="2303" t="str">
        <f>IF(A6=0,"","经营性")</f>
        <v>经营性</v>
      </c>
      <c r="C6" s="2304" t="s">
        <v>1372</v>
      </c>
      <c r="D6" s="1051">
        <f>SUMIF(项目基本情况!D$12:I$12,C6,项目基本情况!D$14:I$14)</f>
        <v>40</v>
      </c>
      <c r="E6" s="1048">
        <f>IF(B6="","",SUMIF(项目基本情况!D$12:I$12,C6,项目基本情况!D$13:I$13))</f>
        <v>55536</v>
      </c>
      <c r="F6" s="72">
        <f>SUMIF(项目基本情况!D$12:I$12,C6,项目基本情况!D$15:I$15)</f>
        <v>31.6</v>
      </c>
      <c r="G6" s="73">
        <f>IF(ISERROR(ROUND(POWER(1+H6,D6-F6)*(POWER(1+H6,F6)-1)/(POWER(1+H6,D6)-1),3)),0,ROUND(POWER(1+H6,D6-F6)*(POWER(1+H6,F6)-1)/(POWER(1+H6,D6)-1),3))</f>
        <v>0.92400000000000004</v>
      </c>
      <c r="H6" s="802">
        <v>5.5E-2</v>
      </c>
      <c r="I6" s="802">
        <v>0.06</v>
      </c>
      <c r="J6" s="74">
        <v>0.08</v>
      </c>
      <c r="K6" s="1251">
        <f>SUMIF('数据-汇总表'!C$19:C$33,A6,'数据-汇总表'!E$19:E$33)</f>
        <v>9152.0400000000009</v>
      </c>
      <c r="L6" s="3318">
        <v>3500</v>
      </c>
      <c r="M6" s="75">
        <f t="shared" ref="M6:M14" si="0">ROUND(K6*L6/10000,0)</f>
        <v>3203</v>
      </c>
      <c r="N6" s="801">
        <f>ROUND(1-(2020-N18)/60,2)</f>
        <v>0.9</v>
      </c>
      <c r="O6" s="75" t="str">
        <f>IF($N$5="成新度","——",ROUND(M6*N6,0))</f>
        <v>——</v>
      </c>
      <c r="P6" s="76" t="str">
        <f>IF($N$5="成新度","——",M6-O6)</f>
        <v>——</v>
      </c>
      <c r="Q6" s="3319">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租约!H16</f>
        <v>1.3</v>
      </c>
      <c r="V6" s="79">
        <v>0</v>
      </c>
      <c r="W6" s="79">
        <v>0</v>
      </c>
      <c r="X6" s="1261"/>
      <c r="Y6" s="80">
        <f>N6</f>
        <v>0.9</v>
      </c>
      <c r="Z6" s="2983">
        <v>1.8</v>
      </c>
      <c r="AA6" s="3328">
        <v>0</v>
      </c>
      <c r="AB6" s="74">
        <v>0.1</v>
      </c>
      <c r="AC6" s="1261"/>
      <c r="AD6" s="82">
        <f>ROUND(1-19/60,2)</f>
        <v>0.68</v>
      </c>
      <c r="AE6" s="1262">
        <f ca="1">IF(AN6="",0,SUMIF(INDIRECT("'"&amp;AN6&amp;"'"&amp;"!E:E"),$AE$5,INDIRECT("'"&amp;AN6&amp;"'"&amp;"!F:F")))</f>
        <v>31.6</v>
      </c>
      <c r="AF6" s="1803">
        <f>租约!G16</f>
        <v>14.07</v>
      </c>
      <c r="AG6" s="147">
        <f ca="1">IF(AF6="",0,AE6-AF6)</f>
        <v>17.53</v>
      </c>
      <c r="AH6" s="83"/>
      <c r="AI6" s="85">
        <v>365</v>
      </c>
      <c r="AJ6" s="86"/>
      <c r="AK6" s="3321">
        <v>0.01</v>
      </c>
      <c r="AL6" s="88">
        <v>1.5E-3</v>
      </c>
      <c r="AM6" s="89">
        <v>1.4999999999999999E-2</v>
      </c>
      <c r="AN6" s="2305" t="s">
        <v>3058</v>
      </c>
      <c r="AO6" s="55">
        <f ca="1">SUMIF(INDIRECT("'"&amp;AN6&amp;"'"&amp;"!A:A"),"总价",INDIRECT("'"&amp;AN6&amp;"'"&amp;"!B:B"))</f>
        <v>4853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2008</v>
      </c>
      <c r="B16" s="97"/>
      <c r="C16" s="1005"/>
      <c r="D16" s="2310"/>
      <c r="E16" s="97"/>
      <c r="F16" s="97"/>
      <c r="G16" s="98">
        <f>ROUND(SUMPRODUCT(G6:G13,K6:K13)/SUMPRODUCT((G6:G13&gt;0)*(K6:K13)),3)</f>
        <v>0.92400000000000004</v>
      </c>
      <c r="H16" s="99">
        <f>ROUND(SUMPRODUCT(H6:H13,K6:K13)/SUMPRODUCT((H6:H13&gt;0)*(K6:K13)),3)</f>
        <v>5.5E-2</v>
      </c>
      <c r="I16" s="100"/>
      <c r="J16" s="100"/>
      <c r="K16" s="101">
        <f>SUM(K6:K15)</f>
        <v>9152.0400000000009</v>
      </c>
      <c r="L16" s="102">
        <f>ROUND(M16*10000/SUM(K6:K14),0)</f>
        <v>3500</v>
      </c>
      <c r="M16" s="102">
        <f>SUM(M6:M14)</f>
        <v>3203</v>
      </c>
      <c r="N16" s="103">
        <f>ROUND(SUMPRODUCT(M6:M14,N6:N14)/M16,3)</f>
        <v>0.9</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6"/>
      <c r="C18" s="2273"/>
      <c r="D18" s="2274"/>
      <c r="E18" s="2273"/>
      <c r="F18" s="2273"/>
      <c r="G18" s="2273"/>
      <c r="H18" s="2273"/>
      <c r="I18" s="2273"/>
      <c r="J18" s="2273"/>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2010</v>
      </c>
      <c r="B19" s="112">
        <v>0</v>
      </c>
      <c r="C19" s="2273" t="s">
        <v>2011</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v>2034</v>
      </c>
      <c r="AE19" s="1580"/>
      <c r="AF19" s="1580"/>
      <c r="AG19" s="1580"/>
      <c r="AH19" s="1580"/>
      <c r="AI19" s="1580"/>
      <c r="AJ19" s="1580"/>
      <c r="AK19" s="1580"/>
      <c r="AL19" s="1580"/>
      <c r="AM19" s="1580"/>
    </row>
    <row r="20" spans="1:67" ht="14.4">
      <c r="A20" s="2313" t="s">
        <v>2012</v>
      </c>
      <c r="B20" s="113">
        <v>2</v>
      </c>
      <c r="C20" s="2273" t="s">
        <v>2013</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v>2015</v>
      </c>
      <c r="AE20" s="1580"/>
      <c r="AF20" s="1580"/>
      <c r="AG20" s="1580"/>
      <c r="AH20" s="1580"/>
      <c r="AI20" s="1580"/>
      <c r="AJ20" s="1580"/>
      <c r="AK20" s="1580"/>
      <c r="AL20" s="1580"/>
      <c r="AM20" s="1580"/>
    </row>
    <row r="21" spans="1:67" ht="14.4">
      <c r="A21" s="2314" t="s">
        <v>2014</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f>AD19-AD20</f>
        <v>19</v>
      </c>
      <c r="AE21" s="1580"/>
      <c r="AF21" s="1580"/>
      <c r="AG21" s="1580"/>
      <c r="AH21" s="1580"/>
      <c r="AI21" s="1580"/>
      <c r="AJ21" s="1580"/>
      <c r="AK21" s="1580"/>
      <c r="AL21" s="1580"/>
      <c r="AM21" s="1580"/>
    </row>
    <row r="22" spans="1:67" ht="14.4">
      <c r="A22" s="2313" t="s">
        <v>2015</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2016</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2017</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2018</v>
      </c>
      <c r="B26" s="2316" t="s">
        <v>2019</v>
      </c>
      <c r="C26" s="2317" t="s">
        <v>2020</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2021</v>
      </c>
      <c r="B27" s="116">
        <v>150</v>
      </c>
      <c r="C27" s="1763" t="s">
        <v>2022</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2023</v>
      </c>
      <c r="B28" s="119">
        <v>190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2024</v>
      </c>
      <c r="B29" s="121">
        <f ca="1">成本法!C10</f>
        <v>174</v>
      </c>
      <c r="C29" s="1763" t="s">
        <v>2025</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2026</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2027</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2028</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2029</v>
      </c>
      <c r="B33" s="726">
        <v>0.03</v>
      </c>
      <c r="C33" s="1762" t="s">
        <v>2030</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2031</v>
      </c>
      <c r="B34" s="122">
        <v>0</v>
      </c>
      <c r="C34" s="1762" t="s">
        <v>2032</v>
      </c>
      <c r="D34" s="2274" t="s">
        <v>2033</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2034</v>
      </c>
      <c r="B35" s="119">
        <v>200</v>
      </c>
      <c r="C35" s="1762" t="s">
        <v>2035</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2" t="s">
        <v>2037</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2038</v>
      </c>
      <c r="B37" s="124">
        <v>0.02</v>
      </c>
      <c r="C37" s="1762" t="s">
        <v>2039</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2040</v>
      </c>
      <c r="B38" s="3326">
        <v>0.01</v>
      </c>
      <c r="C38" s="1762" t="s">
        <v>2039</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2041</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2042</v>
      </c>
      <c r="B40" s="1300">
        <f ca="1">存贷款利率!G1</f>
        <v>4.7500000000000001E-2</v>
      </c>
      <c r="C40" s="1762" t="s">
        <v>2043</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2044</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2045</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2046</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2047</v>
      </c>
      <c r="B44" s="128">
        <v>0.05</v>
      </c>
      <c r="C44" s="1762" t="s">
        <v>2048</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2049</v>
      </c>
      <c r="B45" s="126">
        <v>0.03</v>
      </c>
      <c r="C45" s="1763" t="s">
        <v>2050</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2051</v>
      </c>
      <c r="B46" s="126">
        <v>0.02</v>
      </c>
      <c r="C46" s="1763" t="s">
        <v>2052</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2053</v>
      </c>
      <c r="B47" s="129"/>
      <c r="C47" s="1763" t="s">
        <v>2054</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2055</v>
      </c>
      <c r="B48" s="130">
        <v>0.03</v>
      </c>
      <c r="C48" s="1770" t="s">
        <v>2056</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2057</v>
      </c>
      <c r="B49" s="126">
        <v>5.0000000000000001E-4</v>
      </c>
      <c r="C49" s="1770" t="s">
        <v>2058</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2059</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2060</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2061</v>
      </c>
      <c r="B52" s="133">
        <f>SUMIF(A54:A63,B53,B54:B63)</f>
        <v>1.5</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2062</v>
      </c>
      <c r="B53" s="2332" t="s">
        <v>56</v>
      </c>
      <c r="C53" s="1427" t="s">
        <v>2063</v>
      </c>
      <c r="D53" s="2333" t="s">
        <v>2064</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2065</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2066</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2067</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2068</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2069</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2070</v>
      </c>
      <c r="B59" s="84">
        <v>1.5</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2071</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2072</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2073</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2074</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80" t="s">
        <v>2075</v>
      </c>
      <c r="B1" s="3081"/>
      <c r="C1" s="3081"/>
      <c r="D1" s="3081"/>
      <c r="E1" s="3081"/>
      <c r="F1" s="3081"/>
      <c r="G1" s="308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2076</v>
      </c>
      <c r="D2" s="2361"/>
      <c r="E2" s="2362"/>
      <c r="F2" s="2282"/>
      <c r="G2" s="2360" t="s">
        <v>2077</v>
      </c>
      <c r="H2" s="2363"/>
      <c r="I2" s="2363"/>
      <c r="J2" s="2363"/>
      <c r="K2" s="2363"/>
      <c r="L2" s="2363"/>
      <c r="M2" s="2363"/>
      <c r="N2" s="2363"/>
      <c r="O2" s="2363"/>
      <c r="P2" s="2363"/>
      <c r="Q2" s="2363"/>
      <c r="R2" s="2363"/>
    </row>
    <row r="3" spans="1:29" ht="43.2">
      <c r="A3" s="415" t="s">
        <v>2078</v>
      </c>
      <c r="B3" s="1268" t="s">
        <v>2079</v>
      </c>
      <c r="C3" s="2365"/>
      <c r="D3" s="2366"/>
      <c r="E3" s="431" t="s">
        <v>2078</v>
      </c>
      <c r="F3" s="2367" t="s">
        <v>2080</v>
      </c>
      <c r="G3" s="2368" t="s">
        <v>2081</v>
      </c>
      <c r="H3" s="2363"/>
      <c r="I3" s="2363"/>
      <c r="J3" s="2363"/>
      <c r="K3" s="2363"/>
      <c r="L3" s="2363"/>
      <c r="M3" s="2363"/>
      <c r="N3" s="2363"/>
      <c r="O3" s="2363"/>
      <c r="P3" s="2363"/>
      <c r="Q3" s="2363"/>
      <c r="R3" s="2363"/>
    </row>
    <row r="4" spans="1:29" ht="43.2">
      <c r="A4" s="431"/>
      <c r="B4" s="1794" t="s">
        <v>2082</v>
      </c>
      <c r="C4" s="2985" t="s">
        <v>3258</v>
      </c>
      <c r="D4" s="2366"/>
      <c r="E4" s="2370"/>
      <c r="F4" s="42" t="s">
        <v>2083</v>
      </c>
      <c r="G4" s="2371" t="s">
        <v>2084</v>
      </c>
      <c r="H4" s="2363"/>
      <c r="I4" s="2363"/>
      <c r="J4" s="2363"/>
      <c r="K4" s="2363"/>
      <c r="L4" s="2363"/>
      <c r="M4" s="2363"/>
      <c r="N4" s="2363"/>
      <c r="O4" s="2363"/>
      <c r="P4" s="2363"/>
      <c r="Q4" s="2363"/>
      <c r="R4" s="2363"/>
    </row>
    <row r="5" spans="1:29" ht="28.8">
      <c r="A5" s="431"/>
      <c r="B5" s="1794" t="s">
        <v>2085</v>
      </c>
      <c r="C5" s="2369"/>
      <c r="D5" s="2366"/>
      <c r="E5" s="2370"/>
      <c r="F5" s="1794" t="s">
        <v>2086</v>
      </c>
      <c r="G5" s="2371" t="s">
        <v>2087</v>
      </c>
      <c r="H5" s="2363"/>
      <c r="I5" s="2363"/>
      <c r="J5" s="2363"/>
      <c r="K5" s="2363"/>
      <c r="L5" s="2363"/>
      <c r="M5" s="2363"/>
      <c r="N5" s="2363"/>
      <c r="O5" s="2363"/>
      <c r="P5" s="2363"/>
      <c r="Q5" s="2363"/>
      <c r="R5" s="2363"/>
    </row>
    <row r="6" spans="1:29" ht="28.8">
      <c r="A6" s="431"/>
      <c r="B6" s="1794" t="s">
        <v>2088</v>
      </c>
      <c r="C6" s="2986" t="s">
        <v>3258</v>
      </c>
      <c r="D6" s="2366"/>
      <c r="E6" s="2370"/>
      <c r="F6" s="1794" t="s">
        <v>2089</v>
      </c>
      <c r="G6" s="2371" t="s">
        <v>2090</v>
      </c>
      <c r="H6" s="2363"/>
      <c r="I6" s="2363"/>
      <c r="J6" s="2363"/>
      <c r="K6" s="2363"/>
      <c r="L6" s="2363"/>
      <c r="M6" s="2363"/>
      <c r="N6" s="2363"/>
      <c r="O6" s="2363"/>
      <c r="P6" s="2363"/>
      <c r="Q6" s="2363"/>
      <c r="R6" s="2363"/>
    </row>
    <row r="7" spans="1:29" ht="43.8" thickBot="1">
      <c r="A7" s="431"/>
      <c r="B7" s="1794" t="s">
        <v>2086</v>
      </c>
      <c r="C7" s="2986" t="s">
        <v>3258</v>
      </c>
      <c r="D7" s="2372"/>
      <c r="E7" s="2373"/>
      <c r="F7" s="2374" t="s">
        <v>2091</v>
      </c>
      <c r="G7" s="2375" t="s">
        <v>2092</v>
      </c>
      <c r="H7" s="2363"/>
      <c r="I7" s="2363"/>
      <c r="J7" s="2363"/>
      <c r="K7" s="2363"/>
      <c r="L7" s="2363"/>
      <c r="M7" s="2363"/>
      <c r="N7" s="2363"/>
      <c r="O7" s="2363"/>
      <c r="P7" s="2363"/>
      <c r="Q7" s="2363"/>
      <c r="R7" s="2363"/>
    </row>
    <row r="8" spans="1:29" ht="14.4">
      <c r="A8" s="431"/>
      <c r="B8" s="1794" t="s">
        <v>2089</v>
      </c>
      <c r="C8" s="2986" t="s">
        <v>3259</v>
      </c>
      <c r="D8" s="2372"/>
      <c r="E8" s="2372"/>
      <c r="F8" s="1133"/>
      <c r="G8" s="1133"/>
      <c r="H8" s="2363"/>
      <c r="I8" s="2363"/>
      <c r="J8" s="2363"/>
      <c r="K8" s="2363"/>
      <c r="L8" s="2363"/>
      <c r="M8" s="2363"/>
      <c r="N8" s="2363"/>
      <c r="O8" s="2363"/>
      <c r="P8" s="2363"/>
      <c r="Q8" s="2363"/>
      <c r="R8" s="2363"/>
    </row>
    <row r="9" spans="1:29" ht="14.4">
      <c r="A9" s="431"/>
      <c r="B9" s="1794" t="s">
        <v>2093</v>
      </c>
      <c r="C9" s="2985" t="s">
        <v>3258</v>
      </c>
      <c r="D9" s="2366"/>
      <c r="E9" s="2372"/>
      <c r="F9" s="1133"/>
      <c r="G9" s="1133"/>
      <c r="H9" s="2363"/>
      <c r="I9" s="2363"/>
      <c r="J9" s="2363"/>
      <c r="K9" s="2363"/>
      <c r="L9" s="2363"/>
      <c r="M9" s="2363"/>
      <c r="N9" s="2363"/>
      <c r="O9" s="2363"/>
      <c r="P9" s="2363"/>
      <c r="Q9" s="2363"/>
      <c r="R9" s="2363"/>
    </row>
    <row r="10" spans="1:29" s="117" customFormat="1" ht="15" thickBot="1">
      <c r="A10" s="2376"/>
      <c r="B10" s="2377" t="s">
        <v>2094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2095</v>
      </c>
      <c r="B13" s="2383"/>
      <c r="C13" s="2383"/>
      <c r="D13" s="2390"/>
      <c r="E13" s="2383"/>
      <c r="F13" s="2383"/>
      <c r="G13" s="2383"/>
    </row>
    <row r="14" spans="1:29" ht="15" thickBot="1">
      <c r="A14" s="2394"/>
      <c r="B14" s="2395"/>
      <c r="C14" s="2396" t="s">
        <v>2096</v>
      </c>
      <c r="D14" s="2366"/>
      <c r="E14" s="2397"/>
      <c r="F14" s="2397"/>
      <c r="G14" s="2360" t="s">
        <v>2097</v>
      </c>
    </row>
    <row r="15" spans="1:29" ht="41.4">
      <c r="A15" s="68" t="s">
        <v>2098</v>
      </c>
      <c r="B15" s="1267" t="s">
        <v>2079</v>
      </c>
      <c r="C15" s="2398">
        <f>C3</f>
        <v>0</v>
      </c>
      <c r="D15" s="2366"/>
      <c r="E15" s="2399" t="s">
        <v>2099</v>
      </c>
      <c r="F15" s="1267" t="s">
        <v>2100</v>
      </c>
      <c r="G15" s="135" t="str">
        <f>G3</f>
        <v>估价对象位于XX开发区，园区建设成熟度XX，产业集聚程度XX</v>
      </c>
    </row>
    <row r="16" spans="1:29" ht="41.4">
      <c r="A16" s="645"/>
      <c r="B16" s="2400" t="s">
        <v>2082</v>
      </c>
      <c r="C16" s="2401" t="str">
        <f>C4</f>
        <v>一般</v>
      </c>
      <c r="D16" s="2366"/>
      <c r="E16" s="2402"/>
      <c r="F16" s="2403" t="s">
        <v>2083</v>
      </c>
      <c r="G16" s="136" t="str">
        <f>G4</f>
        <v>估价对象周边道路状况、公共交通通达情况、停车便捷程度，综合评价交通便捷度较好</v>
      </c>
    </row>
    <row r="17" spans="1:18" ht="14.4">
      <c r="A17" s="645"/>
      <c r="B17" s="2400" t="s">
        <v>2085</v>
      </c>
      <c r="C17" s="2401">
        <f>C5</f>
        <v>0</v>
      </c>
      <c r="D17" s="2372"/>
      <c r="E17" s="2402"/>
      <c r="F17" s="2403" t="s">
        <v>2101</v>
      </c>
      <c r="G17" s="1568"/>
    </row>
    <row r="18" spans="1:18" ht="41.4">
      <c r="A18" s="645"/>
      <c r="B18" s="2403" t="s">
        <v>2088</v>
      </c>
      <c r="C18" s="136" t="str">
        <f>C6</f>
        <v>一般</v>
      </c>
      <c r="D18" s="2372"/>
      <c r="E18" s="2402"/>
      <c r="F18" s="2403" t="s">
        <v>2091</v>
      </c>
      <c r="G18" s="136" t="str">
        <f>G7</f>
        <v>该园区内是否有污染型企业，绿化情况，卫生条件，整体环境状况判断</v>
      </c>
    </row>
    <row r="19" spans="1:18" ht="27.6">
      <c r="A19" s="645"/>
      <c r="B19" s="2403" t="s">
        <v>2102</v>
      </c>
      <c r="C19" s="1568"/>
      <c r="D19" s="2366"/>
      <c r="E19" s="2402"/>
      <c r="F19" s="1794" t="s">
        <v>2086</v>
      </c>
      <c r="G19" s="136" t="str">
        <f>G5</f>
        <v>估价对象所在区域公共配套设施齐备情况</v>
      </c>
    </row>
    <row r="20" spans="1:18" ht="27.6">
      <c r="A20" s="645"/>
      <c r="B20" s="2403" t="s">
        <v>2103</v>
      </c>
      <c r="C20" s="2401" t="str">
        <f>C9</f>
        <v>一般</v>
      </c>
      <c r="D20" s="2372"/>
      <c r="E20" s="2402"/>
      <c r="F20" s="1794" t="s">
        <v>2104</v>
      </c>
      <c r="G20" s="136" t="str">
        <f>G6</f>
        <v>估价对象所在区域基础设施水平</v>
      </c>
    </row>
    <row r="21" spans="1:18" ht="14.4">
      <c r="A21" s="645"/>
      <c r="B21" s="1794" t="s">
        <v>2086</v>
      </c>
      <c r="C21" s="136" t="str">
        <f>C7</f>
        <v>一般</v>
      </c>
      <c r="D21" s="2366"/>
      <c r="E21" s="2402"/>
      <c r="F21" s="2403" t="s">
        <v>2105</v>
      </c>
      <c r="G21" s="2404"/>
    </row>
    <row r="22" spans="1:18" ht="13.5" customHeight="1">
      <c r="A22" s="645"/>
      <c r="B22" s="1794" t="s">
        <v>2089</v>
      </c>
      <c r="C22" s="136" t="str">
        <f>C8</f>
        <v>七通</v>
      </c>
      <c r="D22" s="2366"/>
      <c r="E22" s="2402"/>
      <c r="F22" s="2403" t="s">
        <v>2094</v>
      </c>
      <c r="G22" s="1568"/>
    </row>
    <row r="23" spans="1:18" s="2363" customFormat="1" ht="1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9152.0400000000009</v>
      </c>
      <c r="C1" s="1741"/>
      <c r="D1" s="1741"/>
      <c r="E1" s="1741"/>
      <c r="F1" s="1741"/>
      <c r="G1" s="1739"/>
    </row>
    <row r="2" spans="1:10" ht="16.2">
      <c r="A2" s="1742" t="s">
        <v>1348</v>
      </c>
      <c r="B2" s="1742">
        <f>SUM(C14:C23)</f>
        <v>0</v>
      </c>
      <c r="C2" s="1741"/>
      <c r="D2" s="1741"/>
      <c r="E2" s="1741"/>
      <c r="F2" s="1741"/>
      <c r="G2" s="1739"/>
    </row>
    <row r="3" spans="1:10" ht="15.6">
      <c r="A3" s="1742" t="s">
        <v>1357</v>
      </c>
      <c r="B3" s="1743">
        <f>项目基本情况!D3</f>
        <v>44000</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6482</v>
      </c>
      <c r="C5" s="1742">
        <f ca="1">ROUND(B5*10000/$B$1,0)</f>
        <v>7083</v>
      </c>
      <c r="D5" s="1742" t="e">
        <f ca="1">ROUND(B5*10000/$B$2,0)</f>
        <v>#DIV/0!</v>
      </c>
      <c r="E5" s="1741"/>
      <c r="F5" s="1739"/>
      <c r="G5" s="1739"/>
    </row>
    <row r="6" spans="1:10" ht="15.6">
      <c r="A6" s="1742" t="s">
        <v>1351</v>
      </c>
      <c r="B6" s="1742">
        <f ca="1">SUM(G14:G23)</f>
        <v>6482</v>
      </c>
      <c r="C6" s="1742">
        <f ca="1">ROUND(B6*10000/$B$1,0)</f>
        <v>7083</v>
      </c>
      <c r="D6" s="1742" t="e">
        <f ca="1">ROUND(B6*10000/$B$2,0)</f>
        <v>#DIV/0!</v>
      </c>
      <c r="E6" s="1741"/>
      <c r="F6" s="1739"/>
      <c r="G6" s="1739"/>
    </row>
    <row r="7" spans="1:10" ht="15.6">
      <c r="A7" s="1742" t="s">
        <v>1359</v>
      </c>
      <c r="B7" s="1742">
        <f>SUM(H14:H23)</f>
        <v>0</v>
      </c>
      <c r="C7" s="1742">
        <f>ROUND(B7*10000/$B$1,0)</f>
        <v>0</v>
      </c>
      <c r="D7" s="1742" t="e">
        <f>ROUND(B7*10000/$B$2,0)</f>
        <v>#DIV/0!</v>
      </c>
      <c r="E7" s="1741"/>
      <c r="F7" s="1739"/>
      <c r="G7" s="1739"/>
    </row>
    <row r="8" spans="1:10" ht="15.6">
      <c r="A8" s="1742" t="s">
        <v>1280</v>
      </c>
      <c r="B8" s="1742">
        <f>SUM(I14:I23)</f>
        <v>0</v>
      </c>
      <c r="C8" s="1742">
        <f>ROUND(B8*10000/$B$1,0)</f>
        <v>0</v>
      </c>
      <c r="D8" s="1742" t="e">
        <f>ROUND(B8*10000/$B$2,0)</f>
        <v>#DIV/0!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9152.0400000000009</v>
      </c>
      <c r="C14" s="1740">
        <f>结果表!C118</f>
        <v>0</v>
      </c>
      <c r="D14" s="1740">
        <f ca="1">结果表!H118</f>
        <v>6482</v>
      </c>
      <c r="E14" s="1740">
        <f ca="1">ROUND(D14*10000/B14,0)</f>
        <v>7083</v>
      </c>
      <c r="F14" s="1740" t="e">
        <f ca="1">ROUND(D14*10000/C14,0)</f>
        <v>#DIV/0!</v>
      </c>
      <c r="G14" s="1740">
        <f ca="1">结果表!D122</f>
        <v>6482</v>
      </c>
      <c r="H14" s="1740" t="str">
        <f>结果表!D124</f>
        <v>——</v>
      </c>
      <c r="I14" s="1740" t="str">
        <f>结果表!D126</f>
        <v>——</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0" zoomScaleNormal="100" zoomScaleSheetLayoutView="80" zoomScalePageLayoutView="80" workbookViewId="0">
      <selection activeCell="G36" sqref="G36"/>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2108</v>
      </c>
      <c r="B1" s="2414"/>
      <c r="C1" s="2415"/>
      <c r="D1" s="2414"/>
      <c r="E1" s="2414"/>
      <c r="F1" s="2416" t="s">
        <v>2109</v>
      </c>
      <c r="G1" s="2066" t="s">
        <v>3227</v>
      </c>
      <c r="H1" s="2417" t="str">
        <f>IF(G1="现房","——","估价对象范围")</f>
        <v>——</v>
      </c>
      <c r="I1" s="2418"/>
    </row>
    <row r="2" spans="1:12" ht="21.75" customHeight="1" thickBot="1">
      <c r="A2" s="3115" t="str">
        <f>项目基本情况!S2</f>
        <v>北京市大兴区永兴路7号院1号楼-3层至4层101号房地产</v>
      </c>
      <c r="B2" s="3116"/>
      <c r="C2" s="3116"/>
      <c r="D2" s="3116"/>
      <c r="E2" s="3116"/>
      <c r="F2" s="3116"/>
      <c r="G2" s="3116"/>
      <c r="H2" s="3116"/>
      <c r="I2" s="3117"/>
    </row>
    <row r="3" spans="1:12" ht="13.2">
      <c r="A3" s="3119" t="s">
        <v>2110</v>
      </c>
      <c r="B3" s="3120"/>
      <c r="C3" s="3120"/>
      <c r="D3" s="3120"/>
      <c r="E3" s="3120"/>
      <c r="F3" s="3120"/>
      <c r="G3" s="3120"/>
      <c r="H3" s="3120"/>
      <c r="I3" s="3120"/>
    </row>
    <row r="4" spans="1:12" ht="14.4">
      <c r="A4" s="2421" t="s">
        <v>2111</v>
      </c>
      <c r="B4" s="2422" t="s">
        <v>2112</v>
      </c>
      <c r="C4" s="2423" t="s">
        <v>3228</v>
      </c>
      <c r="D4" s="2423" t="s">
        <v>3058</v>
      </c>
      <c r="E4" s="3112" t="s">
        <v>2113</v>
      </c>
      <c r="F4" s="3113"/>
      <c r="G4" s="3113"/>
      <c r="H4" s="3113"/>
      <c r="I4" s="312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095" t="s">
        <v>2114</v>
      </c>
      <c r="B5" s="3033">
        <v>25</v>
      </c>
      <c r="C5" s="3098"/>
      <c r="D5" s="3118"/>
      <c r="E5" s="140" t="s">
        <v>2115</v>
      </c>
      <c r="F5" s="2425"/>
      <c r="G5" s="2425"/>
      <c r="H5" s="2425"/>
      <c r="I5" s="1830"/>
    </row>
    <row r="6" spans="1:12" ht="13.2">
      <c r="A6" s="3095"/>
      <c r="B6" s="3033"/>
      <c r="C6" s="3099"/>
      <c r="D6" s="3118"/>
      <c r="E6" s="140" t="s">
        <v>2116</v>
      </c>
      <c r="F6" s="2425"/>
      <c r="G6" s="2425"/>
      <c r="H6" s="2425"/>
      <c r="I6" s="1830"/>
    </row>
    <row r="7" spans="1:12" ht="13.2">
      <c r="A7" s="3095"/>
      <c r="B7" s="3033"/>
      <c r="C7" s="3100"/>
      <c r="D7" s="3118"/>
      <c r="E7" s="140" t="s">
        <v>2117</v>
      </c>
      <c r="F7" s="2425"/>
      <c r="G7" s="2425"/>
      <c r="H7" s="2425"/>
      <c r="I7" s="1830"/>
    </row>
    <row r="8" spans="1:12" ht="13.2">
      <c r="A8" s="3095" t="s">
        <v>2118</v>
      </c>
      <c r="B8" s="3033">
        <v>15</v>
      </c>
      <c r="C8" s="3098"/>
      <c r="D8" s="3118"/>
      <c r="E8" s="140" t="s">
        <v>2119</v>
      </c>
      <c r="F8" s="2425"/>
      <c r="G8" s="2425"/>
      <c r="H8" s="2425"/>
      <c r="I8" s="1830"/>
    </row>
    <row r="9" spans="1:12" ht="13.2">
      <c r="A9" s="3095"/>
      <c r="B9" s="3033"/>
      <c r="C9" s="3100"/>
      <c r="D9" s="3118"/>
      <c r="E9" s="140" t="s">
        <v>2120</v>
      </c>
      <c r="F9" s="2425"/>
      <c r="G9" s="2425"/>
      <c r="H9" s="2425"/>
      <c r="I9" s="1830"/>
    </row>
    <row r="10" spans="1:12" ht="13.2">
      <c r="A10" s="3095" t="s">
        <v>2121</v>
      </c>
      <c r="B10" s="3033">
        <v>15</v>
      </c>
      <c r="C10" s="3098"/>
      <c r="D10" s="3118"/>
      <c r="E10" s="140" t="s">
        <v>2122</v>
      </c>
      <c r="F10" s="2425"/>
      <c r="G10" s="2425"/>
      <c r="H10" s="2425"/>
      <c r="I10" s="1830"/>
    </row>
    <row r="11" spans="1:12" ht="13.2">
      <c r="A11" s="3095"/>
      <c r="B11" s="3033"/>
      <c r="C11" s="3100"/>
      <c r="D11" s="3118"/>
      <c r="E11" s="140" t="s">
        <v>2123</v>
      </c>
      <c r="F11" s="2425"/>
      <c r="G11" s="2425"/>
      <c r="H11" s="2425"/>
      <c r="I11" s="1830"/>
    </row>
    <row r="12" spans="1:12" ht="13.2">
      <c r="A12" s="3095" t="s">
        <v>2124</v>
      </c>
      <c r="B12" s="3033">
        <v>15</v>
      </c>
      <c r="C12" s="3098"/>
      <c r="D12" s="3118"/>
      <c r="E12" s="140" t="s">
        <v>2125</v>
      </c>
      <c r="F12" s="2425"/>
      <c r="G12" s="2425"/>
      <c r="H12" s="2425"/>
      <c r="I12" s="1830"/>
    </row>
    <row r="13" spans="1:12" ht="13.2">
      <c r="A13" s="3095"/>
      <c r="B13" s="3033"/>
      <c r="C13" s="3100"/>
      <c r="D13" s="3118"/>
      <c r="E13" s="140" t="s">
        <v>2126</v>
      </c>
      <c r="F13" s="2425"/>
      <c r="G13" s="2425"/>
      <c r="H13" s="2425"/>
      <c r="I13" s="1830"/>
    </row>
    <row r="14" spans="1:12" ht="13.2">
      <c r="A14" s="3095" t="s">
        <v>2127</v>
      </c>
      <c r="B14" s="3033">
        <v>30</v>
      </c>
      <c r="C14" s="3322">
        <v>55</v>
      </c>
      <c r="D14" s="3323">
        <v>45</v>
      </c>
      <c r="E14" s="140" t="s">
        <v>2128</v>
      </c>
      <c r="F14" s="2425"/>
      <c r="G14" s="2425"/>
      <c r="H14" s="2425"/>
      <c r="I14" s="1830"/>
    </row>
    <row r="15" spans="1:12" ht="13.2">
      <c r="A15" s="3095"/>
      <c r="B15" s="3033"/>
      <c r="C15" s="3324"/>
      <c r="D15" s="3323"/>
      <c r="E15" s="140" t="s">
        <v>2129</v>
      </c>
      <c r="F15" s="2425"/>
      <c r="G15" s="2425"/>
      <c r="H15" s="2425"/>
      <c r="I15" s="1830"/>
    </row>
    <row r="16" spans="1:12" ht="13.2">
      <c r="A16" s="3095"/>
      <c r="B16" s="3033"/>
      <c r="C16" s="3325"/>
      <c r="D16" s="3323"/>
      <c r="E16" s="140" t="s">
        <v>2130</v>
      </c>
      <c r="F16" s="2425"/>
      <c r="G16" s="2425"/>
      <c r="H16" s="2425"/>
      <c r="I16" s="1830"/>
    </row>
    <row r="17" spans="1:35" ht="14.4">
      <c r="A17" s="2426" t="s">
        <v>2131</v>
      </c>
      <c r="B17" s="64"/>
      <c r="C17" s="141">
        <f>SUM(C5:C16)</f>
        <v>55</v>
      </c>
      <c r="D17" s="141">
        <f>SUM(D5:D16)</f>
        <v>45</v>
      </c>
      <c r="E17" s="138"/>
      <c r="F17" s="138"/>
      <c r="G17" s="138"/>
      <c r="H17" s="138"/>
      <c r="I17" s="138"/>
      <c r="K17" s="2424"/>
      <c r="L17" s="2427" t="s">
        <v>2132</v>
      </c>
      <c r="M17" s="2427" t="s">
        <v>2133</v>
      </c>
    </row>
    <row r="18" spans="1:35" ht="15" thickBot="1">
      <c r="A18" s="2428" t="s">
        <v>2134</v>
      </c>
      <c r="B18" s="2429"/>
      <c r="C18" s="142">
        <f>ROUND(C17/SUM(C17:D17),2)</f>
        <v>0.55000000000000004</v>
      </c>
      <c r="D18" s="142">
        <f>1-C18</f>
        <v>0.44999999999999996</v>
      </c>
      <c r="E18" s="138"/>
      <c r="F18" s="138"/>
      <c r="G18" s="138"/>
      <c r="H18" s="138"/>
      <c r="I18" s="138"/>
      <c r="K18" s="2424" t="s">
        <v>2135</v>
      </c>
      <c r="L18" s="2424">
        <f>IF(C1="",'数据-汇总表'!E3,SUMIF(项目类型,C1,'数据-汇总表'!E17:E26)+SUMIF(项目类型,C1,'数据-汇总表'!I17:I26))</f>
        <v>9152.0400000000009</v>
      </c>
      <c r="M18" s="2424">
        <f>IF(C1="",'数据-汇总表'!E3,SUMIF(项目类型,C1,'数据-汇总表'!E17:E26))</f>
        <v>9152.0400000000009</v>
      </c>
    </row>
    <row r="19" spans="1:35" ht="14.4">
      <c r="A19" s="2430" t="s">
        <v>2136</v>
      </c>
      <c r="B19" s="2431" t="s">
        <v>2137</v>
      </c>
      <c r="C19" s="143">
        <f ca="1">SUMIF(INDIRECT("'"&amp;C4&amp;"'"&amp;"!A:A"),结果表!B19,INDIRECT("'"&amp;C4&amp;"'"&amp;"!B:B"))</f>
        <v>7814</v>
      </c>
      <c r="D19" s="144">
        <f ca="1">SUMIF(INDIRECT("'"&amp;D4&amp;"'"&amp;"!A:A"),结果表!B19,INDIRECT("'"&amp;D4&amp;"'"&amp;"!B:B"))</f>
        <v>4853</v>
      </c>
      <c r="E19" s="2430" t="s">
        <v>2138</v>
      </c>
      <c r="F19" s="2431" t="s">
        <v>2137</v>
      </c>
      <c r="G19" s="145">
        <f ca="1">ROUND(C19*$C$18+D19*$D$18,0)</f>
        <v>6482</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4.4">
      <c r="A20" s="2433"/>
      <c r="B20" s="1247" t="s">
        <v>2141</v>
      </c>
      <c r="C20" s="146">
        <f ca="1">SUMIF(INDIRECT("'"&amp;C4&amp;"'"&amp;"!A:A"),结果表!B20,INDIRECT("'"&amp;C4&amp;"'"&amp;"!B:B"))</f>
        <v>8538</v>
      </c>
      <c r="D20" s="147">
        <f ca="1">SUMIF(INDIRECT("'"&amp;D4&amp;"'"&amp;"!A:A"),结果表!B20,INDIRECT("'"&amp;D4&amp;"'"&amp;"!B:B"))</f>
        <v>5303</v>
      </c>
      <c r="E20" s="2433"/>
      <c r="F20" s="1247" t="s">
        <v>2141</v>
      </c>
      <c r="G20" s="148">
        <f ca="1">ROUND(C20*$C$18+D20*$D$18,0)</f>
        <v>7082</v>
      </c>
      <c r="H20" s="980" t="s">
        <v>2142</v>
      </c>
      <c r="I20" s="138"/>
    </row>
    <row r="21" spans="1:35" ht="15" customHeight="1" thickBot="1">
      <c r="A21" s="1000"/>
      <c r="B21" s="2434" t="s">
        <v>2143</v>
      </c>
      <c r="C21" s="789" t="e">
        <f ca="1">ROUND(C19*10000/L19,0)</f>
        <v>#DIV/0!</v>
      </c>
      <c r="D21" s="790" t="e">
        <f ca="1">ROUND(D19*10000/L19,0)</f>
        <v>#DIV/0!</v>
      </c>
      <c r="E21" s="1000"/>
      <c r="F21" s="2434" t="s">
        <v>2143</v>
      </c>
      <c r="G21" s="149" t="e">
        <f ca="1">ROUND(G19*10000/L19,0)</f>
        <v>#DIV/0!</v>
      </c>
      <c r="H21" s="2435" t="s">
        <v>2142</v>
      </c>
      <c r="I21" s="138"/>
    </row>
    <row r="22" spans="1:35" ht="15" thickBot="1">
      <c r="A22" s="2277" t="s">
        <v>2144</v>
      </c>
      <c r="B22" s="2436"/>
      <c r="C22" s="2437"/>
      <c r="D22" s="791">
        <f ca="1">IF(C19&lt;D19,D19/C19-1,C19/D19-1)</f>
        <v>0.61013805893261908</v>
      </c>
      <c r="E22" s="138"/>
      <c r="F22" s="138"/>
      <c r="G22" s="138"/>
      <c r="H22" s="138"/>
      <c r="I22" s="138"/>
    </row>
    <row r="23" spans="1:35" ht="13.8" thickBot="1">
      <c r="A23" s="2414"/>
      <c r="B23" s="2414"/>
      <c r="C23" s="2414"/>
      <c r="D23" s="2414"/>
      <c r="E23" s="138"/>
      <c r="F23" s="138"/>
      <c r="G23" s="138"/>
      <c r="H23" s="138"/>
      <c r="I23" s="138"/>
    </row>
    <row r="24" spans="1:35" ht="14.4">
      <c r="A24" s="3089" t="s">
        <v>2145</v>
      </c>
      <c r="B24" s="2431" t="s">
        <v>2137</v>
      </c>
      <c r="C24" s="145">
        <f>IF(B30=0,0,D30)</f>
        <v>0</v>
      </c>
      <c r="D24" s="2438"/>
      <c r="E24" s="138"/>
      <c r="F24" s="138"/>
      <c r="G24" s="138"/>
      <c r="H24" s="138"/>
      <c r="I24" s="138"/>
    </row>
    <row r="25" spans="1:35" ht="14.4">
      <c r="A25" s="3090"/>
      <c r="B25" s="1247"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2150</v>
      </c>
      <c r="B30" s="151"/>
      <c r="C30" s="151"/>
      <c r="D30" s="151"/>
      <c r="E30" s="2913" t="s">
        <v>3024</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2151</v>
      </c>
      <c r="B32" s="2444"/>
      <c r="C32" s="153">
        <f ca="1">IF(D32="总价",G19-C24,G20-C25)</f>
        <v>6482</v>
      </c>
      <c r="D32" s="2445" t="s">
        <v>2152</v>
      </c>
      <c r="E32" s="138"/>
      <c r="F32" s="138"/>
      <c r="G32" s="138"/>
      <c r="H32" s="138"/>
      <c r="I32" s="138"/>
    </row>
    <row r="33" spans="1:15" ht="14.4">
      <c r="A33" s="957" t="s">
        <v>2153</v>
      </c>
      <c r="B33" s="2446"/>
      <c r="C33" s="2447" t="s">
        <v>3236</v>
      </c>
      <c r="D33" s="2448" t="s">
        <v>3228</v>
      </c>
      <c r="E33" s="2449" t="s">
        <v>2154</v>
      </c>
      <c r="F33" s="2450" t="str">
        <f>IF(D32="楼面单价","取值（单价）","取值（总价）")</f>
        <v>取值（总价）</v>
      </c>
      <c r="G33" s="138"/>
      <c r="H33" s="138"/>
      <c r="I33" s="138"/>
    </row>
    <row r="34" spans="1:15" ht="14.4">
      <c r="A34" s="2451"/>
      <c r="B34" s="2452" t="s">
        <v>2155</v>
      </c>
      <c r="C34" s="157">
        <f ca="1">IF(C33="自定义",F34,C32-C35)</f>
        <v>3189</v>
      </c>
      <c r="D34" s="1055">
        <f ca="1">IF(C33="自定义",ROUND(C34/C32,3),IF(C33="收益比率",SUMIF(INDIRECT("'"&amp;D33&amp;"'"&amp;"!b:b"),"土地收益比率",INDIRECT("'"&amp;D33&amp;"'"&amp;"!c:c")),SUMIF(INDIRECT("'"&amp;D33&amp;"'"&amp;"!b:b"),"土地成本比率",INDIRECT("'"&amp;D33&amp;"'"&amp;"!c:c"))))</f>
        <v>0.49199999999999999</v>
      </c>
      <c r="E34" s="2453" t="s">
        <v>2156</v>
      </c>
      <c r="F34" s="1735"/>
      <c r="G34" s="138"/>
      <c r="H34" s="138"/>
      <c r="I34" s="138"/>
    </row>
    <row r="35" spans="1:15" ht="15" thickBot="1">
      <c r="A35" s="2454"/>
      <c r="B35" s="2455" t="s">
        <v>2157</v>
      </c>
      <c r="C35" s="1441">
        <f ca="1">IF(C33="自定义",F35,ROUND(C32*D35,0))</f>
        <v>3293</v>
      </c>
      <c r="D35" s="1442">
        <f ca="1">IF(C33="自定义",ROUND(C35/C32,3),IF(C33="收益比率",SUMIF(INDIRECT("'"&amp;D33&amp;"'"&amp;"!b:b"),"建筑物收益比率",INDIRECT("'"&amp;D33&amp;"'"&amp;"!c:c")),SUMIF(INDIRECT("'"&amp;D33&amp;"'"&amp;"!b:b"),"建筑物成本比率",INDIRECT("'"&amp;D33&amp;"'"&amp;"!c:c"))))</f>
        <v>0.50800000000000001</v>
      </c>
      <c r="E35" s="2456" t="s">
        <v>2158</v>
      </c>
      <c r="F35" s="163"/>
      <c r="G35" s="138"/>
      <c r="H35" s="138"/>
      <c r="I35" s="138"/>
    </row>
    <row r="36" spans="1:15" ht="15" thickBot="1">
      <c r="A36" s="3107" t="s">
        <v>2159</v>
      </c>
      <c r="B36" s="2457" t="s">
        <v>2160</v>
      </c>
      <c r="C36" s="154"/>
      <c r="D36" s="2458"/>
      <c r="E36" s="2459"/>
      <c r="F36" s="2460"/>
      <c r="G36" s="138"/>
      <c r="H36" s="138"/>
      <c r="I36" s="138"/>
    </row>
    <row r="37" spans="1:15" ht="15" thickBot="1">
      <c r="A37" s="3108"/>
      <c r="B37" s="2263" t="s">
        <v>2161</v>
      </c>
      <c r="C37" s="156"/>
      <c r="D37" s="1392"/>
      <c r="E37" s="1392"/>
      <c r="F37" s="2460"/>
      <c r="G37" s="138"/>
      <c r="H37" s="138"/>
      <c r="I37" s="138"/>
    </row>
    <row r="38" spans="1:15" ht="15" thickBot="1">
      <c r="A38" s="3109"/>
      <c r="B38" s="2461" t="s">
        <v>2162</v>
      </c>
      <c r="C38" s="727"/>
      <c r="D38" s="2462" t="s">
        <v>2163</v>
      </c>
      <c r="E38" s="1392"/>
      <c r="F38" s="2460"/>
      <c r="G38" s="138"/>
      <c r="H38" s="138"/>
      <c r="I38" s="138"/>
    </row>
    <row r="39" spans="1:15" ht="14.4">
      <c r="A39" s="2433" t="s">
        <v>2164</v>
      </c>
      <c r="B39" s="2463" t="s">
        <v>2165</v>
      </c>
      <c r="C39" s="2464" t="s">
        <v>2166</v>
      </c>
      <c r="D39" s="2464" t="s">
        <v>2167</v>
      </c>
      <c r="E39" s="2465" t="s">
        <v>2168</v>
      </c>
      <c r="F39" s="2460"/>
      <c r="G39" s="138"/>
      <c r="H39" s="138"/>
      <c r="I39" s="138"/>
    </row>
    <row r="40" spans="1:15" ht="13.8">
      <c r="A40" s="2466" t="s">
        <v>2169</v>
      </c>
      <c r="B40" s="158"/>
      <c r="C40" s="159"/>
      <c r="D40" s="159"/>
      <c r="E40" s="160"/>
      <c r="F40" s="2460"/>
      <c r="G40" s="138"/>
      <c r="H40" s="138"/>
      <c r="I40" s="138"/>
    </row>
    <row r="41" spans="1:15" ht="13.8">
      <c r="A41" s="2466" t="s">
        <v>2170</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086" t="s">
        <v>2173</v>
      </c>
      <c r="B45" s="3087"/>
      <c r="C45" s="3088"/>
      <c r="D45" s="164">
        <f ca="1">ROUND(H101*F45,0)</f>
        <v>6482</v>
      </c>
      <c r="E45" s="165" t="s">
        <v>2174</v>
      </c>
      <c r="F45" s="166">
        <v>1</v>
      </c>
      <c r="G45" s="167" t="s">
        <v>2175</v>
      </c>
      <c r="H45" s="138"/>
      <c r="I45" s="138"/>
      <c r="J45" s="3146" t="s">
        <v>2176</v>
      </c>
      <c r="K45" s="3146"/>
      <c r="L45" s="3146"/>
      <c r="M45" s="3146"/>
      <c r="N45" s="3146"/>
      <c r="O45" s="3146"/>
    </row>
    <row r="46" spans="1:15" ht="14.25" customHeight="1">
      <c r="A46" s="3083" t="s">
        <v>2177</v>
      </c>
      <c r="B46" s="3084"/>
      <c r="C46" s="3084"/>
      <c r="D46" s="3084"/>
      <c r="E46" s="3084"/>
      <c r="F46" s="3084"/>
      <c r="G46" s="3085"/>
      <c r="H46" s="2476"/>
      <c r="I46" s="168"/>
      <c r="J46" s="1808">
        <v>1</v>
      </c>
      <c r="K46" s="3146" t="s">
        <v>2178</v>
      </c>
      <c r="L46" s="3146"/>
      <c r="M46" s="3166"/>
      <c r="N46" s="3166"/>
      <c r="O46" s="3166"/>
    </row>
    <row r="47" spans="1:15" ht="12" customHeight="1">
      <c r="A47" s="169" t="s">
        <v>2179</v>
      </c>
      <c r="B47" s="170"/>
      <c r="C47" s="171"/>
      <c r="D47" s="172" t="s">
        <v>2180</v>
      </c>
      <c r="E47" s="24" t="s">
        <v>2181</v>
      </c>
      <c r="F47" s="173" t="s">
        <v>2182</v>
      </c>
      <c r="G47" s="174" t="s">
        <v>2183</v>
      </c>
      <c r="H47" s="2476"/>
      <c r="I47" s="168"/>
      <c r="J47" s="1808">
        <v>2</v>
      </c>
      <c r="K47" s="3146" t="s">
        <v>2184</v>
      </c>
      <c r="L47" s="3146"/>
      <c r="M47" s="3167">
        <f>'数据-取费表'!B2</f>
        <v>44000</v>
      </c>
      <c r="N47" s="3167"/>
      <c r="O47" s="3167"/>
    </row>
    <row r="48" spans="1:15" ht="26.4">
      <c r="A48" s="3114" t="s">
        <v>2185</v>
      </c>
      <c r="B48" s="3097"/>
      <c r="C48" s="3097"/>
      <c r="D48" s="140">
        <f>IF(H48="情况1",0,IF(H48="情况2",D52,IF(H48="情况3",D53,IF(H48="情况4",D54))))</f>
        <v>0</v>
      </c>
      <c r="E48" s="1797" t="str">
        <f>IF(H48="情况4","(销售额-原购置价)×税（费）率","销售额×税（费）率")</f>
        <v>销售额×税（费）率</v>
      </c>
      <c r="F48" s="175" t="str">
        <f>IF(H48="情况1","免征",'数据-取费表'!B41)</f>
        <v>免征</v>
      </c>
      <c r="G48" s="2477" t="s">
        <v>2186</v>
      </c>
      <c r="H48" s="2478" t="s">
        <v>2187</v>
      </c>
      <c r="I48" s="2476"/>
      <c r="J48" s="1808">
        <v>3</v>
      </c>
      <c r="K48" s="3146" t="s">
        <v>2188</v>
      </c>
      <c r="L48" s="3146"/>
      <c r="M48" s="3168">
        <f ca="1">H101</f>
        <v>6482</v>
      </c>
      <c r="N48" s="3168"/>
      <c r="O48" s="3168"/>
    </row>
    <row r="49" spans="1:35" ht="25.5" customHeight="1">
      <c r="A49" s="176" t="s">
        <v>2189</v>
      </c>
      <c r="B49" s="3082" t="s">
        <v>2190</v>
      </c>
      <c r="C49" s="3082"/>
      <c r="D49" s="177">
        <v>0</v>
      </c>
      <c r="E49" s="23" t="s">
        <v>2191</v>
      </c>
      <c r="F49" s="28" t="s">
        <v>34</v>
      </c>
      <c r="G49" s="3152"/>
      <c r="H49" s="138"/>
      <c r="I49" s="2479"/>
      <c r="J49" s="1808">
        <v>4</v>
      </c>
      <c r="K49" s="3146" t="str">
        <f>IF(项目基本情况!E8="房地产抵押价值","房地产抵押价值","抵押担保权已注销时的房地产抵押价值")</f>
        <v>房地产抵押价值</v>
      </c>
      <c r="L49" s="3146"/>
      <c r="M49" s="3168">
        <f ca="1">IF(项目基本情况!E8="房地产抵押价值",H107,H109)</f>
        <v>6482</v>
      </c>
      <c r="N49" s="3168"/>
      <c r="O49" s="3168"/>
    </row>
    <row r="50" spans="1:35" ht="25.5" customHeight="1">
      <c r="A50" s="178"/>
      <c r="B50" s="3082" t="s">
        <v>2192</v>
      </c>
      <c r="C50" s="3082"/>
      <c r="D50" s="179"/>
      <c r="E50" s="31"/>
      <c r="F50" s="180"/>
      <c r="G50" s="3153"/>
      <c r="H50" s="138"/>
      <c r="I50" s="2479"/>
      <c r="J50" s="3146" t="s">
        <v>2193</v>
      </c>
      <c r="K50" s="3146"/>
      <c r="L50" s="3146"/>
      <c r="M50" s="3146"/>
      <c r="N50" s="3146"/>
      <c r="O50" s="3146"/>
    </row>
    <row r="51" spans="1:35" ht="12" customHeight="1">
      <c r="A51" s="181"/>
      <c r="B51" s="3082" t="s">
        <v>2194</v>
      </c>
      <c r="C51" s="3082"/>
      <c r="D51" s="182"/>
      <c r="E51" s="30"/>
      <c r="F51" s="180"/>
      <c r="G51" s="3154"/>
      <c r="H51" s="138"/>
      <c r="I51" s="2479"/>
      <c r="J51" s="2480" t="s">
        <v>2195</v>
      </c>
      <c r="K51" s="3146" t="s">
        <v>2196</v>
      </c>
      <c r="L51" s="3146"/>
      <c r="M51" s="2480" t="s">
        <v>2197</v>
      </c>
      <c r="N51" s="2480" t="s">
        <v>2198</v>
      </c>
      <c r="O51" s="2480" t="s">
        <v>2199</v>
      </c>
    </row>
    <row r="52" spans="1:35" ht="24" customHeight="1">
      <c r="A52" s="183" t="s">
        <v>2200</v>
      </c>
      <c r="B52" s="3082" t="s">
        <v>2201</v>
      </c>
      <c r="C52" s="3082"/>
      <c r="D52" s="182">
        <f ca="1">ROUND(D45*'数据-取费表'!B41/(1+'数据-取费表'!C42),0)</f>
        <v>340</v>
      </c>
      <c r="E52" s="11" t="s">
        <v>2202</v>
      </c>
      <c r="F52" s="184">
        <f>'数据-取费表'!B41</f>
        <v>5.5000000000000007E-2</v>
      </c>
      <c r="G52" s="2481"/>
      <c r="H52" s="138"/>
      <c r="I52" s="2479"/>
      <c r="J52" s="1808">
        <v>1</v>
      </c>
      <c r="K52" s="3147" t="s">
        <v>2203</v>
      </c>
      <c r="L52" s="3147"/>
      <c r="M52" s="1750">
        <f>D48</f>
        <v>0</v>
      </c>
      <c r="N52" s="1808" t="str">
        <f>E48</f>
        <v>销售额×税（费）率</v>
      </c>
      <c r="O52" s="1751" t="str">
        <f>F48</f>
        <v>免征</v>
      </c>
    </row>
    <row r="53" spans="1:35" ht="12" customHeight="1">
      <c r="A53" s="183" t="s">
        <v>2204</v>
      </c>
      <c r="B53" s="3105" t="s">
        <v>2205</v>
      </c>
      <c r="C53" s="3106"/>
      <c r="D53" s="182">
        <f ca="1">ROUND(D45*'数据-取费表'!B41/(1+'数据-取费表'!C42),0)</f>
        <v>340</v>
      </c>
      <c r="E53" s="11" t="s">
        <v>2202</v>
      </c>
      <c r="F53" s="184">
        <f>'数据-取费表'!B41</f>
        <v>5.5000000000000007E-2</v>
      </c>
      <c r="G53" s="2481"/>
      <c r="H53" s="138"/>
      <c r="I53" s="2479"/>
      <c r="J53" s="1808">
        <v>2</v>
      </c>
      <c r="K53" s="3147" t="s">
        <v>2206</v>
      </c>
      <c r="L53" s="3147"/>
      <c r="M53" s="1750">
        <f t="shared" ref="M53:O54" ca="1" si="0">D55</f>
        <v>3</v>
      </c>
      <c r="N53" s="1808" t="str">
        <f t="shared" si="0"/>
        <v>销售额×税（费）率</v>
      </c>
      <c r="O53" s="1751">
        <f t="shared" si="0"/>
        <v>5.0000000000000001E-4</v>
      </c>
    </row>
    <row r="54" spans="1:35" ht="12" customHeight="1">
      <c r="A54" s="183" t="s">
        <v>2207</v>
      </c>
      <c r="B54" s="3105" t="s">
        <v>2208</v>
      </c>
      <c r="C54" s="3106"/>
      <c r="D54" s="182">
        <f ca="1">C68</f>
        <v>340</v>
      </c>
      <c r="E54" s="30" t="s">
        <v>2209</v>
      </c>
      <c r="F54" s="184">
        <f>'数据-取费表'!B41</f>
        <v>5.5000000000000007E-2</v>
      </c>
      <c r="G54" s="2481"/>
      <c r="H54" s="2482"/>
      <c r="I54" s="2479"/>
      <c r="J54" s="1808">
        <v>3</v>
      </c>
      <c r="K54" s="3147" t="s">
        <v>2210</v>
      </c>
      <c r="L54" s="3147"/>
      <c r="M54" s="1750">
        <f t="shared" ca="1" si="0"/>
        <v>3674</v>
      </c>
      <c r="N54" s="1808" t="str">
        <f t="shared" si="0"/>
        <v>增值额×税（费）率</v>
      </c>
      <c r="O54" s="1752" t="str">
        <f t="shared" si="0"/>
        <v>——</v>
      </c>
    </row>
    <row r="55" spans="1:35" ht="24" customHeight="1">
      <c r="A55" s="3096" t="s">
        <v>2211</v>
      </c>
      <c r="B55" s="3097"/>
      <c r="C55" s="3097"/>
      <c r="D55" s="185">
        <f ca="1">IF(H55="个人住宅",0,ROUND(D45*I55,0))</f>
        <v>3</v>
      </c>
      <c r="E55" s="11" t="s">
        <v>2212</v>
      </c>
      <c r="F55" s="184">
        <f>IF(H55="正常",I55,"免征")</f>
        <v>5.0000000000000001E-4</v>
      </c>
      <c r="G55" s="2481"/>
      <c r="H55" s="2478" t="s">
        <v>2213</v>
      </c>
      <c r="I55" s="186">
        <f>'数据-取费表'!B49</f>
        <v>5.0000000000000001E-4</v>
      </c>
      <c r="J55" s="1808" t="str">
        <f>IF(H59="非个人房产","",4)</f>
        <v/>
      </c>
      <c r="K55" s="3147" t="str">
        <f>IF(H59="非个人房产","——","个人所得税")</f>
        <v>——</v>
      </c>
      <c r="L55" s="3147"/>
      <c r="M55" s="1753" t="str">
        <f>D59</f>
        <v>——</v>
      </c>
      <c r="N55" s="1806" t="str">
        <f>E59</f>
        <v>——</v>
      </c>
      <c r="O55" s="1754" t="str">
        <f>F59</f>
        <v>——</v>
      </c>
    </row>
    <row r="56" spans="1:35" ht="25.2">
      <c r="A56" s="3096" t="s">
        <v>2214</v>
      </c>
      <c r="B56" s="3097"/>
      <c r="C56" s="3097"/>
      <c r="D56" s="185">
        <f ca="1">IF(H56="个人住宅",D57,D58)</f>
        <v>3674</v>
      </c>
      <c r="E56" s="11" t="s">
        <v>2215</v>
      </c>
      <c r="F56" s="184" t="str">
        <f>IF(H56="正常",F58,"免征")</f>
        <v>——</v>
      </c>
      <c r="G56" s="2483" t="s">
        <v>2216</v>
      </c>
      <c r="H56" s="2484" t="s">
        <v>2213</v>
      </c>
      <c r="I56" s="2485"/>
      <c r="J56" s="1808" t="str">
        <f>IF(项目基本情况!K6="上海银行",IF(J55="",4,J55+1),"")</f>
        <v/>
      </c>
      <c r="K56" s="3170" t="str">
        <f>IF(项目基本情况!K6="上海银行","其他处置费用","")</f>
        <v/>
      </c>
      <c r="L56" s="3171"/>
      <c r="M56" s="1750" t="str">
        <f>IF(项目基本情况!K6="上海银行",M69,"")</f>
        <v/>
      </c>
      <c r="N56" s="3173" t="str">
        <f>IF(项目基本情况!K6="上海银行","包含处置中涉及的律师、诉讼、拍卖、评估等费用","")</f>
        <v/>
      </c>
      <c r="O56" s="3174"/>
    </row>
    <row r="57" spans="1:35" ht="13.2">
      <c r="A57" s="183" t="s">
        <v>2189</v>
      </c>
      <c r="B57" s="3112" t="s">
        <v>2217</v>
      </c>
      <c r="C57" s="3121"/>
      <c r="D57" s="187">
        <v>0</v>
      </c>
      <c r="E57" s="23" t="s">
        <v>2191</v>
      </c>
      <c r="F57" s="155"/>
      <c r="G57" s="2481"/>
      <c r="H57" s="2485"/>
      <c r="I57" s="2485"/>
      <c r="J57" s="3147">
        <f>IF(AND(J55="",J56=""),4,IF(项目基本情况!K6="上海银行",结果表!J56+1,结果表!J55+1))</f>
        <v>4</v>
      </c>
      <c r="K57" s="3147" t="s">
        <v>2218</v>
      </c>
      <c r="L57" s="2486" t="s">
        <v>2219</v>
      </c>
      <c r="M57" s="1755"/>
      <c r="N57" s="1756">
        <f ca="1">SUMIF(M52:M56,"&lt;9e307")</f>
        <v>3677</v>
      </c>
      <c r="O57" s="2487"/>
      <c r="P57" s="1749">
        <f ca="1">N57/M49</f>
        <v>0.56726319037334161</v>
      </c>
    </row>
    <row r="58" spans="1:35" ht="25.2">
      <c r="A58" s="183" t="s">
        <v>2200</v>
      </c>
      <c r="B58" s="3112" t="s">
        <v>2220</v>
      </c>
      <c r="C58" s="3113"/>
      <c r="D58" s="185">
        <f ca="1">IF(H58="转让取得",C81,C97)</f>
        <v>3674</v>
      </c>
      <c r="E58" s="11" t="s">
        <v>2215</v>
      </c>
      <c r="F58" s="24" t="s">
        <v>34</v>
      </c>
      <c r="G58" s="2481"/>
      <c r="H58" s="2484" t="s">
        <v>2221</v>
      </c>
      <c r="I58" s="2485"/>
      <c r="J58" s="3147"/>
      <c r="K58" s="3147"/>
      <c r="L58" s="2486" t="s">
        <v>2222</v>
      </c>
      <c r="M58" s="1757"/>
      <c r="N58" s="2488" t="str">
        <f ca="1">NUMBERSTRING(INT(N57*10000),2)&amp;"元整"</f>
        <v>叁仟陆佰柒拾柒万元整</v>
      </c>
      <c r="O58" s="2489"/>
    </row>
    <row r="59" spans="1:35" ht="24.6" thickBot="1">
      <c r="A59" s="3150" t="s">
        <v>2223</v>
      </c>
      <c r="B59" s="3151"/>
      <c r="C59" s="315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48">
        <f>J57+1</f>
        <v>5</v>
      </c>
      <c r="K59" s="3147" t="s">
        <v>2225</v>
      </c>
      <c r="L59" s="1808" t="s">
        <v>2219</v>
      </c>
      <c r="M59" s="1758"/>
      <c r="N59" s="1759">
        <f ca="1">M49-N57</f>
        <v>2805</v>
      </c>
      <c r="O59" s="2491"/>
    </row>
    <row r="60" spans="1:35" ht="12" customHeight="1">
      <c r="A60" s="2492"/>
      <c r="B60" s="2414"/>
      <c r="C60" s="2414"/>
      <c r="D60" s="2414"/>
      <c r="E60" s="2162"/>
      <c r="F60" s="2485"/>
      <c r="G60" s="2485"/>
      <c r="H60" s="2493"/>
      <c r="I60" s="138"/>
      <c r="J60" s="3149"/>
      <c r="K60" s="3147"/>
      <c r="L60" s="2486" t="s">
        <v>2222</v>
      </c>
      <c r="M60" s="1757"/>
      <c r="N60" s="2488" t="str">
        <f ca="1">NUMBERSTRING(INT(N59*10000),2)&amp;"元整"</f>
        <v>贰仟捌佰零伍万元整</v>
      </c>
      <c r="O60" s="2489"/>
    </row>
    <row r="61" spans="1:35" ht="13.8" thickBot="1">
      <c r="A61" s="3094" t="s">
        <v>2226</v>
      </c>
      <c r="B61" s="3094"/>
      <c r="C61" s="3094"/>
      <c r="D61" s="3094"/>
      <c r="E61" s="3094"/>
      <c r="F61" s="2485"/>
      <c r="G61" s="2485"/>
      <c r="H61" s="2493"/>
      <c r="I61" s="138"/>
      <c r="J61" s="1808">
        <f>J59+1</f>
        <v>6</v>
      </c>
      <c r="K61" s="3147" t="s">
        <v>2227</v>
      </c>
      <c r="L61" s="3147"/>
      <c r="M61" s="1760"/>
      <c r="N61" s="1761">
        <f ca="1">ROUND(N59*10000/'数据-汇总表'!E3,0)</f>
        <v>3065</v>
      </c>
      <c r="O61" s="2494"/>
    </row>
    <row r="62" spans="1:35" ht="13.2">
      <c r="A62" s="3110" t="s">
        <v>2228</v>
      </c>
      <c r="B62" s="3111"/>
      <c r="C62" s="1800"/>
      <c r="D62" s="1800" t="s">
        <v>2229</v>
      </c>
      <c r="E62" s="192" t="s">
        <v>2230</v>
      </c>
      <c r="F62" s="2485"/>
      <c r="G62" s="2485"/>
      <c r="H62" s="2493"/>
      <c r="I62" s="138"/>
    </row>
    <row r="63" spans="1:35" ht="13.2">
      <c r="A63" s="203" t="s">
        <v>775</v>
      </c>
      <c r="B63" s="193" t="s">
        <v>2231</v>
      </c>
      <c r="C63" s="194">
        <f ca="1">ROUND((C64+C65)/(1+'数据-取费表'!C42),0)</f>
        <v>6173</v>
      </c>
      <c r="D63" s="195"/>
      <c r="E63" s="196"/>
      <c r="F63" s="2485"/>
      <c r="G63" s="2485"/>
      <c r="H63" s="2493"/>
      <c r="I63" s="138"/>
      <c r="J63" s="3172" t="s">
        <v>2232</v>
      </c>
      <c r="K63" s="2495" t="s">
        <v>2233</v>
      </c>
      <c r="L63" s="1748">
        <f ca="1">IF(M49&gt;10000,M49*0.5%,IF(AND(M49&gt;1000,M49&lt;=10000),M49*1%,IF(AND(M49&gt;100,M49&lt;=1000),M49*3%,IF(AND(M49&gt;10,M49&lt;=100),M49*5%,M49*8%))))</f>
        <v>64.820000000000007</v>
      </c>
      <c r="M63" s="24">
        <f ca="1">ROUND(L63,1)</f>
        <v>64.8</v>
      </c>
      <c r="Z63" s="2419"/>
      <c r="AI63" s="2420"/>
    </row>
    <row r="64" spans="1:35" ht="14.25" customHeight="1">
      <c r="A64" s="197" t="s">
        <v>770</v>
      </c>
      <c r="B64" s="198" t="s">
        <v>2234</v>
      </c>
      <c r="C64" s="199">
        <f ca="1">D45</f>
        <v>6482</v>
      </c>
      <c r="D64" s="200" t="s">
        <v>32</v>
      </c>
      <c r="E64" s="201"/>
      <c r="F64" s="2485"/>
      <c r="G64" s="2485"/>
      <c r="H64" s="2493"/>
      <c r="I64" s="138"/>
      <c r="J64" s="3172"/>
      <c r="K64" s="2495" t="s">
        <v>2235</v>
      </c>
      <c r="L64" s="1748">
        <f ca="1">IF(M49&gt;2000,M49*0.5%,IF(AND(M49&gt;1000,M49&lt;=2000),M49*0.6%,IF(AND(M49&gt;500,M49&lt;=1000),M49*0.7%,IF(AND(M49&gt;200,M49&lt;=500),M49*0.8%,IF(AND(M49&gt;100,M49&lt;=200),M49*0.9%,IF(AND(M49&gt;50,M49&lt;=100),M49*1%,IF(AND(M49&gt;20,M49&lt;=50),M49*1.5%,IF(AND(M49&gt;10,M49&lt;=20),M49*2%,IF(AND(M49&gt;1,M49&lt;=10),M49*2.5%)))))))))</f>
        <v>32.410000000000004</v>
      </c>
      <c r="M64" s="24">
        <f t="shared" ref="M64:M65" ca="1" si="1">ROUND(L64,1)</f>
        <v>32.4</v>
      </c>
      <c r="N64" s="138" t="s">
        <v>2236</v>
      </c>
      <c r="Z64" s="2419"/>
      <c r="AI64" s="2420"/>
    </row>
    <row r="65" spans="1:35" ht="14.25" customHeight="1">
      <c r="A65" s="197" t="s">
        <v>771</v>
      </c>
      <c r="B65" s="198" t="s">
        <v>2237</v>
      </c>
      <c r="C65" s="202"/>
      <c r="D65" s="200"/>
      <c r="E65" s="201"/>
      <c r="F65" s="2485"/>
      <c r="G65" s="2485"/>
      <c r="H65" s="2493"/>
      <c r="I65" s="138"/>
      <c r="J65" s="3172"/>
      <c r="K65" s="2495" t="s">
        <v>2238</v>
      </c>
      <c r="L65" s="1748">
        <f ca="1">IF(M49&gt;1000,M49*0.1%,IF(AND(M49&gt;500,M49&lt;=1000),M49*0.5%,IF(AND(M49&gt;50,M49&lt;=500),M49*1%,IF(AND(M49&gt;1,M49&lt;=50),M49*1.5%))))</f>
        <v>6.4820000000000002</v>
      </c>
      <c r="M65" s="24">
        <f t="shared" ca="1" si="1"/>
        <v>6.5</v>
      </c>
      <c r="N65" s="138" t="s">
        <v>2236</v>
      </c>
      <c r="Z65" s="2419"/>
      <c r="AI65" s="2420"/>
    </row>
    <row r="66" spans="1:35" ht="14.25" customHeight="1">
      <c r="A66" s="203" t="s">
        <v>772</v>
      </c>
      <c r="B66" s="204" t="s">
        <v>2239</v>
      </c>
      <c r="C66" s="205"/>
      <c r="D66" s="206" t="s">
        <v>32</v>
      </c>
      <c r="E66" s="1772" t="s">
        <v>1366</v>
      </c>
      <c r="F66" s="2485"/>
      <c r="G66" s="2485"/>
      <c r="H66" s="2493"/>
      <c r="I66" s="138"/>
      <c r="J66" s="3172"/>
      <c r="K66" s="2495" t="s">
        <v>2240</v>
      </c>
      <c r="L66" s="1748">
        <f ca="1">M49*0.5%</f>
        <v>32.410000000000004</v>
      </c>
      <c r="M66" s="24">
        <f ca="1">IF(L66&gt;0.5,0.5,ROUND(L66,0))</f>
        <v>0.5</v>
      </c>
      <c r="N66" s="138" t="s">
        <v>2241</v>
      </c>
      <c r="Z66" s="2419"/>
      <c r="AI66" s="2420"/>
    </row>
    <row r="67" spans="1:35" ht="14.25" customHeight="1">
      <c r="A67" s="203" t="s">
        <v>773</v>
      </c>
      <c r="B67" s="204" t="s">
        <v>2242</v>
      </c>
      <c r="C67" s="207">
        <f ca="1">C63-C66</f>
        <v>6173</v>
      </c>
      <c r="D67" s="200" t="s">
        <v>32</v>
      </c>
      <c r="E67" s="201"/>
      <c r="F67" s="2485"/>
      <c r="G67" s="2485"/>
      <c r="H67" s="2493"/>
      <c r="I67" s="138"/>
      <c r="J67" s="3172"/>
      <c r="K67" s="2495" t="s">
        <v>2243</v>
      </c>
      <c r="L67" s="1748">
        <f ca="1">IF(M49&gt;=10000,(8.25+(M49-10000)*0.01%),IF(AND(M49&gt;=8000,M49&lt;10000),(7.85+(M49-8000)*0.02%),IF(AND(M49&gt;=5000,M49&lt;8000),(6.65+(M49-5000)*0.04%),IF(AND(M49&gt;=2000,M49&lt;5000),(4.25+(PM49-2000)*0.08%),IF(AND(M49&gt;=1000,M49&lt;2000),(2.75+(M49-1000)*0.15%),IF(AND(M49&gt;=100,M49&lt;1000),(0.5+(M49-100)*0.25%),IF(AND(M49&gt;0,M49&lt;100),M49*0.5%)))))))</f>
        <v>7.2428000000000008</v>
      </c>
      <c r="M67" s="24">
        <f ca="1">ROUND(L67*0.9,1)</f>
        <v>6.5</v>
      </c>
      <c r="Z67" s="2419"/>
      <c r="AI67" s="2420"/>
    </row>
    <row r="68" spans="1:35" ht="14.25" customHeight="1" thickBot="1">
      <c r="A68" s="208" t="s">
        <v>774</v>
      </c>
      <c r="B68" s="209" t="s">
        <v>2244</v>
      </c>
      <c r="C68" s="210">
        <f ca="1">IF(C67&lt;=0,0,ROUND(C67*D68,0))</f>
        <v>340</v>
      </c>
      <c r="D68" s="211">
        <f>'数据-取费表'!B41</f>
        <v>5.5000000000000007E-2</v>
      </c>
      <c r="E68" s="212"/>
      <c r="F68" s="2485"/>
      <c r="G68" s="2485"/>
      <c r="H68" s="2493"/>
      <c r="I68" s="138"/>
      <c r="J68" s="3172"/>
      <c r="K68" s="2495" t="s">
        <v>2245</v>
      </c>
      <c r="L68" s="1748">
        <f ca="1">IF(M49&gt;10000,M49*0.5%,IF(AND(M49&gt;5000,M49&lt;=10000),M49*1%,IF(AND(M49&gt;1000,M49&lt;=5000),M49*2%,IF(AND(M49&gt;200,M49&lt;=1000),M49*3%,M49*5%))))</f>
        <v>64.820000000000007</v>
      </c>
      <c r="M68" s="24">
        <f ca="1">ROUND(L68,1)</f>
        <v>64.8</v>
      </c>
      <c r="Z68" s="2419"/>
      <c r="AI68" s="2420"/>
    </row>
    <row r="69" spans="1:35" s="2442" customFormat="1" ht="16.5" customHeight="1">
      <c r="A69" s="2496"/>
      <c r="B69" s="2497"/>
      <c r="C69" s="2498"/>
      <c r="D69" s="2499"/>
      <c r="E69" s="2500"/>
      <c r="F69" s="2162"/>
      <c r="G69" s="2162"/>
      <c r="H69" s="2161"/>
      <c r="I69" s="2414"/>
      <c r="J69" s="3172"/>
      <c r="K69" s="2495" t="s">
        <v>2246</v>
      </c>
      <c r="L69" s="2501"/>
      <c r="M69" s="24">
        <f ca="1">ROUND(SUM(M63:M68),0)</f>
        <v>176</v>
      </c>
      <c r="N69" s="1749">
        <f ca="1">M69/M49</f>
        <v>2.7152113545202097E-2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31" t="s">
        <v>2247</v>
      </c>
      <c r="B70" s="3132"/>
      <c r="C70" s="3132"/>
      <c r="D70" s="3132"/>
      <c r="E70" s="3132"/>
      <c r="F70" s="3132"/>
      <c r="G70" s="3132"/>
      <c r="H70" s="313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10" t="s">
        <v>2228</v>
      </c>
      <c r="B71" s="3111"/>
      <c r="C71" s="1800"/>
      <c r="D71" s="1800"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2248</v>
      </c>
      <c r="C72" s="207">
        <f ca="1">ROUND(D45/(1+'数据-取费表'!C42),0)</f>
        <v>6173</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2249</v>
      </c>
      <c r="C73" s="207">
        <f ca="1">C74+C78</f>
        <v>31</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5" t="s">
        <v>2256</v>
      </c>
      <c r="F76" s="3082"/>
      <c r="G76" s="3082"/>
      <c r="H76" s="313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31</v>
      </c>
      <c r="D78" s="226">
        <f>'数据-取费表'!B43</f>
        <v>5.000000000000001E-3</v>
      </c>
      <c r="E78" s="3091" t="s">
        <v>2261</v>
      </c>
      <c r="F78" s="3092"/>
      <c r="G78" s="3092"/>
      <c r="H78" s="310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2262</v>
      </c>
      <c r="C79" s="207">
        <f ca="1">C72-C73</f>
        <v>6142</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198.12903225806451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2264</v>
      </c>
      <c r="C81" s="228">
        <f ca="1">ROUND(IF(C79&lt;=0,0,IF(C80&gt;=200%,C79*60%-C73*35%,IF(C80&gt;=100%,C79*50%-C73*15%,IF(C80&gt;=50%,C79*40%-C73*5%,IF(C80&lt;50%,C79*30%,0))))),0)</f>
        <v>3674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31" t="s">
        <v>2265</v>
      </c>
      <c r="B83" s="3132"/>
      <c r="C83" s="3132"/>
      <c r="D83" s="3132"/>
      <c r="E83" s="3132"/>
      <c r="F83" s="3132"/>
      <c r="G83" s="3132"/>
      <c r="H83" s="313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10" t="s">
        <v>2228</v>
      </c>
      <c r="B84" s="3111"/>
      <c r="C84" s="1800"/>
      <c r="D84" s="1800"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2248</v>
      </c>
      <c r="C85" s="207">
        <f ca="1">ROUND(D45/(1+'数据-取费表'!C42),0)</f>
        <v>6173</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2249</v>
      </c>
      <c r="C86" s="207">
        <f ca="1">IF(H88="仅含出让金",C87+C90+C91+C92+C93+C94,C87+C91+C92+C93+C94)</f>
        <v>31</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2266</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2267</v>
      </c>
      <c r="C88" s="236"/>
      <c r="D88" s="226"/>
      <c r="E88" s="237" t="s">
        <v>2268</v>
      </c>
      <c r="F88" s="1796"/>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2257</v>
      </c>
      <c r="C89" s="225">
        <f>ROUND(C88*D89,0)</f>
        <v>0</v>
      </c>
      <c r="D89" s="226">
        <f>'数据-取费表'!B48+'数据-取费表'!B49</f>
        <v>3.0499999999999999E-2</v>
      </c>
      <c r="E89" s="237" t="s">
        <v>2270</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2271</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1" t="s">
        <v>2274</v>
      </c>
      <c r="F91" s="3092"/>
      <c r="G91" s="3092"/>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1" t="s">
        <v>2278</v>
      </c>
      <c r="F92" s="3092"/>
      <c r="G92" s="3092"/>
      <c r="H92" s="310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31</v>
      </c>
      <c r="D93" s="226">
        <f>'数据-取费表'!B43</f>
        <v>5.000000000000001E-3</v>
      </c>
      <c r="E93" s="3091" t="s">
        <v>2261</v>
      </c>
      <c r="F93" s="3092"/>
      <c r="G93" s="3092"/>
      <c r="H93" s="310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02" t="s">
        <v>2282</v>
      </c>
      <c r="F94" s="3103"/>
      <c r="G94" s="3103"/>
      <c r="H94" s="310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2262</v>
      </c>
      <c r="C95" s="207">
        <f ca="1">ROUND(C85-C86,0)</f>
        <v>6142</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198.12903225806451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2264</v>
      </c>
      <c r="C97" s="228">
        <f ca="1">ROUND(IF(C95&lt;=0,0,IF(C96&gt;=200%,C95*60%-C86*35%,IF(C96&gt;=100%,C95*50%-C86*15%,IF(C96&gt;=50%,C95*40%-C86*5%,IF(C96&lt;50%,C95*30%,0))))),0)</f>
        <v>3674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76" t="s">
        <v>2284</v>
      </c>
      <c r="B100" s="3077"/>
      <c r="C100" s="3077"/>
      <c r="D100" s="3093"/>
      <c r="E100" s="3077" t="s">
        <v>2285</v>
      </c>
      <c r="F100" s="3077"/>
      <c r="G100" s="3077"/>
      <c r="H100" s="3093"/>
      <c r="I100" s="138"/>
    </row>
    <row r="101" spans="1:35" ht="18.75" customHeight="1">
      <c r="A101" s="3155" t="s">
        <v>2286</v>
      </c>
      <c r="B101" s="3156"/>
      <c r="C101" s="736" t="str">
        <f>C4</f>
        <v>成本法</v>
      </c>
      <c r="D101" s="737" t="str">
        <f>D4</f>
        <v>收益法</v>
      </c>
      <c r="E101" s="3169" t="s">
        <v>2287</v>
      </c>
      <c r="F101" s="3123"/>
      <c r="G101" s="2516" t="s">
        <v>2288</v>
      </c>
      <c r="H101" s="1045">
        <f ca="1">H118</f>
        <v>6482</v>
      </c>
      <c r="I101" s="138"/>
    </row>
    <row r="102" spans="1:35" ht="18.75" customHeight="1">
      <c r="A102" s="3125" t="s">
        <v>2289</v>
      </c>
      <c r="B102" s="2516" t="s">
        <v>2288</v>
      </c>
      <c r="C102" s="736">
        <f ca="1">C19</f>
        <v>7814</v>
      </c>
      <c r="D102" s="737">
        <f ca="1">D19</f>
        <v>4853</v>
      </c>
      <c r="E102" s="3169"/>
      <c r="F102" s="3123"/>
      <c r="G102" s="2516" t="s">
        <v>2290</v>
      </c>
      <c r="H102" s="371">
        <f ca="1">I118</f>
        <v>7083</v>
      </c>
      <c r="I102" s="138"/>
    </row>
    <row r="103" spans="1:35" ht="42.75" customHeight="1">
      <c r="A103" s="3125"/>
      <c r="B103" s="2516" t="s">
        <v>2290</v>
      </c>
      <c r="C103" s="738">
        <f ca="1">C20</f>
        <v>8538</v>
      </c>
      <c r="D103" s="739">
        <f ca="1">D20</f>
        <v>5303</v>
      </c>
      <c r="E103" s="3164" t="s">
        <v>2291</v>
      </c>
      <c r="F103" s="3165"/>
      <c r="G103" s="2517" t="s">
        <v>2292</v>
      </c>
      <c r="H103" s="1045">
        <f>IF(D36="正常操作",H104+H105+H106,H105+H106)</f>
        <v>0</v>
      </c>
      <c r="I103" s="138"/>
    </row>
    <row r="104" spans="1:35" ht="18.75" customHeight="1">
      <c r="A104" s="3125" t="s">
        <v>2293</v>
      </c>
      <c r="B104" s="2518" t="s">
        <v>2288</v>
      </c>
      <c r="C104" s="740">
        <f ca="1">H118</f>
        <v>6482</v>
      </c>
      <c r="D104" s="741"/>
      <c r="E104" s="2263" t="s">
        <v>2294</v>
      </c>
      <c r="F104" s="2254"/>
      <c r="G104" s="2517" t="s">
        <v>2292</v>
      </c>
      <c r="H104" s="1046">
        <f>IF(D36="同一抵押权人同一抵押物续贷",C36&amp;"（未扣减，详见特别提示）",C36)</f>
        <v>0</v>
      </c>
      <c r="I104" s="138"/>
    </row>
    <row r="105" spans="1:35" ht="18.75" customHeight="1" thickBot="1">
      <c r="A105" s="3126"/>
      <c r="B105" s="2519" t="s">
        <v>2290</v>
      </c>
      <c r="C105" s="742">
        <f ca="1">I118</f>
        <v>7083</v>
      </c>
      <c r="D105" s="743"/>
      <c r="E105" s="2263" t="s">
        <v>2295</v>
      </c>
      <c r="F105" s="2254"/>
      <c r="G105" s="2517" t="s">
        <v>2292</v>
      </c>
      <c r="H105" s="1046">
        <f>C37</f>
        <v>0</v>
      </c>
      <c r="I105" s="138"/>
    </row>
    <row r="106" spans="1:35" ht="18.75" customHeight="1">
      <c r="A106" s="2414" t="s">
        <v>2296</v>
      </c>
      <c r="B106" s="2414"/>
      <c r="C106" s="2414"/>
      <c r="D106" s="2414"/>
      <c r="E106" s="2520" t="s">
        <v>2297</v>
      </c>
      <c r="F106" s="2254"/>
      <c r="G106" s="2517" t="s">
        <v>2292</v>
      </c>
      <c r="H106" s="1046">
        <f>C38</f>
        <v>0</v>
      </c>
      <c r="I106" s="138"/>
    </row>
    <row r="107" spans="1:35" ht="18.75" customHeight="1">
      <c r="A107" s="138"/>
      <c r="B107" s="138"/>
      <c r="C107" s="138"/>
      <c r="D107" s="138"/>
      <c r="E107" s="3122" t="str">
        <f>IF(项目基本情况!E8="已注销","——","3.房地产抵押价值")</f>
        <v>3.房地产抵押价值</v>
      </c>
      <c r="F107" s="3123"/>
      <c r="G107" s="2516" t="s">
        <v>2288</v>
      </c>
      <c r="H107" s="1045">
        <f ca="1">IF(E107="——","——",H101-H103)</f>
        <v>6482</v>
      </c>
      <c r="I107" s="138"/>
    </row>
    <row r="108" spans="1:35" ht="18.75" customHeight="1">
      <c r="A108" s="138"/>
      <c r="B108" s="138"/>
      <c r="C108" s="138"/>
      <c r="D108" s="138"/>
      <c r="E108" s="3122"/>
      <c r="F108" s="3123"/>
      <c r="G108" s="2516" t="s">
        <v>2290</v>
      </c>
      <c r="H108" s="371">
        <f ca="1">ROUND(H107*10000/'数据-汇总表'!E3,0)</f>
        <v>7083</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6" t="s">
        <v>2288</v>
      </c>
      <c r="H109" s="348" t="str">
        <f>IF(E109="——","——",H101-H105-H106)</f>
        <v>——</v>
      </c>
      <c r="I109" s="138"/>
    </row>
    <row r="110" spans="1:35" ht="18.75" customHeight="1">
      <c r="A110" s="138"/>
      <c r="B110" s="138"/>
      <c r="C110" s="138"/>
      <c r="D110" s="138"/>
      <c r="E110" s="3122"/>
      <c r="F110" s="3123"/>
      <c r="G110" s="2516" t="s">
        <v>2290</v>
      </c>
      <c r="H110" s="371"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16" t="s">
        <v>2288</v>
      </c>
      <c r="H111" s="1045" t="str">
        <f>IF(E111="——","——",N59)</f>
        <v>——</v>
      </c>
      <c r="I111" s="138"/>
    </row>
    <row r="112" spans="1:35" ht="18.75" customHeight="1" thickBot="1">
      <c r="A112" s="138"/>
      <c r="B112" s="138"/>
      <c r="C112" s="138"/>
      <c r="D112" s="138"/>
      <c r="E112" s="3159"/>
      <c r="F112" s="3160"/>
      <c r="G112" s="2521" t="s">
        <v>2290</v>
      </c>
      <c r="H112" s="790" t="str">
        <f>IF(E111="——","——",N61)</f>
        <v>——</v>
      </c>
      <c r="I112" s="138"/>
    </row>
    <row r="113" spans="1:11" ht="18.75" customHeight="1">
      <c r="A113" s="138"/>
      <c r="B113" s="138"/>
      <c r="C113" s="138"/>
      <c r="D113" s="138"/>
      <c r="E113" s="3127" t="s">
        <v>2296</v>
      </c>
      <c r="F113" s="3127"/>
      <c r="G113" s="3127"/>
      <c r="H113" s="3127"/>
      <c r="I113" s="138"/>
    </row>
    <row r="114" spans="1:11" ht="3.75" customHeight="1">
      <c r="A114" s="2414"/>
      <c r="B114" s="2414"/>
      <c r="C114" s="2414"/>
      <c r="D114" s="2414"/>
      <c r="E114" s="2492"/>
      <c r="F114" s="2492"/>
      <c r="G114" s="2492"/>
      <c r="H114" s="2492"/>
      <c r="I114" s="2414"/>
    </row>
    <row r="115" spans="1:11" ht="18.75" customHeight="1">
      <c r="A115" s="3140" t="s">
        <v>2298</v>
      </c>
      <c r="B115" s="3141"/>
      <c r="C115" s="3141"/>
      <c r="D115" s="3141"/>
      <c r="E115" s="3141"/>
      <c r="F115" s="3141"/>
      <c r="G115" s="3141"/>
      <c r="H115" s="3141"/>
      <c r="I115" s="3142"/>
    </row>
    <row r="116" spans="1:11" ht="27" customHeight="1">
      <c r="A116" s="3033" t="s">
        <v>2299</v>
      </c>
      <c r="B116" s="3128" t="s">
        <v>2300</v>
      </c>
      <c r="C116" s="3128" t="s">
        <v>2301</v>
      </c>
      <c r="D116" s="3144" t="s">
        <v>2302</v>
      </c>
      <c r="E116" s="3145"/>
      <c r="F116" s="3136" t="s">
        <v>2303</v>
      </c>
      <c r="G116" s="3136"/>
      <c r="H116" s="3033" t="s">
        <v>2304</v>
      </c>
      <c r="I116" s="3033"/>
    </row>
    <row r="117" spans="1:11" ht="18.75" customHeight="1">
      <c r="A117" s="3033"/>
      <c r="B117" s="3129"/>
      <c r="C117" s="3129"/>
      <c r="D117" s="1794" t="s">
        <v>2305</v>
      </c>
      <c r="E117" s="1794" t="s">
        <v>2306</v>
      </c>
      <c r="F117" s="1794" t="s">
        <v>2305</v>
      </c>
      <c r="G117" s="1794" t="s">
        <v>2307</v>
      </c>
      <c r="H117" s="1794" t="s">
        <v>2305</v>
      </c>
      <c r="I117" s="1794" t="s">
        <v>2307</v>
      </c>
    </row>
    <row r="118" spans="1:11" ht="24.75" customHeight="1">
      <c r="A118" s="2522" t="str">
        <f>项目基本情况!S2</f>
        <v>北京市大兴区永兴路7号院1号楼-3层至4层101号房地产</v>
      </c>
      <c r="B118" s="1794">
        <f>M18</f>
        <v>9152.0400000000009</v>
      </c>
      <c r="C118" s="1794">
        <f>M19</f>
        <v>0</v>
      </c>
      <c r="D118" s="1794">
        <f ca="1">ROUND(IF(D32="总价",C34,E118*B118/10000),0)</f>
        <v>3189</v>
      </c>
      <c r="E118" s="1794">
        <f ca="1">ROUND(IF(C33="自定义",IF(D32="楼面单价",C34,D118*10000/B118),I118-G118),0)</f>
        <v>3485</v>
      </c>
      <c r="F118" s="1794">
        <f ca="1">ROUND(IF(D32="总价",C35,G118*B118/10000),0)</f>
        <v>3293</v>
      </c>
      <c r="G118" s="1794">
        <f ca="1">ROUND(IF(D32="楼面单价",C35,F118*10000/B118),0)</f>
        <v>3598</v>
      </c>
      <c r="H118" s="1794">
        <f ca="1">ROUND(IF(D32="总价",C32,I118*B118/10000),0)</f>
        <v>6482</v>
      </c>
      <c r="I118" s="1794">
        <f ca="1">ROUND(IF(D32="楼面单价",C32,H118*10000/B118),0)</f>
        <v>7083</v>
      </c>
    </row>
    <row r="119" spans="1:11" ht="18.75" customHeight="1">
      <c r="A119" s="3033" t="s">
        <v>2308</v>
      </c>
      <c r="B119" s="3033"/>
      <c r="C119" s="3033"/>
      <c r="D119" s="3133" t="str">
        <f ca="1">NUMBERSTRING(INT(D118*10000),2)&amp;"元整"</f>
        <v>叁仟壹佰捌拾玖万元整</v>
      </c>
      <c r="E119" s="3135"/>
      <c r="F119" s="3133" t="str">
        <f ca="1">NUMBERSTRING(INT(F118*10000),2)&amp;"元整"</f>
        <v>叁仟贰佰玖拾叁万元整</v>
      </c>
      <c r="G119" s="3135"/>
      <c r="H119" s="3133" t="str">
        <f ca="1">NUMBERSTRING(INT(H118*10000),2)&amp;"元整"</f>
        <v>陆仟肆佰捌拾贰万元整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9" t="str">
        <f>IF(D120=0,"故，本次评估不存在"&amp;A120,"故，本次评估"&amp;A120&amp;"为人民币"&amp;D120&amp;"万元整。")</f>
        <v>故，本次评估不存在估价师知悉的法定优先受偿款</v>
      </c>
    </row>
    <row r="121" spans="1:11" ht="18.75" customHeight="1">
      <c r="A121" s="3137" t="s">
        <v>2308</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6482</v>
      </c>
      <c r="E122" s="3162"/>
      <c r="F122" s="3162"/>
      <c r="G122" s="3162"/>
      <c r="H122" s="3162"/>
      <c r="I122" s="3163"/>
    </row>
    <row r="123" spans="1:11" ht="18.75" customHeight="1">
      <c r="A123" s="3033" t="s">
        <v>2308</v>
      </c>
      <c r="B123" s="3033"/>
      <c r="C123" s="3033"/>
      <c r="D123" s="3133" t="str">
        <f ca="1">NUMBERSTRING(INT(D122*10000),2)&amp;"元整"</f>
        <v>陆仟肆佰捌拾贰万元整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3" t="s">
        <v>2308</v>
      </c>
      <c r="B125" s="3033"/>
      <c r="C125" s="3033"/>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2308</v>
      </c>
      <c r="B127" s="3033"/>
      <c r="C127" s="3033"/>
      <c r="D127" s="3133" t="e">
        <f>NUMBERSTRING(INT(D126*10000),2)&amp;"元整"</f>
        <v>#VALUE!</v>
      </c>
      <c r="E127" s="3134"/>
      <c r="F127" s="3134"/>
      <c r="G127" s="3134"/>
      <c r="H127" s="3134"/>
      <c r="I127" s="3135"/>
    </row>
    <row r="128" spans="1:11" ht="21.75" customHeight="1">
      <c r="A128" s="3143" t="s">
        <v>2309</v>
      </c>
      <c r="B128" s="3143"/>
      <c r="C128" s="3143"/>
      <c r="D128" s="3143"/>
      <c r="E128" s="3143"/>
      <c r="F128" s="3143"/>
      <c r="G128" s="3143"/>
      <c r="H128" s="3143"/>
      <c r="I128" s="3143"/>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2317</v>
      </c>
      <c r="B1" s="1935"/>
      <c r="C1" s="242"/>
      <c r="D1" s="242"/>
      <c r="E1" s="242"/>
      <c r="F1" s="242"/>
      <c r="G1" s="1379">
        <f>MATCH(B1,'数据-取费表'!A6:A16,0)+5</f>
        <v>7</v>
      </c>
    </row>
    <row r="2" spans="1:9" s="244" customFormat="1" ht="18" customHeight="1">
      <c r="A2" s="245" t="s">
        <v>2318</v>
      </c>
      <c r="B2" s="246">
        <f ca="1">IF(D2="——",C52,C52-E2)</f>
        <v>7814</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8538</v>
      </c>
      <c r="C3" s="243" t="s">
        <v>2321</v>
      </c>
      <c r="D3" s="243"/>
      <c r="E3" s="243"/>
      <c r="F3" s="243"/>
      <c r="G3" s="243"/>
    </row>
    <row r="4" spans="1:9" s="252" customFormat="1" ht="16.2">
      <c r="A4" s="249" t="s">
        <v>2322</v>
      </c>
      <c r="B4" s="250"/>
      <c r="C4" s="250"/>
      <c r="D4" s="250"/>
      <c r="E4" s="250"/>
      <c r="F4" s="250"/>
      <c r="G4" s="251"/>
    </row>
    <row r="5" spans="1:9" s="258" customFormat="1" ht="13.5" customHeight="1">
      <c r="A5" s="299" t="s">
        <v>2323</v>
      </c>
      <c r="B5" s="254" t="s">
        <v>2324</v>
      </c>
      <c r="C5" s="255">
        <f ca="1">C6+C7+C8</f>
        <v>2946</v>
      </c>
      <c r="D5" s="255" t="s">
        <v>2325</v>
      </c>
      <c r="E5" s="256" t="s">
        <v>2326</v>
      </c>
      <c r="F5" s="256" t="s">
        <v>2327</v>
      </c>
      <c r="G5" s="257"/>
    </row>
    <row r="6" spans="1:9" s="258" customFormat="1" ht="13.5" customHeight="1">
      <c r="A6" s="949" t="s">
        <v>2328</v>
      </c>
      <c r="B6" s="259" t="s">
        <v>2329</v>
      </c>
      <c r="C6" s="3320">
        <f ca="1">基准地价修正!E33</f>
        <v>2690</v>
      </c>
      <c r="D6" s="261"/>
      <c r="E6" s="262"/>
      <c r="F6" s="262"/>
      <c r="G6" s="263"/>
    </row>
    <row r="7" spans="1:9" s="258" customFormat="1" ht="13.5" customHeight="1">
      <c r="A7" s="949" t="s">
        <v>2330</v>
      </c>
      <c r="B7" s="259" t="s">
        <v>2331</v>
      </c>
      <c r="C7" s="264">
        <f ca="1">ROUND(C6*F7,0)</f>
        <v>82</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174</v>
      </c>
      <c r="D8" s="266"/>
      <c r="E8" s="264"/>
      <c r="F8" s="265"/>
      <c r="G8" s="2548" t="s">
        <v>3063</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150</v>
      </c>
      <c r="F9" s="265"/>
      <c r="G9" s="2549" t="s">
        <v>3064</v>
      </c>
      <c r="H9" s="1390"/>
      <c r="I9" s="2550" t="s">
        <v>2335</v>
      </c>
    </row>
    <row r="10" spans="1:9" s="258" customFormat="1" ht="13.5" customHeight="1">
      <c r="A10" s="950" t="s">
        <v>801</v>
      </c>
      <c r="B10" s="268" t="s">
        <v>2336</v>
      </c>
      <c r="C10" s="269">
        <f ca="1">ROUND(D10*E10/10000,0)</f>
        <v>174</v>
      </c>
      <c r="D10" s="1032">
        <f ca="1">IF(B1="",'数据-汇总表'!E6,IF(INDIRECT("'数据-取费表'!c"&amp;$G$1)="住宅",INDIRECT("'数据-取费表'!s"&amp;$G$1),INDIRECT("'数据-取费表'!k"&amp;$G$1)+INDIRECT("'数据-取费表'!s"&amp;$G$1)))</f>
        <v>9152.0400000000009</v>
      </c>
      <c r="E10" s="269">
        <f>'数据-取费表'!B28</f>
        <v>190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8" s="258" customFormat="1" ht="13.5" hidden="1" customHeight="1">
      <c r="A17" s="271" t="s">
        <v>13</v>
      </c>
      <c r="B17" s="259" t="s">
        <v>2344</v>
      </c>
      <c r="C17" s="273"/>
      <c r="D17" s="1035"/>
      <c r="E17" s="273"/>
      <c r="F17" s="273"/>
      <c r="G17" s="263" t="s">
        <v>2343</v>
      </c>
    </row>
    <row r="18" spans="1:8" s="258" customFormat="1" ht="13.5" hidden="1" customHeight="1">
      <c r="A18" s="271" t="s">
        <v>14</v>
      </c>
      <c r="B18" s="259" t="s">
        <v>2345</v>
      </c>
      <c r="C18" s="264">
        <v>0</v>
      </c>
      <c r="D18" s="1034"/>
      <c r="E18" s="262"/>
      <c r="F18" s="265">
        <v>3.0499999999999999E-2</v>
      </c>
      <c r="G18" s="263" t="s">
        <v>2346</v>
      </c>
    </row>
    <row r="19" spans="1:8" s="267" customFormat="1" ht="13.5" customHeight="1">
      <c r="A19" s="299" t="s">
        <v>2347</v>
      </c>
      <c r="B19" s="254" t="s">
        <v>2348</v>
      </c>
      <c r="C19" s="255" t="str">
        <f>IF(G19="已包含在土地取得成本中","0",ROUND(D19*E19/10000,0))</f>
        <v>0</v>
      </c>
      <c r="D19" s="1036">
        <f ca="1">D9+D10</f>
        <v>9152.0400000000009</v>
      </c>
      <c r="E19" s="255">
        <f>'数据-取费表'!B31</f>
        <v>200</v>
      </c>
      <c r="F19" s="275"/>
      <c r="G19" s="2548" t="s">
        <v>3065</v>
      </c>
    </row>
    <row r="20" spans="1:8" s="258" customFormat="1" ht="13.5" customHeight="1">
      <c r="A20" s="299" t="s">
        <v>2349</v>
      </c>
      <c r="B20" s="254" t="s">
        <v>2350</v>
      </c>
      <c r="C20" s="276">
        <f ca="1">ROUND((C5+C19)*F20,0)</f>
        <v>59</v>
      </c>
      <c r="D20" s="276"/>
      <c r="E20" s="276"/>
      <c r="F20" s="277">
        <f>'数据-取费表'!B37</f>
        <v>0.02</v>
      </c>
      <c r="G20" s="278" t="s">
        <v>2351</v>
      </c>
    </row>
    <row r="21" spans="1:8" s="258" customFormat="1" ht="13.5" customHeight="1">
      <c r="A21" s="299" t="s">
        <v>2352</v>
      </c>
      <c r="B21" s="254" t="s">
        <v>2353</v>
      </c>
      <c r="C21" s="279">
        <f>F21</f>
        <v>0.01</v>
      </c>
      <c r="D21" s="280" t="s">
        <v>2354</v>
      </c>
      <c r="E21" s="276"/>
      <c r="F21" s="277">
        <f>'数据-取费表'!B38</f>
        <v>0.01</v>
      </c>
      <c r="G21" s="278" t="s">
        <v>2355</v>
      </c>
      <c r="H21" s="258">
        <f>16550*0.6*25%</f>
        <v>2482.5</v>
      </c>
    </row>
    <row r="22" spans="1:8" s="258" customFormat="1" ht="13.5" customHeight="1">
      <c r="A22" s="299" t="s">
        <v>2356</v>
      </c>
      <c r="B22" s="254" t="s">
        <v>2357</v>
      </c>
      <c r="C22" s="1354">
        <f ca="1">ROUND(SUM(C23:C25),0)</f>
        <v>290</v>
      </c>
      <c r="D22" s="279">
        <f ca="1">C26</f>
        <v>5.0000000000000001E-4</v>
      </c>
      <c r="E22" s="280" t="s">
        <v>2354</v>
      </c>
      <c r="F22" s="281">
        <f ca="1">'数据-取费表'!B40</f>
        <v>4.7500000000000001E-2</v>
      </c>
      <c r="G22" s="278" t="str">
        <f>IF('数据-取费表'!B22&lt;=1,"单利计息","复利计息")</f>
        <v>复利计息</v>
      </c>
    </row>
    <row r="23" spans="1:8" s="258" customFormat="1" ht="13.5" customHeight="1">
      <c r="A23" s="951" t="s">
        <v>2358</v>
      </c>
      <c r="B23" s="259" t="s">
        <v>2359</v>
      </c>
      <c r="C23" s="1355">
        <f ca="1">ROUND(IF('数据-取费表'!B22&lt;=1,C5*F22*'数据-取费表'!B23,C5*(POWER((1+F22),'数据-取费表'!B23)-1)),0)</f>
        <v>287</v>
      </c>
      <c r="D23" s="282"/>
      <c r="E23" s="282"/>
      <c r="F23" s="283"/>
      <c r="G23" s="284" t="s">
        <v>2360</v>
      </c>
    </row>
    <row r="24" spans="1:8"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8" s="258" customFormat="1" ht="24">
      <c r="A25" s="951" t="s">
        <v>2364</v>
      </c>
      <c r="B25" s="259" t="s">
        <v>2365</v>
      </c>
      <c r="C25" s="1355">
        <f ca="1">ROUND(IF('数据-取费表'!B22&lt;=1,C20*F22*'数据-取费表'!B23/2,C20*(POWER((1+F22),'数据-取费表'!B23/2)-1)),0)</f>
        <v>3</v>
      </c>
      <c r="D25" s="282"/>
      <c r="E25" s="285"/>
      <c r="F25" s="283"/>
      <c r="G25" s="286" t="s">
        <v>2366</v>
      </c>
    </row>
    <row r="26" spans="1:8" s="258" customFormat="1">
      <c r="A26" s="951" t="s">
        <v>795</v>
      </c>
      <c r="B26" s="259" t="s">
        <v>2367</v>
      </c>
      <c r="C26" s="282">
        <f ca="1">ROUND(IF('数据-取费表'!B22&lt;=1,F21*F22*'数据-取费表'!B23/2,F21*(POWER((1+F22),'数据-取费表'!B23/2)-1)),4)</f>
        <v>5.0000000000000001E-4</v>
      </c>
      <c r="D26" s="282"/>
      <c r="E26" s="285"/>
      <c r="F26" s="283"/>
      <c r="G26" s="287"/>
    </row>
    <row r="27" spans="1:8" s="258" customFormat="1" ht="26.4">
      <c r="A27" s="299" t="s">
        <v>2368</v>
      </c>
      <c r="B27" s="288" t="s">
        <v>2369</v>
      </c>
      <c r="C27" s="289">
        <f ca="1">C28</f>
        <v>301</v>
      </c>
      <c r="D27" s="279">
        <f ca="1">C29</f>
        <v>1E-3</v>
      </c>
      <c r="E27" s="280" t="s">
        <v>2370</v>
      </c>
      <c r="F27" s="290">
        <f ca="1">IF(B1="",'数据-取费表'!Q16,INDIRECT("'数据-取费表'!q"&amp;$G$1))</f>
        <v>0.1</v>
      </c>
      <c r="G27" s="291" t="s">
        <v>2371</v>
      </c>
    </row>
    <row r="28" spans="1:8" s="258" customFormat="1" ht="13.5" customHeight="1">
      <c r="A28" s="951" t="s">
        <v>791</v>
      </c>
      <c r="B28" s="292" t="s">
        <v>2372</v>
      </c>
      <c r="C28" s="293">
        <f ca="1">ROUND((C5+C19+C20)*F27*'数据-取费表'!B21/'数据-取费表'!B20,0)</f>
        <v>301</v>
      </c>
      <c r="D28" s="279"/>
      <c r="E28" s="280"/>
      <c r="F28" s="290"/>
      <c r="G28" s="291"/>
    </row>
    <row r="29" spans="1:8" s="258" customFormat="1" ht="13.5" customHeight="1">
      <c r="A29" s="951" t="s">
        <v>792</v>
      </c>
      <c r="B29" s="292" t="s">
        <v>2373</v>
      </c>
      <c r="C29" s="282">
        <f ca="1">ROUND(C21*F27*'数据-取费表'!B21/'数据-取费表'!B20,4)</f>
        <v>1E-3</v>
      </c>
      <c r="D29" s="279"/>
      <c r="E29" s="280"/>
      <c r="F29" s="290"/>
      <c r="G29" s="291"/>
    </row>
    <row r="30" spans="1:8"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8" ht="16.5" customHeight="1">
      <c r="A31" s="253">
        <v>1</v>
      </c>
      <c r="B31" s="254" t="s">
        <v>2377</v>
      </c>
      <c r="C31" s="255">
        <f ca="1">ROUND((C5+C19+C20+C22+C27)/(1-C21-D22-D27-C30),0)</f>
        <v>3841</v>
      </c>
      <c r="D31" s="274"/>
      <c r="E31" s="255"/>
      <c r="F31" s="294"/>
      <c r="G31" s="278" t="s">
        <v>2378</v>
      </c>
    </row>
    <row r="32" spans="1:8" s="252" customFormat="1" ht="16.2">
      <c r="A32" s="296" t="s">
        <v>2379</v>
      </c>
      <c r="B32" s="297"/>
      <c r="C32" s="297"/>
      <c r="D32" s="297"/>
      <c r="E32" s="297"/>
      <c r="F32" s="297"/>
      <c r="G32" s="298"/>
    </row>
    <row r="33" spans="1:7" s="258" customFormat="1" ht="13.5" customHeight="1">
      <c r="A33" s="299" t="s">
        <v>782</v>
      </c>
      <c r="B33" s="254" t="s">
        <v>2380</v>
      </c>
      <c r="C33" s="300">
        <f ca="1">SUM(C34:C38)</f>
        <v>3530</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3203</v>
      </c>
      <c r="D34" s="261"/>
      <c r="E34" s="264"/>
      <c r="F34" s="301">
        <f ca="1">IF('数据-取费表'!B24=0,1,IF(B1="",'数据-取费表'!N16,INDIRECT("'数据-取费表'!n"&amp;$G$1)))</f>
        <v>1</v>
      </c>
      <c r="G34" s="263" t="s">
        <v>2382</v>
      </c>
    </row>
    <row r="35" spans="1:7" ht="13.5" customHeight="1">
      <c r="A35" s="951" t="s">
        <v>796</v>
      </c>
      <c r="B35" s="259" t="s">
        <v>2383</v>
      </c>
      <c r="C35" s="264">
        <f ca="1">ROUND(C34*F35,0)</f>
        <v>96</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183</v>
      </c>
      <c r="D37" s="261">
        <f ca="1">D19</f>
        <v>9152.0400000000009</v>
      </c>
      <c r="E37" s="293">
        <f>'数据-取费表'!B35</f>
        <v>200</v>
      </c>
      <c r="F37" s="303"/>
      <c r="G37" s="305" t="s">
        <v>2388</v>
      </c>
    </row>
    <row r="38" spans="1:7" ht="13.5" customHeight="1">
      <c r="A38" s="951" t="s">
        <v>799</v>
      </c>
      <c r="B38" s="259" t="s">
        <v>2389</v>
      </c>
      <c r="C38" s="264">
        <f ca="1">ROUND(C34*F38,0)</f>
        <v>48</v>
      </c>
      <c r="D38" s="264"/>
      <c r="E38" s="264"/>
      <c r="F38" s="303">
        <f>'数据-取费表'!B36</f>
        <v>1.4999999999999999E-2</v>
      </c>
      <c r="G38" s="263" t="s">
        <v>2384</v>
      </c>
    </row>
    <row r="39" spans="1:7" s="258" customFormat="1" ht="13.5" customHeight="1">
      <c r="A39" s="299" t="s">
        <v>2390</v>
      </c>
      <c r="B39" s="254" t="s">
        <v>2391</v>
      </c>
      <c r="C39" s="276">
        <f ca="1">ROUND(C33*F20,0)</f>
        <v>71</v>
      </c>
      <c r="D39" s="276"/>
      <c r="E39" s="276"/>
      <c r="F39" s="277"/>
      <c r="G39" s="278" t="s">
        <v>2392</v>
      </c>
    </row>
    <row r="40" spans="1:7" s="258" customFormat="1" ht="13.5" customHeight="1">
      <c r="A40" s="299" t="s">
        <v>2393</v>
      </c>
      <c r="B40" s="254" t="s">
        <v>2394</v>
      </c>
      <c r="C40" s="1727">
        <f>F21</f>
        <v>0.01</v>
      </c>
      <c r="D40" s="280" t="s">
        <v>2395</v>
      </c>
      <c r="E40" s="276"/>
      <c r="F40" s="277"/>
      <c r="G40" s="278" t="s">
        <v>2396</v>
      </c>
    </row>
    <row r="41" spans="1:7" s="258" customFormat="1" ht="13.5" customHeight="1">
      <c r="A41" s="299" t="s">
        <v>2397</v>
      </c>
      <c r="B41" s="254" t="s">
        <v>2398</v>
      </c>
      <c r="C41" s="276">
        <f ca="1">ROUND(SUM(C42:C43),0)</f>
        <v>171</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168</v>
      </c>
      <c r="D42" s="282"/>
      <c r="E42" s="282"/>
      <c r="F42" s="283"/>
      <c r="G42" s="3175" t="s">
        <v>2400</v>
      </c>
    </row>
    <row r="43" spans="1:7" ht="13.5" customHeight="1">
      <c r="A43" s="951" t="s">
        <v>792</v>
      </c>
      <c r="B43" s="259" t="s">
        <v>2401</v>
      </c>
      <c r="C43" s="282">
        <f ca="1">ROUND(IF('数据-取费表'!B22&lt;=1,C39*F22*'数据-取费表'!B21/2,C39*(POWER((1+F22),'数据-取费表'!B21/2)-1)),0)</f>
        <v>3</v>
      </c>
      <c r="D43" s="282"/>
      <c r="E43" s="282"/>
      <c r="F43" s="283"/>
      <c r="G43" s="3176"/>
    </row>
    <row r="44" spans="1:7" ht="13.5" customHeight="1">
      <c r="A44" s="951" t="s">
        <v>793</v>
      </c>
      <c r="B44" s="259" t="s">
        <v>2402</v>
      </c>
      <c r="C44" s="282">
        <f ca="1">ROUND(IF('数据-取费表'!B22&lt;=1,C40*F22*'数据-取费表'!B21/2,C40*(POWER((1+F22),'数据-取费表'!B21/2)-1)),4)</f>
        <v>5.0000000000000001E-4</v>
      </c>
      <c r="D44" s="282"/>
      <c r="E44" s="282"/>
      <c r="F44" s="283"/>
      <c r="G44" s="3177"/>
    </row>
    <row r="45" spans="1:7" s="258" customFormat="1" ht="13.5" customHeight="1">
      <c r="A45" s="299" t="s">
        <v>2403</v>
      </c>
      <c r="B45" s="288" t="s">
        <v>2369</v>
      </c>
      <c r="C45" s="289">
        <f ca="1">C46</f>
        <v>360</v>
      </c>
      <c r="D45" s="279">
        <f ca="1">C47</f>
        <v>1E-3</v>
      </c>
      <c r="E45" s="280" t="s">
        <v>2395</v>
      </c>
      <c r="F45" s="290"/>
      <c r="G45" s="291" t="s">
        <v>2404</v>
      </c>
    </row>
    <row r="46" spans="1:7" s="258" customFormat="1" ht="13.5" customHeight="1">
      <c r="A46" s="951" t="s">
        <v>791</v>
      </c>
      <c r="B46" s="292" t="s">
        <v>2405</v>
      </c>
      <c r="C46" s="293">
        <f ca="1">ROUND((C33+C39)*F27,0)</f>
        <v>360</v>
      </c>
      <c r="D46" s="307"/>
      <c r="E46" s="280"/>
      <c r="F46" s="290"/>
      <c r="G46" s="291"/>
    </row>
    <row r="47" spans="1:7" s="258" customFormat="1" ht="13.5" customHeight="1">
      <c r="A47" s="951" t="s">
        <v>792</v>
      </c>
      <c r="B47" s="292" t="s">
        <v>2406</v>
      </c>
      <c r="C47" s="282">
        <f ca="1">ROUND(C40*F27,4)</f>
        <v>1E-3</v>
      </c>
      <c r="D47" s="307"/>
      <c r="E47" s="280"/>
      <c r="F47" s="290"/>
      <c r="G47" s="291"/>
    </row>
    <row r="48" spans="1:7" s="258" customFormat="1" ht="13.5" customHeight="1">
      <c r="A48" s="299" t="s">
        <v>2368</v>
      </c>
      <c r="B48" s="254" t="s">
        <v>2407</v>
      </c>
      <c r="C48" s="1727">
        <f>ROUND(F30/(1+'数据-取费表'!C42),4)</f>
        <v>5.2400000000000002E-2</v>
      </c>
      <c r="D48" s="280" t="s">
        <v>2395</v>
      </c>
      <c r="E48" s="276"/>
      <c r="F48" s="281"/>
      <c r="G48" s="278" t="s">
        <v>2408</v>
      </c>
    </row>
    <row r="49" spans="1:7" ht="16.5" customHeight="1">
      <c r="A49" s="299" t="s">
        <v>2374</v>
      </c>
      <c r="B49" s="254" t="s">
        <v>2409</v>
      </c>
      <c r="C49" s="276">
        <f ca="1">ROUND((C33+C39+C41+C45)/(1-C40-D41-D45-C48),0)</f>
        <v>4414</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3973</v>
      </c>
      <c r="D51" s="276"/>
      <c r="E51" s="276"/>
      <c r="F51" s="308"/>
      <c r="G51" s="278" t="s">
        <v>2416</v>
      </c>
    </row>
    <row r="52" spans="1:7" s="252" customFormat="1" ht="16.8" thickBot="1">
      <c r="A52" s="309" t="s">
        <v>2417</v>
      </c>
      <c r="B52" s="310"/>
      <c r="C52" s="311">
        <f ca="1">C31+C51</f>
        <v>7814</v>
      </c>
      <c r="D52" s="310"/>
      <c r="E52" s="310"/>
      <c r="F52" s="310"/>
      <c r="G52" s="312"/>
    </row>
    <row r="55" spans="1:7" ht="15">
      <c r="B55" s="314" t="s">
        <v>2418</v>
      </c>
      <c r="C55" s="315"/>
    </row>
    <row r="56" spans="1:7">
      <c r="B56" s="317" t="s">
        <v>1506</v>
      </c>
      <c r="C56" s="319">
        <f ca="1">1-C57</f>
        <v>0.49199999999999999</v>
      </c>
    </row>
    <row r="57" spans="1:7">
      <c r="B57" s="317" t="s">
        <v>1507</v>
      </c>
      <c r="C57" s="318">
        <f ca="1">ROUND(C51/C52,3)</f>
        <v>0.50800000000000001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北京市大兴区永兴路7号院1号楼-3层至4层101号房地产抵押价值预评估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2317</v>
      </c>
      <c r="B1" s="1935"/>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4438</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4849</v>
      </c>
      <c r="C3" s="243" t="s">
        <v>2321</v>
      </c>
      <c r="D3" s="243"/>
      <c r="E3" s="243"/>
      <c r="F3" s="243"/>
      <c r="G3" s="243"/>
    </row>
    <row r="4" spans="1:8" s="252" customFormat="1" ht="16.2">
      <c r="A4" s="249" t="s">
        <v>2322</v>
      </c>
      <c r="B4" s="250"/>
      <c r="C4" s="250"/>
      <c r="D4" s="250"/>
      <c r="E4" s="250"/>
      <c r="F4" s="250"/>
      <c r="G4" s="251"/>
    </row>
    <row r="5" spans="1:8" s="258" customFormat="1" ht="13.5" customHeight="1">
      <c r="A5" s="299" t="s">
        <v>2323</v>
      </c>
      <c r="B5" s="254" t="s">
        <v>2324</v>
      </c>
      <c r="C5" s="255">
        <f ca="1">C6+C7+C8</f>
        <v>1738888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1738888</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2336</v>
      </c>
      <c r="C10" s="269">
        <f ca="1">ROUND(D10*E10,0)</f>
        <v>1738888</v>
      </c>
      <c r="D10" s="1032">
        <f ca="1">IF(B1="",'数据-汇总表'!E6,IF(INDIRECT("'数据-取费表'!c"&amp;$G$1)="住宅",INDIRECT("'数据-取费表'!s"&amp;$G$1),INDIRECT("'数据-取费表'!k"&amp;$G$1)+INDIRECT("'数据-取费表'!s"&amp;$G$1)))</f>
        <v>9152.0400000000009</v>
      </c>
      <c r="E10" s="269">
        <f>'数据-取费表'!B28</f>
        <v>190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1830408</v>
      </c>
      <c r="D19" s="1036">
        <f ca="1">D9+D10</f>
        <v>9152.0400000000009</v>
      </c>
      <c r="E19" s="255">
        <f>'数据-取费表'!B31</f>
        <v>200</v>
      </c>
      <c r="F19" s="275"/>
      <c r="G19" s="2548"/>
    </row>
    <row r="20" spans="1:7" s="258" customFormat="1" ht="13.5" customHeight="1">
      <c r="A20" s="299" t="s">
        <v>2430</v>
      </c>
      <c r="B20" s="254" t="s">
        <v>2431</v>
      </c>
      <c r="C20" s="276">
        <f ca="1">ROUND((C5+C19)*F20,0)</f>
        <v>71386</v>
      </c>
      <c r="D20" s="276"/>
      <c r="E20" s="276"/>
      <c r="F20" s="277">
        <f>'数据-取费表'!B37</f>
        <v>0.02</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350528</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169118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178019</v>
      </c>
      <c r="D24" s="282"/>
      <c r="E24" s="282"/>
      <c r="F24" s="283"/>
      <c r="G24" s="284" t="s">
        <v>2442</v>
      </c>
    </row>
    <row r="25" spans="1:7" s="258" customFormat="1" ht="24">
      <c r="A25" s="951" t="s">
        <v>2332</v>
      </c>
      <c r="B25" s="259" t="s">
        <v>2443</v>
      </c>
      <c r="C25" s="1381">
        <f ca="1">ROUND(IF('数据-取费表'!B22&lt;=1,C20*F22*'数据-取费表'!B22/2,C20*(POWER((1+F22),'数据-取费表'!B22/2)-1)),0)</f>
        <v>3391</v>
      </c>
      <c r="D25" s="282"/>
      <c r="E25" s="285"/>
      <c r="F25" s="283"/>
      <c r="G25" s="286" t="s">
        <v>2444</v>
      </c>
    </row>
    <row r="26" spans="1:7" s="258" customFormat="1">
      <c r="A26" s="951" t="s">
        <v>795</v>
      </c>
      <c r="B26" s="259" t="s">
        <v>2367</v>
      </c>
      <c r="C26" s="282">
        <f ca="1">ROUND(IF('数据-取费表'!B22&lt;=1,F21*F22*'数据-取费表'!B22/2,F21*(POWER((1+F22),'数据-取费表'!B22/2)-1)),4)</f>
        <v>5.0000000000000001E-4</v>
      </c>
      <c r="D26" s="282"/>
      <c r="E26" s="285"/>
      <c r="F26" s="283"/>
      <c r="G26" s="287"/>
    </row>
    <row r="27" spans="1:7" s="258" customFormat="1" ht="26.4">
      <c r="A27" s="299" t="s">
        <v>2368</v>
      </c>
      <c r="B27" s="288" t="s">
        <v>2369</v>
      </c>
      <c r="C27" s="289">
        <f ca="1">C28</f>
        <v>364068</v>
      </c>
      <c r="D27" s="279">
        <f ca="1">C29</f>
        <v>1E-3</v>
      </c>
      <c r="E27" s="280" t="s">
        <v>2370</v>
      </c>
      <c r="F27" s="290">
        <f ca="1">IF(B1="",'数据-取费表'!Q16,INDIRECT("'数据-取费表'!q"&amp;$G$1))</f>
        <v>0.1</v>
      </c>
      <c r="G27" s="291" t="s">
        <v>2371</v>
      </c>
    </row>
    <row r="28" spans="1:7" s="258" customFormat="1" ht="13.5" customHeight="1">
      <c r="A28" s="951" t="s">
        <v>791</v>
      </c>
      <c r="B28" s="292" t="s">
        <v>2372</v>
      </c>
      <c r="C28" s="293">
        <f ca="1">ROUND((C5+C19+C20)*F27,0)</f>
        <v>364068</v>
      </c>
      <c r="D28" s="279"/>
      <c r="E28" s="280"/>
      <c r="F28" s="290"/>
      <c r="G28" s="291"/>
    </row>
    <row r="29" spans="1:7" s="258" customFormat="1" ht="13.5" customHeight="1">
      <c r="A29" s="951" t="s">
        <v>792</v>
      </c>
      <c r="B29" s="292" t="s">
        <v>2373</v>
      </c>
      <c r="C29" s="282">
        <f ca="1">ROUND(C21*F27,4)</f>
        <v>1E-3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4652578</v>
      </c>
      <c r="D31" s="274"/>
      <c r="E31" s="255"/>
      <c r="F31" s="294"/>
      <c r="G31" s="278" t="s">
        <v>2378</v>
      </c>
    </row>
    <row r="32" spans="1:7" s="252" customFormat="1" ht="16.2">
      <c r="A32" s="296" t="s">
        <v>2445</v>
      </c>
      <c r="B32" s="297"/>
      <c r="C32" s="297"/>
      <c r="D32" s="297"/>
      <c r="E32" s="297"/>
      <c r="F32" s="297"/>
      <c r="G32" s="298"/>
    </row>
    <row r="33" spans="1:7" s="258" customFormat="1" ht="13.5" customHeight="1">
      <c r="A33" s="299" t="s">
        <v>782</v>
      </c>
      <c r="B33" s="254" t="s">
        <v>2446</v>
      </c>
      <c r="C33" s="300">
        <f ca="1">SUM(C34:C38)</f>
        <v>35303994</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32032140</v>
      </c>
      <c r="D34" s="261"/>
      <c r="E34" s="264"/>
      <c r="F34" s="301"/>
      <c r="G34" s="263"/>
    </row>
    <row r="35" spans="1:7" ht="13.5" customHeight="1">
      <c r="A35" s="951" t="s">
        <v>796</v>
      </c>
      <c r="B35" s="259" t="s">
        <v>2383</v>
      </c>
      <c r="C35" s="264">
        <f ca="1">ROUND(C34*F35,0)</f>
        <v>960964</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1830408</v>
      </c>
      <c r="D37" s="261">
        <f ca="1">D19</f>
        <v>9152.0400000000009</v>
      </c>
      <c r="E37" s="293">
        <f>'数据-取费表'!B35</f>
        <v>200</v>
      </c>
      <c r="F37" s="303"/>
      <c r="G37" s="305"/>
    </row>
    <row r="38" spans="1:7" ht="13.5" customHeight="1">
      <c r="A38" s="951" t="s">
        <v>799</v>
      </c>
      <c r="B38" s="259" t="s">
        <v>2389</v>
      </c>
      <c r="C38" s="264">
        <f ca="1">ROUND(C34*F38,0)</f>
        <v>480482</v>
      </c>
      <c r="D38" s="264"/>
      <c r="E38" s="264"/>
      <c r="F38" s="303">
        <f>'数据-取费表'!B36</f>
        <v>1.4999999999999999E-2</v>
      </c>
      <c r="G38" s="263" t="s">
        <v>2384</v>
      </c>
    </row>
    <row r="39" spans="1:7" s="258" customFormat="1" ht="13.5" customHeight="1">
      <c r="A39" s="299" t="s">
        <v>2390</v>
      </c>
      <c r="B39" s="254" t="s">
        <v>2391</v>
      </c>
      <c r="C39" s="276">
        <f ca="1">ROUND(C33*F20,0)</f>
        <v>706080</v>
      </c>
      <c r="D39" s="276"/>
      <c r="E39" s="276"/>
      <c r="F39" s="277"/>
      <c r="G39" s="278" t="s">
        <v>2392</v>
      </c>
    </row>
    <row r="40" spans="1:7" s="258" customFormat="1" ht="13.5" customHeight="1">
      <c r="A40" s="299" t="s">
        <v>2393</v>
      </c>
      <c r="B40" s="254" t="s">
        <v>2394</v>
      </c>
      <c r="C40" s="1727">
        <f>F21</f>
        <v>0.01</v>
      </c>
      <c r="D40" s="280" t="s">
        <v>2395</v>
      </c>
      <c r="E40" s="276"/>
      <c r="F40" s="277"/>
      <c r="G40" s="278" t="s">
        <v>2396</v>
      </c>
    </row>
    <row r="41" spans="1:7" s="258" customFormat="1" ht="13.5" customHeight="1">
      <c r="A41" s="299" t="s">
        <v>2397</v>
      </c>
      <c r="B41" s="254" t="s">
        <v>2398</v>
      </c>
      <c r="C41" s="276">
        <f ca="1">ROUND(SUM(C42:C43),0)</f>
        <v>1710479</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1676940</v>
      </c>
      <c r="D42" s="282"/>
      <c r="E42" s="282"/>
      <c r="F42" s="283"/>
      <c r="G42" s="3175" t="s">
        <v>2447</v>
      </c>
    </row>
    <row r="43" spans="1:7" ht="13.5" customHeight="1">
      <c r="A43" s="951" t="s">
        <v>792</v>
      </c>
      <c r="B43" s="259" t="s">
        <v>2401</v>
      </c>
      <c r="C43" s="282">
        <f ca="1">ROUND(IF('数据-取费表'!B22&lt;=1,C39*F22*'数据-取费表'!B20/2,C39*(POWER((1+F22),'数据-取费表'!B20/2)-1)),0)</f>
        <v>33539</v>
      </c>
      <c r="D43" s="282"/>
      <c r="E43" s="282"/>
      <c r="F43" s="283"/>
      <c r="G43" s="3176"/>
    </row>
    <row r="44" spans="1:7" ht="13.5" customHeight="1">
      <c r="A44" s="951" t="s">
        <v>793</v>
      </c>
      <c r="B44" s="259" t="s">
        <v>2402</v>
      </c>
      <c r="C44" s="282">
        <f ca="1">ROUND(IF('数据-取费表'!B22&lt;=1,C40*F22*'数据-取费表'!B20/2,C40*(POWER((1+F22),'数据-取费表'!B20/2)-1)),4)</f>
        <v>5.0000000000000001E-4</v>
      </c>
      <c r="D44" s="282"/>
      <c r="E44" s="282"/>
      <c r="F44" s="283"/>
      <c r="G44" s="3177"/>
    </row>
    <row r="45" spans="1:7" s="258" customFormat="1" ht="13.5" customHeight="1">
      <c r="A45" s="299" t="s">
        <v>2403</v>
      </c>
      <c r="B45" s="288" t="s">
        <v>2369</v>
      </c>
      <c r="C45" s="289">
        <f ca="1">C46</f>
        <v>3601007</v>
      </c>
      <c r="D45" s="279">
        <f ca="1">C47</f>
        <v>1E-3</v>
      </c>
      <c r="E45" s="280" t="s">
        <v>2395</v>
      </c>
      <c r="F45" s="290"/>
      <c r="G45" s="291" t="s">
        <v>2404</v>
      </c>
    </row>
    <row r="46" spans="1:7" s="258" customFormat="1" ht="13.5" customHeight="1">
      <c r="A46" s="951" t="s">
        <v>791</v>
      </c>
      <c r="B46" s="292" t="s">
        <v>2405</v>
      </c>
      <c r="C46" s="293">
        <f ca="1">ROUND((C33+C39)*F27,0)</f>
        <v>3601007</v>
      </c>
      <c r="D46" s="307"/>
      <c r="E46" s="280"/>
      <c r="F46" s="290"/>
      <c r="G46" s="291"/>
    </row>
    <row r="47" spans="1:7" s="258" customFormat="1" ht="13.5" customHeight="1">
      <c r="A47" s="951" t="s">
        <v>792</v>
      </c>
      <c r="B47" s="292" t="s">
        <v>2406</v>
      </c>
      <c r="C47" s="282">
        <f ca="1">ROUND(C40*F27,4)</f>
        <v>1E-3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44142250</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39728025</v>
      </c>
      <c r="D51" s="276"/>
      <c r="E51" s="276"/>
      <c r="F51" s="308"/>
      <c r="G51" s="278" t="s">
        <v>2416</v>
      </c>
    </row>
    <row r="52" spans="1:7" s="252" customFormat="1" ht="16.8" thickBot="1">
      <c r="A52" s="309" t="s">
        <v>2417</v>
      </c>
      <c r="B52" s="310"/>
      <c r="C52" s="311">
        <f ca="1">C31+C51</f>
        <v>44380603</v>
      </c>
      <c r="D52" s="310"/>
      <c r="E52" s="310"/>
      <c r="F52" s="310"/>
      <c r="G52" s="312"/>
    </row>
    <row r="55" spans="1:7" ht="15">
      <c r="B55" s="314" t="s">
        <v>2418</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E58" sqref="E5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9088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9930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2636</v>
      </c>
      <c r="B4" s="402"/>
      <c r="C4" s="3182" t="s">
        <v>2637</v>
      </c>
      <c r="D4" s="3195"/>
      <c r="E4" s="3196" t="s">
        <v>2638</v>
      </c>
      <c r="F4" s="3197"/>
      <c r="G4" s="3182" t="s">
        <v>2639</v>
      </c>
      <c r="H4" s="3195"/>
      <c r="I4" s="3182" t="s">
        <v>2640</v>
      </c>
      <c r="J4" s="3195"/>
      <c r="K4" s="610" t="s">
        <v>2641</v>
      </c>
      <c r="L4" s="1130"/>
      <c r="M4" s="1131"/>
      <c r="N4" s="1131"/>
      <c r="O4" s="1131"/>
      <c r="P4" s="3198" t="s">
        <v>2642</v>
      </c>
      <c r="Q4" s="3199"/>
      <c r="R4" s="3204" t="s">
        <v>2638</v>
      </c>
      <c r="S4" s="3205"/>
      <c r="T4" s="3204" t="s">
        <v>2639</v>
      </c>
      <c r="U4" s="3205"/>
      <c r="V4" s="3191" t="s">
        <v>2640</v>
      </c>
      <c r="W4" s="3191"/>
      <c r="X4" s="1812"/>
      <c r="Y4" s="3204" t="s">
        <v>2642</v>
      </c>
      <c r="Z4" s="3205"/>
      <c r="AA4" s="3192" t="s">
        <v>2638</v>
      </c>
      <c r="AB4" s="3193" t="s">
        <v>2639</v>
      </c>
      <c r="AC4" s="3192" t="s">
        <v>2640</v>
      </c>
    </row>
    <row r="5" spans="1:30">
      <c r="A5" s="404"/>
      <c r="B5" s="405"/>
      <c r="C5" s="3212" t="s">
        <v>2533</v>
      </c>
      <c r="D5" s="3213"/>
      <c r="E5" s="3219" t="str">
        <f>土地案例!A11</f>
        <v>北京经济技术开发区南海子郊野公园B片区B-04/*B-06/B-11地块F3其他类多功能用地</v>
      </c>
      <c r="F5" s="3220"/>
      <c r="G5" s="3212" t="str">
        <f>土地案例!A17</f>
        <v>北京经济技术开发区路东区E16街区E16C-3、E16C-5、E16S-1地块</v>
      </c>
      <c r="H5" s="3213"/>
      <c r="I5" s="3212" t="str">
        <f>土地案例!A27</f>
        <v>北京经济技术开发区路东区C14C-1、C14C-2、C14S-1地块B4综合性商业金融服务业用地及S41公用停车场用地</v>
      </c>
      <c r="J5" s="3213"/>
      <c r="K5" s="610"/>
      <c r="L5" s="1130"/>
      <c r="M5" s="1131"/>
      <c r="N5" s="1131"/>
      <c r="O5" s="1131"/>
      <c r="P5" s="3200"/>
      <c r="Q5" s="3201"/>
      <c r="R5" s="3206"/>
      <c r="S5" s="3207"/>
      <c r="T5" s="3206"/>
      <c r="U5" s="3207"/>
      <c r="V5" s="3191"/>
      <c r="W5" s="3191"/>
      <c r="X5" s="1812"/>
      <c r="Y5" s="3206"/>
      <c r="Z5" s="3207"/>
      <c r="AA5" s="3193"/>
      <c r="AB5" s="3193"/>
      <c r="AC5" s="3193"/>
    </row>
    <row r="6" spans="1:30" ht="15" thickBot="1">
      <c r="A6" s="406"/>
      <c r="B6" s="407"/>
      <c r="C6" s="3210" t="s">
        <v>2537</v>
      </c>
      <c r="D6" s="3211"/>
      <c r="E6" s="3217" t="s">
        <v>2537</v>
      </c>
      <c r="F6" s="3218"/>
      <c r="G6" s="3210" t="s">
        <v>2537</v>
      </c>
      <c r="H6" s="3211"/>
      <c r="I6" s="3210" t="s">
        <v>2537</v>
      </c>
      <c r="J6" s="3211"/>
      <c r="K6" s="610" t="s">
        <v>2538</v>
      </c>
      <c r="L6" s="1130"/>
      <c r="M6" s="1131"/>
      <c r="N6" s="1131"/>
      <c r="O6" s="1131"/>
      <c r="P6" s="3202"/>
      <c r="Q6" s="3203"/>
      <c r="R6" s="3206"/>
      <c r="S6" s="3207"/>
      <c r="T6" s="3208"/>
      <c r="U6" s="3209"/>
      <c r="V6" s="3191"/>
      <c r="W6" s="3191"/>
      <c r="X6" s="1812"/>
      <c r="Y6" s="3208"/>
      <c r="Z6" s="3209"/>
      <c r="AA6" s="3194"/>
      <c r="AB6" s="3194"/>
      <c r="AC6" s="3194"/>
    </row>
    <row r="7" spans="1:30" s="117" customFormat="1" ht="15" thickBot="1">
      <c r="A7" s="408" t="s">
        <v>2539</v>
      </c>
      <c r="B7" s="409"/>
      <c r="C7" s="410">
        <f>'数据-取费表'!B2</f>
        <v>44000</v>
      </c>
      <c r="D7" s="411">
        <v>100</v>
      </c>
      <c r="E7" s="412" t="str">
        <f>土地案例!H11</f>
        <v>2019-05-28</v>
      </c>
      <c r="F7" s="413">
        <f>SUMIF(70:70,YEAR(E7)&amp;"-"&amp;INT((MONTH(E7)+2)/3),71:71)</f>
        <v>96</v>
      </c>
      <c r="G7" s="2694" t="str">
        <f>土地案例!H17</f>
        <v>2018-06-14</v>
      </c>
      <c r="H7" s="411">
        <f>SUMIF(70:70,YEAR(G7)&amp;"-"&amp;INT((MONTH(G7)+2)/3),71:71)</f>
        <v>92</v>
      </c>
      <c r="I7" s="2694" t="str">
        <f>土地案例!H27</f>
        <v>2017-08-08</v>
      </c>
      <c r="J7" s="411">
        <f>SUMIF(70:70,YEAR(I7)&amp;"-"&amp;INT((MONTH(I7)+2)/3),71:71)</f>
        <v>89</v>
      </c>
      <c r="K7" s="611"/>
      <c r="L7" s="1132"/>
      <c r="M7" s="1133"/>
      <c r="N7" s="1133"/>
      <c r="O7" s="1133"/>
      <c r="P7" s="3214" t="s">
        <v>2540</v>
      </c>
      <c r="Q7" s="3216"/>
      <c r="R7" s="770" t="s">
        <v>17</v>
      </c>
      <c r="S7" s="771">
        <f t="shared" ref="S7:S15" si="0">F7</f>
        <v>96</v>
      </c>
      <c r="T7" s="770" t="s">
        <v>17</v>
      </c>
      <c r="U7" s="771">
        <f t="shared" ref="U7:U15" si="1">H7</f>
        <v>92</v>
      </c>
      <c r="V7" s="770" t="s">
        <v>17</v>
      </c>
      <c r="W7" s="771">
        <f t="shared" ref="W7:W15" si="2">J7</f>
        <v>89</v>
      </c>
      <c r="X7" s="772"/>
      <c r="Y7" s="3214" t="s">
        <v>2540</v>
      </c>
      <c r="Z7" s="3215"/>
      <c r="AA7" s="773">
        <f>D7/F7</f>
        <v>1.0416666666666667</v>
      </c>
      <c r="AB7" s="773">
        <f>D7/H7</f>
        <v>1.0869565217391304</v>
      </c>
      <c r="AC7" s="773">
        <f>D7/J7</f>
        <v>1.1235955056179776</v>
      </c>
    </row>
    <row r="8" spans="1:30" s="117" customFormat="1" ht="15" thickBot="1">
      <c r="A8" s="408" t="s">
        <v>2541</v>
      </c>
      <c r="B8" s="409"/>
      <c r="C8" s="414" t="s">
        <v>2542</v>
      </c>
      <c r="D8" s="411">
        <v>100</v>
      </c>
      <c r="E8" s="414" t="s">
        <v>3194</v>
      </c>
      <c r="F8" s="413">
        <f>SUMIF(73:73,E8,74:74)-SUMIF(73:73,C8,74:74)+100</f>
        <v>100</v>
      </c>
      <c r="G8" s="414" t="s">
        <v>3194</v>
      </c>
      <c r="H8" s="411">
        <f>SUMIF(73:73,G8,74:74)-SUMIF(73:73,C8,74:74)+100</f>
        <v>100</v>
      </c>
      <c r="I8" s="414" t="s">
        <v>3194</v>
      </c>
      <c r="J8" s="411">
        <f>SUMIF(73:73,I8,74:74)-SUMIF(73:73,C8,74:74)+100</f>
        <v>100</v>
      </c>
      <c r="K8" s="611"/>
      <c r="L8" s="1132"/>
      <c r="M8" s="1133"/>
      <c r="N8" s="1133"/>
      <c r="O8" s="1133"/>
      <c r="P8" s="3214" t="s">
        <v>2543</v>
      </c>
      <c r="Q8" s="3215"/>
      <c r="R8" s="770" t="s">
        <v>17</v>
      </c>
      <c r="S8" s="771">
        <f t="shared" si="0"/>
        <v>100</v>
      </c>
      <c r="T8" s="770" t="s">
        <v>17</v>
      </c>
      <c r="U8" s="771">
        <f t="shared" si="1"/>
        <v>100</v>
      </c>
      <c r="V8" s="770" t="s">
        <v>17</v>
      </c>
      <c r="W8" s="771">
        <f t="shared" si="2"/>
        <v>100</v>
      </c>
      <c r="X8" s="772"/>
      <c r="Y8" s="3214" t="s">
        <v>2543</v>
      </c>
      <c r="Z8" s="3215"/>
      <c r="AA8" s="773">
        <f t="shared" ref="AA8:AA45" si="3">D8/F8</f>
        <v>1</v>
      </c>
      <c r="AB8" s="773">
        <f t="shared" ref="AB8:AB45" si="4">D8/H8</f>
        <v>1</v>
      </c>
      <c r="AC8" s="773">
        <f t="shared" ref="AC8:AC45" si="5">D8/J8</f>
        <v>1</v>
      </c>
    </row>
    <row r="9" spans="1:30" s="117" customFormat="1" ht="14.4">
      <c r="A9" s="415" t="s">
        <v>2544</v>
      </c>
      <c r="B9" s="71" t="s">
        <v>2545</v>
      </c>
      <c r="C9" s="2697" t="s">
        <v>1372</v>
      </c>
      <c r="D9" s="135">
        <v>100</v>
      </c>
      <c r="E9" s="2697" t="s">
        <v>3196</v>
      </c>
      <c r="F9" s="135">
        <f>SUMIF(75:75,E9,76:76)-SUMIF(75:75,C9,76:76)+100</f>
        <v>100</v>
      </c>
      <c r="G9" s="2697" t="s">
        <v>3196</v>
      </c>
      <c r="H9" s="135">
        <f>SUMIF(75:75,G9,76:76)-SUMIF(75:75,C9,76:76)+100</f>
        <v>100</v>
      </c>
      <c r="I9" s="2697" t="s">
        <v>3196</v>
      </c>
      <c r="J9" s="135">
        <f>SUMIF(75:75,I9,76:76)-SUMIF(75:75,C9,76:76)+100</f>
        <v>100</v>
      </c>
      <c r="K9" s="611"/>
      <c r="L9" s="1132"/>
      <c r="M9" s="1133"/>
      <c r="N9" s="1133"/>
      <c r="O9" s="1134"/>
      <c r="P9" s="3185" t="s">
        <v>2546</v>
      </c>
      <c r="Q9" s="1794"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30" s="427" customFormat="1" ht="28.8">
      <c r="A10" s="421"/>
      <c r="B10" s="422" t="s">
        <v>2548</v>
      </c>
      <c r="C10" s="432">
        <f>项目基本情况!E15</f>
        <v>31.6</v>
      </c>
      <c r="D10" s="136">
        <v>100</v>
      </c>
      <c r="E10" s="465" t="s">
        <v>3198</v>
      </c>
      <c r="F10" s="136">
        <f>ROUND(100/'数据-取费表'!G16,0)</f>
        <v>108</v>
      </c>
      <c r="G10" s="463" t="s">
        <v>3198</v>
      </c>
      <c r="H10" s="136">
        <f>ROUND(100/'数据-取费表'!G16,0)</f>
        <v>108</v>
      </c>
      <c r="I10" s="463" t="s">
        <v>3198</v>
      </c>
      <c r="J10" s="136">
        <f>ROUND(100/'数据-取费表'!G16,0)</f>
        <v>108</v>
      </c>
      <c r="K10" s="672"/>
      <c r="L10" s="1135"/>
      <c r="M10" s="1136"/>
      <c r="N10" s="1136"/>
      <c r="O10" s="1137"/>
      <c r="P10" s="3185"/>
      <c r="Q10" s="1794" t="str">
        <f t="shared" si="6"/>
        <v>土地使用年限（年）</v>
      </c>
      <c r="R10" s="770" t="s">
        <v>17</v>
      </c>
      <c r="S10" s="771">
        <f t="shared" si="0"/>
        <v>108</v>
      </c>
      <c r="T10" s="770" t="s">
        <v>17</v>
      </c>
      <c r="U10" s="771">
        <f t="shared" si="1"/>
        <v>108</v>
      </c>
      <c r="V10" s="770" t="s">
        <v>17</v>
      </c>
      <c r="W10" s="771">
        <f t="shared" si="2"/>
        <v>108</v>
      </c>
      <c r="X10" s="772"/>
      <c r="Y10" s="3033"/>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v>2</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185"/>
      <c r="Q11" s="1794" t="str">
        <f t="shared" si="6"/>
        <v>容积率</v>
      </c>
      <c r="R11" s="770" t="s">
        <v>17</v>
      </c>
      <c r="S11" s="771">
        <f t="shared" si="0"/>
        <v>100</v>
      </c>
      <c r="T11" s="770" t="s">
        <v>17</v>
      </c>
      <c r="U11" s="771">
        <f t="shared" si="1"/>
        <v>98</v>
      </c>
      <c r="V11" s="770" t="s">
        <v>17</v>
      </c>
      <c r="W11" s="771">
        <f t="shared" si="2"/>
        <v>98</v>
      </c>
      <c r="X11" s="772"/>
      <c r="Y11" s="3033"/>
      <c r="Z11" s="55" t="str">
        <f t="shared" si="7"/>
        <v>容积率</v>
      </c>
      <c r="AA11" s="773">
        <f t="shared" si="3"/>
        <v>1</v>
      </c>
      <c r="AB11" s="773">
        <f t="shared" si="4"/>
        <v>1.0204081632653061</v>
      </c>
      <c r="AC11" s="773">
        <f t="shared" si="5"/>
        <v>1.0204081632653061</v>
      </c>
    </row>
    <row r="12" spans="1:30" s="117" customFormat="1" ht="15">
      <c r="A12" s="431"/>
      <c r="B12" s="2959" t="s">
        <v>3199</v>
      </c>
      <c r="C12" s="2962" t="s">
        <v>3248</v>
      </c>
      <c r="D12" s="433">
        <v>100</v>
      </c>
      <c r="E12" s="2963" t="s">
        <v>3231</v>
      </c>
      <c r="F12" s="136">
        <f>SUMIF(82:82,E12,83:83)-SUMIF(82:82,C12,83:83)+100</f>
        <v>95</v>
      </c>
      <c r="G12" s="2964" t="s">
        <v>3231</v>
      </c>
      <c r="H12" s="136">
        <f>SUMIF(82:82,G12,83:83)-SUMIF(82:82,C12,83:83)+100</f>
        <v>95</v>
      </c>
      <c r="I12" s="2963" t="s">
        <v>3231</v>
      </c>
      <c r="J12" s="136">
        <f>SUMIF(82:82,I12,83:83)-SUMIF(82:82,C12,83:83)+100</f>
        <v>95</v>
      </c>
      <c r="K12" s="672"/>
      <c r="L12" s="1132"/>
      <c r="M12" s="1133"/>
      <c r="N12" s="1133"/>
      <c r="O12" s="1134"/>
      <c r="P12" s="3185"/>
      <c r="Q12" s="1794" t="str">
        <f t="shared" si="6"/>
        <v>是否自持</v>
      </c>
      <c r="R12" s="770" t="s">
        <v>17</v>
      </c>
      <c r="S12" s="771">
        <f t="shared" si="0"/>
        <v>95</v>
      </c>
      <c r="T12" s="770" t="s">
        <v>17</v>
      </c>
      <c r="U12" s="771">
        <f t="shared" si="1"/>
        <v>95</v>
      </c>
      <c r="V12" s="770" t="s">
        <v>17</v>
      </c>
      <c r="W12" s="771">
        <f t="shared" si="2"/>
        <v>95</v>
      </c>
      <c r="X12" s="772"/>
      <c r="Y12" s="3033"/>
      <c r="Z12" s="55" t="str">
        <f t="shared" si="7"/>
        <v>是否自持</v>
      </c>
      <c r="AA12" s="773">
        <f>D12/F12</f>
        <v>1.0526315789473684</v>
      </c>
      <c r="AB12" s="773">
        <f>D12/H12</f>
        <v>1.0526315789473684</v>
      </c>
      <c r="AC12" s="773">
        <f>D12/J12</f>
        <v>1.0526315789473684</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6"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15" hidden="1">
      <c r="A15" s="440" t="s">
        <v>2550</v>
      </c>
      <c r="B15" s="69" t="s">
        <v>2079</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7" t="s">
        <v>2551</v>
      </c>
      <c r="Q15" s="1809" t="str">
        <f t="shared" si="6"/>
        <v>居住社区成熟度</v>
      </c>
      <c r="R15" s="774" t="s">
        <v>17</v>
      </c>
      <c r="S15" s="775">
        <f t="shared" si="0"/>
        <v>100</v>
      </c>
      <c r="T15" s="774" t="s">
        <v>17</v>
      </c>
      <c r="U15" s="775">
        <f t="shared" si="1"/>
        <v>100</v>
      </c>
      <c r="V15" s="774" t="s">
        <v>17</v>
      </c>
      <c r="W15" s="775">
        <f t="shared" si="2"/>
        <v>100</v>
      </c>
      <c r="X15" s="1812"/>
      <c r="Y15" s="3187" t="s">
        <v>2551</v>
      </c>
      <c r="Z15" s="1813" t="str">
        <f t="shared" si="7"/>
        <v>居住社区成熟度</v>
      </c>
      <c r="AA15" s="1810">
        <f t="shared" si="3"/>
        <v>1</v>
      </c>
      <c r="AB15" s="1810">
        <f t="shared" si="4"/>
        <v>1</v>
      </c>
      <c r="AC15" s="1810">
        <f t="shared" si="5"/>
        <v>1</v>
      </c>
    </row>
    <row r="16" spans="1:30" ht="15" hidden="1">
      <c r="A16" s="428"/>
      <c r="B16" s="446"/>
      <c r="C16" s="447"/>
      <c r="D16" s="448"/>
      <c r="E16" s="2603"/>
      <c r="F16" s="448"/>
      <c r="G16" s="2603"/>
      <c r="H16" s="450"/>
      <c r="I16" s="2602"/>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15">
      <c r="A17" s="428"/>
      <c r="B17" s="451" t="s">
        <v>2644</v>
      </c>
      <c r="C17" s="2662" t="str">
        <f>估价对象房地状况!C16</f>
        <v>一般</v>
      </c>
      <c r="D17" s="450">
        <v>100</v>
      </c>
      <c r="E17" s="452"/>
      <c r="F17" s="450">
        <f>SUMIF(90:90,E18,91:91)-SUMIF(90:90,C18,91:91)+100</f>
        <v>102</v>
      </c>
      <c r="G17" s="452"/>
      <c r="H17" s="455">
        <f>SUMIF(90:90,G18,91:91)-SUMIF(90:90,C18,91:91)+100</f>
        <v>100</v>
      </c>
      <c r="I17" s="454"/>
      <c r="J17" s="455">
        <f>SUMIF(90:90,I18,91:91)-SUMIF(90:90,C18,91:91)+100</f>
        <v>100</v>
      </c>
      <c r="K17" s="673">
        <v>2</v>
      </c>
      <c r="L17" s="1140"/>
      <c r="M17" s="1131"/>
      <c r="N17" s="1131"/>
      <c r="O17" s="1139"/>
      <c r="P17" s="3188"/>
      <c r="Q17" s="1809" t="str">
        <f>B17</f>
        <v>商业繁华度</v>
      </c>
      <c r="R17" s="774" t="s">
        <v>17</v>
      </c>
      <c r="S17" s="775">
        <f>F17</f>
        <v>102</v>
      </c>
      <c r="T17" s="774" t="s">
        <v>17</v>
      </c>
      <c r="U17" s="775">
        <f>H17</f>
        <v>100</v>
      </c>
      <c r="V17" s="774" t="s">
        <v>17</v>
      </c>
      <c r="W17" s="775">
        <f>J17</f>
        <v>100</v>
      </c>
      <c r="X17" s="1812"/>
      <c r="Y17" s="3188"/>
      <c r="Z17" s="1813" t="str">
        <f>Q17</f>
        <v>商业繁华度</v>
      </c>
      <c r="AA17" s="1810">
        <f t="shared" si="3"/>
        <v>0.98039215686274506</v>
      </c>
      <c r="AB17" s="1810">
        <f t="shared" si="4"/>
        <v>1</v>
      </c>
      <c r="AC17" s="1810">
        <f t="shared" si="5"/>
        <v>1</v>
      </c>
    </row>
    <row r="18" spans="1:29" ht="15">
      <c r="A18" s="428"/>
      <c r="B18" s="456"/>
      <c r="C18" s="2606" t="s">
        <v>3201</v>
      </c>
      <c r="D18" s="450"/>
      <c r="E18" s="2608" t="s">
        <v>3200</v>
      </c>
      <c r="F18" s="450"/>
      <c r="G18" s="2608" t="s">
        <v>3201</v>
      </c>
      <c r="H18" s="448"/>
      <c r="I18" s="2607" t="s">
        <v>3201</v>
      </c>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15" hidden="1">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0</v>
      </c>
      <c r="L19" s="1140"/>
      <c r="M19" s="1131"/>
      <c r="N19" s="1131"/>
      <c r="O19" s="1139"/>
      <c r="P19" s="3188"/>
      <c r="Q19" s="1809" t="str">
        <f>B19</f>
        <v>办公集聚程度</v>
      </c>
      <c r="R19" s="774" t="s">
        <v>17</v>
      </c>
      <c r="S19" s="775">
        <f>F19</f>
        <v>100</v>
      </c>
      <c r="T19" s="774" t="s">
        <v>17</v>
      </c>
      <c r="U19" s="775">
        <f>H19</f>
        <v>100</v>
      </c>
      <c r="V19" s="774" t="s">
        <v>17</v>
      </c>
      <c r="W19" s="775">
        <f>J19</f>
        <v>100</v>
      </c>
      <c r="X19" s="1812"/>
      <c r="Y19" s="3188"/>
      <c r="Z19" s="1813" t="str">
        <f>Q19</f>
        <v>办公集聚程度</v>
      </c>
      <c r="AA19" s="1810">
        <f t="shared" si="3"/>
        <v>1</v>
      </c>
      <c r="AB19" s="1810">
        <f t="shared" si="4"/>
        <v>1</v>
      </c>
      <c r="AC19" s="1810">
        <f t="shared" si="5"/>
        <v>1</v>
      </c>
    </row>
    <row r="20" spans="1:29" ht="15" hidden="1">
      <c r="A20" s="428"/>
      <c r="B20" s="456"/>
      <c r="C20" s="447" t="s">
        <v>3200</v>
      </c>
      <c r="D20" s="448"/>
      <c r="E20" s="2603" t="s">
        <v>3201</v>
      </c>
      <c r="F20" s="448"/>
      <c r="G20" s="2603" t="s">
        <v>3200</v>
      </c>
      <c r="H20" s="448"/>
      <c r="I20" s="2602" t="s">
        <v>3200</v>
      </c>
      <c r="J20" s="448"/>
      <c r="K20" s="672"/>
      <c r="L20" s="1140"/>
      <c r="M20" s="1131"/>
      <c r="N20" s="1131"/>
      <c r="O20" s="1139"/>
      <c r="P20" s="3188"/>
      <c r="Q20" s="1809"/>
      <c r="R20" s="774"/>
      <c r="S20" s="775"/>
      <c r="T20" s="774"/>
      <c r="U20" s="775"/>
      <c r="V20" s="774"/>
      <c r="W20" s="775"/>
      <c r="X20" s="1812"/>
      <c r="Y20" s="3188"/>
      <c r="Z20" s="1813"/>
      <c r="AA20" s="1810">
        <v>1</v>
      </c>
      <c r="AB20" s="1810">
        <v>1</v>
      </c>
      <c r="AC20" s="1810">
        <v>1</v>
      </c>
    </row>
    <row r="21" spans="1:29" ht="15">
      <c r="A21" s="428"/>
      <c r="B21" s="451" t="s">
        <v>2700</v>
      </c>
      <c r="C21" s="2605" t="str">
        <f>估价对象房地状况!C18</f>
        <v>一般</v>
      </c>
      <c r="D21" s="450">
        <v>100</v>
      </c>
      <c r="E21" s="452"/>
      <c r="F21" s="455">
        <f>SUMIF(94:94,E22,95:95)-SUMIF(94:94,C22,95:95)+100</f>
        <v>100</v>
      </c>
      <c r="G21" s="452"/>
      <c r="H21" s="450">
        <f>SUMIF(94:94,G22,95:95)-SUMIF(94:94,C22,95:95)+100</f>
        <v>102</v>
      </c>
      <c r="I21" s="454"/>
      <c r="J21" s="450">
        <f>SUMIF(94:94,I22,95:95)-SUMIF(94:94,C22,95:95)+100</f>
        <v>102</v>
      </c>
      <c r="K21" s="673">
        <v>2</v>
      </c>
      <c r="L21" s="1140"/>
      <c r="M21" s="1131"/>
      <c r="N21" s="1131"/>
      <c r="O21" s="1139"/>
      <c r="P21" s="3188"/>
      <c r="Q21" s="1809" t="str">
        <f>B21</f>
        <v>交通便捷度</v>
      </c>
      <c r="R21" s="774" t="s">
        <v>17</v>
      </c>
      <c r="S21" s="775">
        <f>F21</f>
        <v>100</v>
      </c>
      <c r="T21" s="774" t="s">
        <v>17</v>
      </c>
      <c r="U21" s="775">
        <f>H21</f>
        <v>102</v>
      </c>
      <c r="V21" s="774" t="s">
        <v>17</v>
      </c>
      <c r="W21" s="775">
        <f>J21</f>
        <v>102</v>
      </c>
      <c r="X21" s="1812"/>
      <c r="Y21" s="3188"/>
      <c r="Z21" s="1813" t="str">
        <f>Q21</f>
        <v>交通便捷度</v>
      </c>
      <c r="AA21" s="1810">
        <f t="shared" si="3"/>
        <v>1</v>
      </c>
      <c r="AB21" s="1810">
        <f t="shared" si="4"/>
        <v>0.98039215686274506</v>
      </c>
      <c r="AC21" s="1810">
        <f t="shared" si="5"/>
        <v>0.98039215686274506</v>
      </c>
    </row>
    <row r="22" spans="1:29" ht="15">
      <c r="A22" s="428"/>
      <c r="B22" s="1384"/>
      <c r="C22" s="447" t="s">
        <v>3201</v>
      </c>
      <c r="D22" s="450"/>
      <c r="E22" s="2603" t="s">
        <v>3201</v>
      </c>
      <c r="F22" s="448"/>
      <c r="G22" s="2603" t="s">
        <v>3200</v>
      </c>
      <c r="H22" s="448"/>
      <c r="I22" s="2602" t="s">
        <v>3200</v>
      </c>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ht="28.8">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8"/>
      <c r="Q23" s="1809" t="str">
        <f t="shared" ref="Q23:Q37" si="8">B23</f>
        <v>区域土地利用方向</v>
      </c>
      <c r="R23" s="774" t="s">
        <v>17</v>
      </c>
      <c r="S23" s="775">
        <f>F23</f>
        <v>100</v>
      </c>
      <c r="T23" s="774" t="s">
        <v>17</v>
      </c>
      <c r="U23" s="775">
        <f>H23</f>
        <v>100</v>
      </c>
      <c r="V23" s="774" t="s">
        <v>17</v>
      </c>
      <c r="W23" s="775">
        <f>J23</f>
        <v>100</v>
      </c>
      <c r="X23" s="1812"/>
      <c r="Y23" s="3188"/>
      <c r="Z23" s="1813" t="str">
        <f>Q23</f>
        <v>区域土地利用方向</v>
      </c>
      <c r="AA23" s="1810">
        <f t="shared" si="3"/>
        <v>1</v>
      </c>
      <c r="AB23" s="1810">
        <f t="shared" si="4"/>
        <v>1</v>
      </c>
      <c r="AC23" s="1810">
        <f t="shared" si="5"/>
        <v>1</v>
      </c>
    </row>
    <row r="24" spans="1:29" ht="15">
      <c r="A24" s="404"/>
      <c r="B24" s="456"/>
      <c r="C24" s="616" t="s">
        <v>3200</v>
      </c>
      <c r="D24" s="448"/>
      <c r="E24" s="2603" t="s">
        <v>3200</v>
      </c>
      <c r="F24" s="448"/>
      <c r="G24" s="2602" t="s">
        <v>3200</v>
      </c>
      <c r="H24" s="448"/>
      <c r="I24" s="2602" t="s">
        <v>3200</v>
      </c>
      <c r="J24" s="448"/>
      <c r="K24" s="812"/>
      <c r="L24" s="1140"/>
      <c r="M24" s="1131"/>
      <c r="N24" s="1131"/>
      <c r="O24" s="1139"/>
      <c r="P24" s="3188"/>
      <c r="Q24" s="1809"/>
      <c r="R24" s="774"/>
      <c r="S24" s="775"/>
      <c r="T24" s="774"/>
      <c r="U24" s="775"/>
      <c r="V24" s="774"/>
      <c r="W24" s="775"/>
      <c r="X24" s="1812"/>
      <c r="Y24" s="3188"/>
      <c r="Z24" s="1813"/>
      <c r="AA24" s="1810"/>
      <c r="AB24" s="1810"/>
      <c r="AC24" s="1810"/>
    </row>
    <row r="25" spans="1:29" ht="28.8">
      <c r="A25" s="404"/>
      <c r="B25" s="1384" t="s">
        <v>2739</v>
      </c>
      <c r="C25" s="2662" t="str">
        <f>估价对象房地状况!C20</f>
        <v>一般</v>
      </c>
      <c r="D25" s="450">
        <v>100</v>
      </c>
      <c r="E25" s="452"/>
      <c r="F25" s="450">
        <f>SUMIF(98:98,E26,99:99)-SUMIF(98:98,C26,99:99)+100</f>
        <v>102</v>
      </c>
      <c r="G25" s="452"/>
      <c r="H25" s="450">
        <f>SUMIF(98:98,G26,99:99)-SUMIF(98:98,C26,99:99)+100</f>
        <v>100</v>
      </c>
      <c r="I25" s="454"/>
      <c r="J25" s="450">
        <f>SUMIF(98:98,I26,99:99)-SUMIF(98:98,C26,99:99)+100</f>
        <v>100</v>
      </c>
      <c r="K25" s="673">
        <v>2</v>
      </c>
      <c r="L25" s="1140"/>
      <c r="M25" s="1131"/>
      <c r="N25" s="1131"/>
      <c r="O25" s="1139"/>
      <c r="P25" s="3188"/>
      <c r="Q25" s="1809" t="str">
        <f t="shared" si="8"/>
        <v>自然及人文环境状况</v>
      </c>
      <c r="R25" s="774" t="s">
        <v>17</v>
      </c>
      <c r="S25" s="775">
        <f>F25</f>
        <v>102</v>
      </c>
      <c r="T25" s="774" t="s">
        <v>17</v>
      </c>
      <c r="U25" s="775">
        <f>H25</f>
        <v>100</v>
      </c>
      <c r="V25" s="774" t="s">
        <v>17</v>
      </c>
      <c r="W25" s="775">
        <f>J25</f>
        <v>100</v>
      </c>
      <c r="X25" s="1812"/>
      <c r="Y25" s="3188"/>
      <c r="Z25" s="1813" t="str">
        <f>Q25</f>
        <v>自然及人文环境状况</v>
      </c>
      <c r="AA25" s="1810">
        <f t="shared" si="3"/>
        <v>0.98039215686274506</v>
      </c>
      <c r="AB25" s="1810">
        <f t="shared" si="4"/>
        <v>1</v>
      </c>
      <c r="AC25" s="1810">
        <f t="shared" si="5"/>
        <v>1</v>
      </c>
    </row>
    <row r="26" spans="1:29" ht="15">
      <c r="A26" s="404"/>
      <c r="B26" s="456"/>
      <c r="C26" s="447" t="s">
        <v>3201</v>
      </c>
      <c r="D26" s="448"/>
      <c r="E26" s="2609" t="s">
        <v>3200</v>
      </c>
      <c r="F26" s="448"/>
      <c r="G26" s="2609" t="s">
        <v>3201</v>
      </c>
      <c r="H26" s="448"/>
      <c r="I26" s="447" t="s">
        <v>3201</v>
      </c>
      <c r="J26" s="448"/>
      <c r="K26" s="672"/>
      <c r="L26" s="1140"/>
      <c r="M26" s="1131"/>
      <c r="N26" s="1131"/>
      <c r="O26" s="1139"/>
      <c r="P26" s="3188"/>
      <c r="Q26" s="1809"/>
      <c r="R26" s="774"/>
      <c r="S26" s="775"/>
      <c r="T26" s="774"/>
      <c r="U26" s="775"/>
      <c r="V26" s="774"/>
      <c r="W26" s="775"/>
      <c r="X26" s="1812"/>
      <c r="Y26" s="3188"/>
      <c r="Z26" s="1813"/>
      <c r="AA26" s="1810">
        <v>1</v>
      </c>
      <c r="AB26" s="1810">
        <v>1</v>
      </c>
      <c r="AC26" s="1810">
        <v>1</v>
      </c>
    </row>
    <row r="27" spans="1:29" s="117" customFormat="1" ht="15">
      <c r="A27" s="649"/>
      <c r="B27" s="1384" t="s">
        <v>2645</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88"/>
      <c r="Q27" s="1794" t="str">
        <f t="shared" si="8"/>
        <v>公共配套设施</v>
      </c>
      <c r="R27" s="770" t="s">
        <v>17</v>
      </c>
      <c r="S27" s="771">
        <f>F27</f>
        <v>100</v>
      </c>
      <c r="T27" s="770" t="s">
        <v>17</v>
      </c>
      <c r="U27" s="771">
        <f>H27</f>
        <v>100</v>
      </c>
      <c r="V27" s="770" t="s">
        <v>17</v>
      </c>
      <c r="W27" s="771">
        <f>J27</f>
        <v>100</v>
      </c>
      <c r="X27" s="772"/>
      <c r="Y27" s="3188"/>
      <c r="Z27" s="55" t="str">
        <f>Q27</f>
        <v>公共配套设施</v>
      </c>
      <c r="AA27" s="1810">
        <f>D27/F27</f>
        <v>1</v>
      </c>
      <c r="AB27" s="1810">
        <f>D27/H27</f>
        <v>1</v>
      </c>
      <c r="AC27" s="1810">
        <f>D27/J27</f>
        <v>1</v>
      </c>
    </row>
    <row r="28" spans="1:29" s="117" customFormat="1" ht="15">
      <c r="A28" s="649"/>
      <c r="B28" s="456"/>
      <c r="C28" s="2698" t="s">
        <v>3201</v>
      </c>
      <c r="D28" s="448"/>
      <c r="E28" s="2609" t="s">
        <v>3201</v>
      </c>
      <c r="F28" s="448"/>
      <c r="G28" s="2609" t="s">
        <v>3201</v>
      </c>
      <c r="H28" s="448"/>
      <c r="I28" s="447" t="s">
        <v>3201</v>
      </c>
      <c r="J28" s="448"/>
      <c r="K28" s="672"/>
      <c r="L28" s="1132"/>
      <c r="M28" s="1133"/>
      <c r="N28" s="1133"/>
      <c r="O28" s="1134"/>
      <c r="P28" s="3188"/>
      <c r="Q28" s="1794"/>
      <c r="R28" s="770"/>
      <c r="S28" s="771"/>
      <c r="T28" s="770"/>
      <c r="U28" s="771"/>
      <c r="V28" s="770"/>
      <c r="W28" s="771"/>
      <c r="X28" s="772"/>
      <c r="Y28" s="3188"/>
      <c r="Z28" s="55"/>
      <c r="AA28" s="1810">
        <v>1</v>
      </c>
      <c r="AB28" s="1810">
        <v>1</v>
      </c>
      <c r="AC28" s="1810">
        <v>1</v>
      </c>
    </row>
    <row r="29" spans="1:29" s="117" customFormat="1" ht="15">
      <c r="A29" s="649"/>
      <c r="B29" s="1384" t="s">
        <v>2646</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88"/>
      <c r="Q29" s="1794"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0">
        <f>D29/F29</f>
        <v>1</v>
      </c>
      <c r="AB29" s="1810">
        <f>D29/H29</f>
        <v>1</v>
      </c>
      <c r="AC29" s="1810">
        <f>D29/J29</f>
        <v>1</v>
      </c>
    </row>
    <row r="30" spans="1:29" s="117" customFormat="1" ht="15">
      <c r="A30" s="649"/>
      <c r="B30" s="456"/>
      <c r="C30" s="2698" t="s">
        <v>3202</v>
      </c>
      <c r="D30" s="448"/>
      <c r="E30" s="2699" t="s">
        <v>3202</v>
      </c>
      <c r="F30" s="448"/>
      <c r="G30" s="2699" t="s">
        <v>3202</v>
      </c>
      <c r="H30" s="448"/>
      <c r="I30" s="2699" t="s">
        <v>3202</v>
      </c>
      <c r="J30" s="448"/>
      <c r="K30" s="672"/>
      <c r="L30" s="1132"/>
      <c r="M30" s="1133"/>
      <c r="N30" s="1133"/>
      <c r="O30" s="1134"/>
      <c r="P30" s="3188"/>
      <c r="Q30" s="1794"/>
      <c r="R30" s="770"/>
      <c r="S30" s="771"/>
      <c r="T30" s="770"/>
      <c r="U30" s="771"/>
      <c r="V30" s="770"/>
      <c r="W30" s="771"/>
      <c r="X30" s="772"/>
      <c r="Y30" s="3188"/>
      <c r="Z30" s="55"/>
      <c r="AA30" s="1810">
        <v>1</v>
      </c>
      <c r="AB30" s="1810">
        <v>1</v>
      </c>
      <c r="AC30" s="1810">
        <v>1</v>
      </c>
    </row>
    <row r="31" spans="1:29" ht="15">
      <c r="A31" s="428"/>
      <c r="B31" s="456" t="s">
        <v>2647</v>
      </c>
      <c r="C31" s="616" t="s">
        <v>3203</v>
      </c>
      <c r="D31" s="435">
        <v>100</v>
      </c>
      <c r="E31" s="634" t="s">
        <v>3203</v>
      </c>
      <c r="F31" s="435">
        <f>SUMIF(104:104,E31,105:105)-SUMIF(104:104,C31,105:105)+100</f>
        <v>100</v>
      </c>
      <c r="G31" s="634" t="s">
        <v>3203</v>
      </c>
      <c r="H31" s="435">
        <f>SUMIF(104:104,G31,105:105)-SUMIF(104:104,C31,105:105)+100</f>
        <v>100</v>
      </c>
      <c r="I31" s="634" t="s">
        <v>3203</v>
      </c>
      <c r="J31" s="435">
        <f>SUMIF(104:104,I31,105:105)-SUMIF(104:104,C31,105:105)+100</f>
        <v>100</v>
      </c>
      <c r="K31" s="673">
        <v>2</v>
      </c>
      <c r="L31" s="1140"/>
      <c r="M31" s="1131"/>
      <c r="N31" s="1131"/>
      <c r="O31" s="1139"/>
      <c r="P31" s="318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8"/>
      <c r="Z31" s="1813" t="str">
        <f t="shared" ref="Z31:Z45" si="13">Q31</f>
        <v>临街状况</v>
      </c>
      <c r="AA31" s="1810">
        <f t="shared" si="3"/>
        <v>1</v>
      </c>
      <c r="AB31" s="1810">
        <f t="shared" si="4"/>
        <v>1</v>
      </c>
      <c r="AC31" s="1810">
        <f t="shared" si="5"/>
        <v>1</v>
      </c>
    </row>
    <row r="32" spans="1:29" ht="28.8">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188"/>
      <c r="Q32" s="1809" t="str">
        <f t="shared" si="8"/>
        <v>毗邻道路的类型与等级</v>
      </c>
      <c r="R32" s="774" t="s">
        <v>17</v>
      </c>
      <c r="S32" s="775">
        <f t="shared" si="10"/>
        <v>100</v>
      </c>
      <c r="T32" s="774" t="s">
        <v>17</v>
      </c>
      <c r="U32" s="775">
        <f t="shared" si="11"/>
        <v>100</v>
      </c>
      <c r="V32" s="774" t="s">
        <v>17</v>
      </c>
      <c r="W32" s="775">
        <f t="shared" si="12"/>
        <v>100</v>
      </c>
      <c r="X32" s="1812"/>
      <c r="Y32" s="3188"/>
      <c r="Z32" s="1813" t="str">
        <f t="shared" si="13"/>
        <v>毗邻道路的类型与等级</v>
      </c>
      <c r="AA32" s="1810">
        <f t="shared" si="3"/>
        <v>1</v>
      </c>
      <c r="AB32" s="1810">
        <f t="shared" si="4"/>
        <v>1</v>
      </c>
      <c r="AC32" s="1810">
        <f t="shared" si="5"/>
        <v>1</v>
      </c>
    </row>
    <row r="33" spans="1:29" ht="15">
      <c r="A33" s="428"/>
      <c r="B33" s="456"/>
      <c r="C33" s="447" t="s">
        <v>3206</v>
      </c>
      <c r="D33" s="448"/>
      <c r="E33" s="2609" t="s">
        <v>3206</v>
      </c>
      <c r="F33" s="448"/>
      <c r="G33" s="2609" t="s">
        <v>3206</v>
      </c>
      <c r="H33" s="448"/>
      <c r="I33" s="447" t="s">
        <v>3206</v>
      </c>
      <c r="J33" s="448"/>
      <c r="K33" s="613"/>
      <c r="L33" s="1140"/>
      <c r="M33" s="1131"/>
      <c r="N33" s="1131"/>
      <c r="O33" s="1139"/>
      <c r="P33" s="3188"/>
      <c r="Q33" s="1809"/>
      <c r="R33" s="774"/>
      <c r="S33" s="775"/>
      <c r="T33" s="774"/>
      <c r="U33" s="775"/>
      <c r="V33" s="774"/>
      <c r="W33" s="775"/>
      <c r="X33" s="1812"/>
      <c r="Y33" s="3188"/>
      <c r="Z33" s="1813"/>
      <c r="AA33" s="1810">
        <v>1</v>
      </c>
      <c r="AB33" s="1810">
        <v>1</v>
      </c>
      <c r="AC33" s="1810">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8"/>
      <c r="Q34" s="1809" t="str">
        <f t="shared" si="8"/>
        <v>土地级别</v>
      </c>
      <c r="R34" s="774" t="s">
        <v>17</v>
      </c>
      <c r="S34" s="775">
        <f t="shared" si="10"/>
        <v>100</v>
      </c>
      <c r="T34" s="774" t="s">
        <v>17</v>
      </c>
      <c r="U34" s="775">
        <f t="shared" si="11"/>
        <v>100</v>
      </c>
      <c r="V34" s="774" t="s">
        <v>17</v>
      </c>
      <c r="W34" s="775">
        <f t="shared" si="12"/>
        <v>100</v>
      </c>
      <c r="X34" s="1812"/>
      <c r="Y34" s="3188"/>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8"/>
      <c r="Q35" s="1809">
        <f t="shared" si="8"/>
        <v>111</v>
      </c>
      <c r="R35" s="774" t="s">
        <v>17</v>
      </c>
      <c r="S35" s="775">
        <f t="shared" si="10"/>
        <v>100</v>
      </c>
      <c r="T35" s="774" t="s">
        <v>17</v>
      </c>
      <c r="U35" s="775">
        <f t="shared" si="11"/>
        <v>100</v>
      </c>
      <c r="V35" s="774" t="s">
        <v>17</v>
      </c>
      <c r="W35" s="775">
        <f t="shared" si="12"/>
        <v>100</v>
      </c>
      <c r="X35" s="1812"/>
      <c r="Y35" s="3188"/>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9" t="s">
        <v>2556</v>
      </c>
      <c r="Q36" s="1809">
        <f t="shared" si="8"/>
        <v>111</v>
      </c>
      <c r="R36" s="774" t="s">
        <v>17</v>
      </c>
      <c r="S36" s="775">
        <f t="shared" si="10"/>
        <v>100</v>
      </c>
      <c r="T36" s="774" t="s">
        <v>17</v>
      </c>
      <c r="U36" s="775">
        <f t="shared" si="11"/>
        <v>100</v>
      </c>
      <c r="V36" s="774" t="s">
        <v>17</v>
      </c>
      <c r="W36" s="775">
        <f t="shared" si="12"/>
        <v>100</v>
      </c>
      <c r="X36" s="1812"/>
      <c r="Y36" s="3190" t="s">
        <v>2556</v>
      </c>
      <c r="Z36" s="1813">
        <f t="shared" si="13"/>
        <v>111</v>
      </c>
      <c r="AA36" s="1810">
        <f t="shared" si="3"/>
        <v>1</v>
      </c>
      <c r="AB36" s="1810">
        <f t="shared" si="4"/>
        <v>1</v>
      </c>
      <c r="AC36" s="1810">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0"/>
      <c r="Q37" s="1809">
        <f t="shared" si="8"/>
        <v>111</v>
      </c>
      <c r="R37" s="777" t="s">
        <v>17</v>
      </c>
      <c r="S37" s="778">
        <f t="shared" si="10"/>
        <v>100</v>
      </c>
      <c r="T37" s="777" t="s">
        <v>17</v>
      </c>
      <c r="U37" s="778">
        <f t="shared" si="11"/>
        <v>100</v>
      </c>
      <c r="V37" s="777" t="s">
        <v>17</v>
      </c>
      <c r="W37" s="778">
        <f t="shared" si="12"/>
        <v>100</v>
      </c>
      <c r="X37" s="779"/>
      <c r="Y37" s="3190"/>
      <c r="Z37" s="780">
        <f t="shared" si="13"/>
        <v>111</v>
      </c>
      <c r="AA37" s="1810">
        <f t="shared" si="3"/>
        <v>1</v>
      </c>
      <c r="AB37" s="1810">
        <f t="shared" si="4"/>
        <v>1</v>
      </c>
      <c r="AC37" s="1810">
        <f t="shared" si="5"/>
        <v>1</v>
      </c>
    </row>
    <row r="38" spans="1:29" ht="15.6">
      <c r="A38" s="472" t="s">
        <v>2554</v>
      </c>
      <c r="B38" s="456" t="s">
        <v>2741</v>
      </c>
      <c r="C38" s="679">
        <v>79725.210000000006</v>
      </c>
      <c r="D38" s="467">
        <v>100</v>
      </c>
      <c r="E38" s="679">
        <f>土地案例!D11</f>
        <v>51736.9</v>
      </c>
      <c r="F38" s="467">
        <f>LOOKUP(E38,117:117,118:118)-LOOKUP(C38,117:117,118:118)+100</f>
        <v>99</v>
      </c>
      <c r="G38" s="679">
        <f>土地案例!D17</f>
        <v>33071.620000000003</v>
      </c>
      <c r="H38" s="467">
        <f>LOOKUP(G38,117:117,118:118)-LOOKUP(C38,117:117,118:118)+100</f>
        <v>99</v>
      </c>
      <c r="I38" s="530">
        <f>土地案例!D27</f>
        <v>66237.2</v>
      </c>
      <c r="J38" s="467">
        <f>LOOKUP(I38,117:117,118:118)-LOOKUP(C38,117:117,118:118)+100</f>
        <v>100</v>
      </c>
      <c r="K38" s="613"/>
      <c r="L38" s="1140"/>
      <c r="M38" s="1131"/>
      <c r="N38" s="1131"/>
      <c r="O38" s="1139"/>
      <c r="P38" s="3190"/>
      <c r="Q38" s="1809" t="str">
        <f>B38</f>
        <v>宗地面积</v>
      </c>
      <c r="R38" s="774" t="s">
        <v>17</v>
      </c>
      <c r="S38" s="775">
        <f t="shared" si="10"/>
        <v>99</v>
      </c>
      <c r="T38" s="774" t="s">
        <v>17</v>
      </c>
      <c r="U38" s="775">
        <f t="shared" si="11"/>
        <v>99</v>
      </c>
      <c r="V38" s="774" t="s">
        <v>17</v>
      </c>
      <c r="W38" s="775">
        <f t="shared" si="12"/>
        <v>100</v>
      </c>
      <c r="X38" s="1812"/>
      <c r="Y38" s="3190"/>
      <c r="Z38" s="1813" t="str">
        <f t="shared" si="13"/>
        <v>宗地面积</v>
      </c>
      <c r="AA38" s="1810">
        <f t="shared" si="3"/>
        <v>1.0101010101010102</v>
      </c>
      <c r="AB38" s="1810">
        <f t="shared" si="4"/>
        <v>1.0101010101010102</v>
      </c>
      <c r="AC38" s="1810">
        <f t="shared" si="5"/>
        <v>1</v>
      </c>
    </row>
    <row r="39" spans="1:29" ht="15">
      <c r="A39" s="472"/>
      <c r="B39" s="422" t="s">
        <v>2742</v>
      </c>
      <c r="C39" s="2611" t="s">
        <v>3211</v>
      </c>
      <c r="D39" s="435">
        <v>100</v>
      </c>
      <c r="E39" s="2611" t="s">
        <v>3211</v>
      </c>
      <c r="F39" s="435">
        <f>SUMIF(119:119,E39,120:120)-SUMIF(119:119,C39,120:120)+100</f>
        <v>100</v>
      </c>
      <c r="G39" s="2611" t="s">
        <v>3209</v>
      </c>
      <c r="H39" s="435">
        <f>SUMIF(119:119,G39,120:120)-SUMIF(119:119,C39,120:120)+100</f>
        <v>102</v>
      </c>
      <c r="I39" s="2611" t="s">
        <v>3209</v>
      </c>
      <c r="J39" s="435">
        <f>SUMIF(119:119,I39,120:120)-SUMIF(119:119,C39,120:120)+100</f>
        <v>102</v>
      </c>
      <c r="K39" s="612">
        <v>2</v>
      </c>
      <c r="L39" s="1140"/>
      <c r="M39" s="1131"/>
      <c r="N39" s="1131"/>
      <c r="O39" s="1139"/>
      <c r="P39" s="3190"/>
      <c r="Q39" s="1809" t="str">
        <f t="shared" ref="Q39:Q45" si="14">B39</f>
        <v>宗地形状</v>
      </c>
      <c r="R39" s="774" t="s">
        <v>17</v>
      </c>
      <c r="S39" s="775">
        <f t="shared" si="10"/>
        <v>100</v>
      </c>
      <c r="T39" s="774" t="s">
        <v>17</v>
      </c>
      <c r="U39" s="775">
        <f t="shared" si="11"/>
        <v>102</v>
      </c>
      <c r="V39" s="774" t="s">
        <v>17</v>
      </c>
      <c r="W39" s="775">
        <f t="shared" si="12"/>
        <v>102</v>
      </c>
      <c r="X39" s="1812"/>
      <c r="Y39" s="3190"/>
      <c r="Z39" s="1813" t="str">
        <f t="shared" si="13"/>
        <v>宗地形状</v>
      </c>
      <c r="AA39" s="1810">
        <f t="shared" si="3"/>
        <v>1</v>
      </c>
      <c r="AB39" s="1810">
        <f t="shared" si="4"/>
        <v>0.98039215686274506</v>
      </c>
      <c r="AC39" s="1810">
        <f t="shared" si="5"/>
        <v>0.98039215686274506</v>
      </c>
    </row>
    <row r="40" spans="1:29" ht="15" hidden="1">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90"/>
      <c r="Q40" s="1809" t="str">
        <f t="shared" si="14"/>
        <v>临街宽度及深度</v>
      </c>
      <c r="R40" s="774" t="s">
        <v>17</v>
      </c>
      <c r="S40" s="775">
        <f t="shared" si="10"/>
        <v>100</v>
      </c>
      <c r="T40" s="774" t="s">
        <v>17</v>
      </c>
      <c r="U40" s="775">
        <f t="shared" si="11"/>
        <v>100</v>
      </c>
      <c r="V40" s="774" t="s">
        <v>17</v>
      </c>
      <c r="W40" s="775">
        <f t="shared" si="12"/>
        <v>100</v>
      </c>
      <c r="X40" s="1812"/>
      <c r="Y40" s="3190"/>
      <c r="Z40" s="1813" t="str">
        <f t="shared" si="13"/>
        <v>临街宽度及深度</v>
      </c>
      <c r="AA40" s="1810">
        <f t="shared" si="3"/>
        <v>1</v>
      </c>
      <c r="AB40" s="1810">
        <f t="shared" si="4"/>
        <v>1</v>
      </c>
      <c r="AC40" s="1810">
        <f t="shared" si="5"/>
        <v>1</v>
      </c>
    </row>
    <row r="41" spans="1:29" s="117" customFormat="1" ht="15">
      <c r="A41" s="473"/>
      <c r="B41" s="422" t="s">
        <v>2744</v>
      </c>
      <c r="C41" s="2700" t="s">
        <v>3220</v>
      </c>
      <c r="D41" s="136">
        <v>100</v>
      </c>
      <c r="E41" s="2700" t="s">
        <v>3222</v>
      </c>
      <c r="F41" s="435">
        <f>SUMIF(123:123,E41,124:124)-SUMIF(123:123,C41,124:124)+100</f>
        <v>99</v>
      </c>
      <c r="G41" s="2700" t="s">
        <v>3220</v>
      </c>
      <c r="H41" s="435">
        <f>SUMIF(123:123,G41,124:124)-SUMIF(123:123,C41,124:124)+100</f>
        <v>100</v>
      </c>
      <c r="I41" s="2700" t="s">
        <v>3220</v>
      </c>
      <c r="J41" s="435">
        <f>SUMIF(123:123,I41,124:124)-SUMIF(123:123,C41,124:124)+100</f>
        <v>100</v>
      </c>
      <c r="K41" s="612">
        <v>1</v>
      </c>
      <c r="L41" s="1132"/>
      <c r="M41" s="1133"/>
      <c r="N41" s="1133"/>
      <c r="O41" s="1134"/>
      <c r="P41" s="3190"/>
      <c r="Q41" s="1809" t="str">
        <f t="shared" si="14"/>
        <v>宗地开发程度</v>
      </c>
      <c r="R41" s="770" t="s">
        <v>17</v>
      </c>
      <c r="S41" s="771">
        <f t="shared" si="10"/>
        <v>99</v>
      </c>
      <c r="T41" s="770" t="s">
        <v>17</v>
      </c>
      <c r="U41" s="771">
        <f t="shared" si="11"/>
        <v>100</v>
      </c>
      <c r="V41" s="770" t="s">
        <v>17</v>
      </c>
      <c r="W41" s="771">
        <f t="shared" si="12"/>
        <v>100</v>
      </c>
      <c r="X41" s="772"/>
      <c r="Y41" s="3190"/>
      <c r="Z41" s="55" t="str">
        <f t="shared" si="13"/>
        <v>宗地开发程度</v>
      </c>
      <c r="AA41" s="773">
        <f t="shared" si="3"/>
        <v>1.0101010101010102</v>
      </c>
      <c r="AB41" s="773">
        <f t="shared" si="4"/>
        <v>1</v>
      </c>
      <c r="AC41" s="773">
        <f t="shared" si="5"/>
        <v>1</v>
      </c>
    </row>
    <row r="42" spans="1:29" ht="15">
      <c r="A42" s="472"/>
      <c r="B42" s="422" t="s">
        <v>2745</v>
      </c>
      <c r="C42" s="2611" t="s">
        <v>3200</v>
      </c>
      <c r="D42" s="435">
        <v>100</v>
      </c>
      <c r="E42" s="2611" t="s">
        <v>3200</v>
      </c>
      <c r="F42" s="435">
        <f>SUMIF(125:125,E42,126:126)-SUMIF(125:125,C42,126:126)+100</f>
        <v>100</v>
      </c>
      <c r="G42" s="2611" t="s">
        <v>3200</v>
      </c>
      <c r="H42" s="435">
        <f>SUMIF(125:125,G42,126:126)-SUMIF(125:125,C42,126:126)+100</f>
        <v>100</v>
      </c>
      <c r="I42" s="2611" t="s">
        <v>3200</v>
      </c>
      <c r="J42" s="435">
        <f>SUMIF(125:125,I42,126:126)-SUMIF(125:125,C42,126:126)+100</f>
        <v>100</v>
      </c>
      <c r="K42" s="612">
        <v>2</v>
      </c>
      <c r="L42" s="1140"/>
      <c r="M42" s="1131"/>
      <c r="N42" s="1131"/>
      <c r="O42" s="1139"/>
      <c r="P42" s="3190" t="s">
        <v>2556</v>
      </c>
      <c r="Q42" s="1809" t="str">
        <f t="shared" si="14"/>
        <v>工程地质条件</v>
      </c>
      <c r="R42" s="774" t="s">
        <v>17</v>
      </c>
      <c r="S42" s="775">
        <f t="shared" si="10"/>
        <v>100</v>
      </c>
      <c r="T42" s="774" t="s">
        <v>17</v>
      </c>
      <c r="U42" s="775">
        <f t="shared" si="11"/>
        <v>100</v>
      </c>
      <c r="V42" s="774" t="s">
        <v>17</v>
      </c>
      <c r="W42" s="775">
        <f t="shared" si="12"/>
        <v>100</v>
      </c>
      <c r="X42" s="1812"/>
      <c r="Y42" s="3190" t="s">
        <v>2556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0"/>
      <c r="Q43" s="1809">
        <f t="shared" si="14"/>
        <v>111</v>
      </c>
      <c r="R43" s="774" t="s">
        <v>17</v>
      </c>
      <c r="S43" s="775">
        <f t="shared" si="10"/>
        <v>100</v>
      </c>
      <c r="T43" s="774" t="s">
        <v>17</v>
      </c>
      <c r="U43" s="775">
        <f t="shared" si="11"/>
        <v>100</v>
      </c>
      <c r="V43" s="774" t="s">
        <v>17</v>
      </c>
      <c r="W43" s="775">
        <f t="shared" si="12"/>
        <v>100</v>
      </c>
      <c r="X43" s="1812"/>
      <c r="Y43" s="3190"/>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0"/>
      <c r="Q44" s="1809">
        <f t="shared" si="14"/>
        <v>111</v>
      </c>
      <c r="R44" s="774" t="s">
        <v>17</v>
      </c>
      <c r="S44" s="775">
        <f t="shared" si="10"/>
        <v>100</v>
      </c>
      <c r="T44" s="774" t="s">
        <v>17</v>
      </c>
      <c r="U44" s="775">
        <f t="shared" si="11"/>
        <v>100</v>
      </c>
      <c r="V44" s="774" t="s">
        <v>17</v>
      </c>
      <c r="W44" s="775">
        <f t="shared" si="12"/>
        <v>100</v>
      </c>
      <c r="X44" s="1812"/>
      <c r="Y44" s="3190"/>
      <c r="Z44" s="1813">
        <f t="shared" si="13"/>
        <v>111</v>
      </c>
      <c r="AA44" s="1810">
        <f t="shared" si="3"/>
        <v>1</v>
      </c>
      <c r="AB44" s="1810">
        <f t="shared" si="4"/>
        <v>1</v>
      </c>
      <c r="AC44" s="1810">
        <f t="shared" si="5"/>
        <v>1</v>
      </c>
    </row>
    <row r="45" spans="1:29" s="471" customFormat="1" ht="15.6"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0"/>
      <c r="Q45" s="1809">
        <f t="shared" si="14"/>
        <v>111</v>
      </c>
      <c r="R45" s="777" t="s">
        <v>17</v>
      </c>
      <c r="S45" s="778">
        <f t="shared" si="10"/>
        <v>100</v>
      </c>
      <c r="T45" s="777" t="s">
        <v>17</v>
      </c>
      <c r="U45" s="778">
        <f t="shared" si="11"/>
        <v>100</v>
      </c>
      <c r="V45" s="777" t="s">
        <v>17</v>
      </c>
      <c r="W45" s="778">
        <f t="shared" si="12"/>
        <v>100</v>
      </c>
      <c r="X45" s="779"/>
      <c r="Y45" s="3190"/>
      <c r="Z45" s="780">
        <f t="shared" si="13"/>
        <v>111</v>
      </c>
      <c r="AA45" s="1810">
        <f t="shared" si="3"/>
        <v>1</v>
      </c>
      <c r="AB45" s="1810">
        <f t="shared" si="4"/>
        <v>1</v>
      </c>
      <c r="AC45" s="1810">
        <f t="shared" si="5"/>
        <v>1</v>
      </c>
    </row>
    <row r="46" spans="1:29" ht="14.4">
      <c r="A46" s="479" t="s">
        <v>2711</v>
      </c>
      <c r="B46" s="2702" t="s">
        <v>2746</v>
      </c>
      <c r="C46" s="682" t="s">
        <v>1</v>
      </c>
      <c r="D46" s="481"/>
      <c r="E46" s="482">
        <v>18382</v>
      </c>
      <c r="F46" s="483"/>
      <c r="G46" s="484">
        <v>14948</v>
      </c>
      <c r="H46" s="485"/>
      <c r="I46" s="482">
        <v>14580</v>
      </c>
      <c r="J46" s="485"/>
      <c r="K46" s="783"/>
      <c r="L46" s="1143"/>
      <c r="M46" s="1144"/>
      <c r="N46" s="1131"/>
      <c r="O46" s="1144"/>
      <c r="P46" s="3185" t="str">
        <f>A46</f>
        <v>成交单价</v>
      </c>
      <c r="Q46" s="3185"/>
      <c r="R46" s="3191">
        <f>E46</f>
        <v>18382</v>
      </c>
      <c r="S46" s="3191"/>
      <c r="T46" s="3191">
        <f>G46</f>
        <v>14948</v>
      </c>
      <c r="U46" s="3191"/>
      <c r="V46" s="3191">
        <f>I46</f>
        <v>14580</v>
      </c>
      <c r="W46" s="3191"/>
      <c r="X46" s="759"/>
      <c r="Y46" s="781"/>
      <c r="Z46" s="759"/>
      <c r="AA46" s="759"/>
      <c r="AB46" s="759"/>
      <c r="AC46" s="759"/>
    </row>
    <row r="47" spans="1:29" ht="15" thickBot="1">
      <c r="A47" s="486" t="s">
        <v>2660</v>
      </c>
      <c r="B47" s="683"/>
      <c r="C47" s="490">
        <f>R48</f>
        <v>16550</v>
      </c>
      <c r="D47" s="489"/>
      <c r="E47" s="490">
        <f>R47</f>
        <v>18302</v>
      </c>
      <c r="F47" s="491"/>
      <c r="G47" s="488">
        <f>T47</f>
        <v>15689</v>
      </c>
      <c r="H47" s="489"/>
      <c r="I47" s="490">
        <f>V47</f>
        <v>15660</v>
      </c>
      <c r="J47" s="489"/>
      <c r="K47" s="784"/>
      <c r="L47" s="1143"/>
      <c r="M47" s="1144"/>
      <c r="N47" s="1144"/>
      <c r="O47" s="1144"/>
      <c r="P47" s="3185" t="str">
        <f>A47</f>
        <v>比较价值（元/平方米）</v>
      </c>
      <c r="Q47" s="3185"/>
      <c r="R47" s="3178">
        <f>ROUND(PRODUCT(R46,AA7:AA45),0)</f>
        <v>18302</v>
      </c>
      <c r="S47" s="3178"/>
      <c r="T47" s="3178">
        <f>ROUND(PRODUCT(T46,AB7:AB45),0)</f>
        <v>15689</v>
      </c>
      <c r="U47" s="3178"/>
      <c r="V47" s="3178">
        <f>ROUND(PRODUCT(V46,AC7:AC45),0)</f>
        <v>15660</v>
      </c>
      <c r="W47" s="3178"/>
      <c r="X47" s="759"/>
      <c r="Y47" s="759"/>
      <c r="Z47" s="759"/>
      <c r="AA47" s="759"/>
      <c r="AB47" s="759"/>
      <c r="AC47" s="759"/>
    </row>
    <row r="48" spans="1:29" ht="15" thickBot="1">
      <c r="A48" s="492" t="s">
        <v>2747</v>
      </c>
      <c r="B48" s="493"/>
      <c r="C48" s="494">
        <f>R48</f>
        <v>16550</v>
      </c>
      <c r="D48" s="494"/>
      <c r="E48" s="494"/>
      <c r="F48" s="494"/>
      <c r="G48" s="494"/>
      <c r="H48" s="494"/>
      <c r="I48" s="494"/>
      <c r="J48" s="494"/>
      <c r="K48" s="785"/>
      <c r="L48" s="1143"/>
      <c r="M48" s="1144"/>
      <c r="N48" s="1144"/>
      <c r="O48" s="1144"/>
      <c r="P48" s="3179" t="str">
        <f>A48</f>
        <v>估价对象XX用房的比较价值（楼面单价，元/平方米）</v>
      </c>
      <c r="Q48" s="3180"/>
      <c r="R48" s="3181">
        <f>ROUND(AVERAGE(R47:V47),0)</f>
        <v>16550</v>
      </c>
      <c r="S48" s="3181"/>
      <c r="T48" s="3181"/>
      <c r="U48" s="3181"/>
      <c r="V48" s="3181"/>
      <c r="W48" s="3181"/>
      <c r="X48" s="759"/>
      <c r="Y48" s="759"/>
      <c r="Z48" s="759"/>
      <c r="AA48" s="759"/>
      <c r="AB48" s="759"/>
      <c r="AC48" s="759"/>
    </row>
    <row r="49" spans="1:15">
      <c r="A49" s="1144"/>
      <c r="B49" s="1144"/>
      <c r="C49" s="1144"/>
      <c r="D49" s="1144"/>
      <c r="E49" s="1144"/>
      <c r="F49" s="1144"/>
      <c r="G49" s="1147"/>
      <c r="H49" s="1144">
        <f>16550*0.6*25%*9152.04/10000</f>
        <v>2271.9939300000001</v>
      </c>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f>IF(E46&lt;E47,E47/E46-1,E46/E47-1)</f>
        <v>4.3711069828433757E-3</v>
      </c>
      <c r="F51" s="500" t="str">
        <f>IF(OR(E51&gt;=0.3,E51&lt;=-0.3),"超过30%","")</f>
        <v/>
      </c>
      <c r="G51" s="499">
        <f>IF(G46&lt;G47,G47/G46-1,G46/G47-1)</f>
        <v>4.9571849076799568E-2</v>
      </c>
      <c r="H51" s="500" t="str">
        <f>IF(OR(G51&gt;=0.3,G51&lt;=-0.3),"超过30%","")</f>
        <v/>
      </c>
      <c r="I51" s="499">
        <f>IF(I46&lt;I47,I47/I46-1,I46/I47-1)</f>
        <v>7.4074074074074181E-2</v>
      </c>
      <c r="J51" s="500" t="str">
        <f>IF(OR(I51&gt;=0.3,I51&lt;=-0.3),"超过30%","")</f>
        <v/>
      </c>
      <c r="K51" s="1105"/>
      <c r="L51" s="1106"/>
      <c r="M51" s="1144"/>
      <c r="N51" s="1144"/>
      <c r="O51" s="1144"/>
    </row>
    <row r="52" spans="1:15" ht="13.5" customHeight="1">
      <c r="A52" s="1144"/>
      <c r="B52" s="1144"/>
      <c r="C52" s="497" t="s">
        <v>2663</v>
      </c>
      <c r="D52" s="501"/>
      <c r="E52" s="499">
        <f>IF(E47&lt;G47,G47/E47-1,E47/G47-1)</f>
        <v>0.16654981197017027</v>
      </c>
      <c r="F52" s="500" t="str">
        <f>IF(OR(E52&gt;=0.2,E52&lt;=-0.2),"超过20%","")</f>
        <v/>
      </c>
      <c r="G52" s="499">
        <f>IF(G47&lt;I47,I47/G47-1,G47/I47-1)</f>
        <v>1.8518518518517713E-3</v>
      </c>
      <c r="H52" s="500" t="str">
        <f>IF(OR(G52&gt;=0.2,G52&lt;=-0.2),"超过20%","")</f>
        <v/>
      </c>
      <c r="I52" s="499">
        <f>IF(I47&lt;E47,E47/I47-1,I47/E47-1)</f>
        <v>0.16871008939974463</v>
      </c>
      <c r="J52" s="500" t="str">
        <f>IF(OR(I52&gt;=0.2,I52&lt;=-0.2),"超过20%","")</f>
        <v/>
      </c>
      <c r="K52" s="1105"/>
      <c r="L52" s="1106"/>
      <c r="M52" s="1144"/>
      <c r="N52" s="1144"/>
      <c r="O52" s="1144"/>
    </row>
    <row r="53" spans="1:15" s="502" customFormat="1" ht="13.5" customHeight="1">
      <c r="A53" s="1145"/>
      <c r="B53" s="1145"/>
      <c r="C53" s="497" t="s">
        <v>2664</v>
      </c>
      <c r="D53" s="501"/>
      <c r="E53" s="499">
        <f>IF(E46&lt;G46,G46/E46-1,E46/G46-1)</f>
        <v>0.22972972972972983</v>
      </c>
      <c r="F53" s="500" t="str">
        <f>IF(OR(E53&gt;=0.3,E53&lt;=-0.3),"超过30%","")</f>
        <v/>
      </c>
      <c r="G53" s="499">
        <f>IF(G46&lt;I46,I46/G46-1,G46/I46-1)</f>
        <v>2.5240054869684503E-2</v>
      </c>
      <c r="H53" s="500" t="str">
        <f>IF(OR(G53&gt;=0.3,G53&lt;=-0.3),"超过30%","")</f>
        <v/>
      </c>
      <c r="I53" s="499">
        <f>IF(I46&lt;E46,E46/I46-1,I46/E46-1)</f>
        <v>0.26076817558299048</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3229</v>
      </c>
      <c r="D55" s="2704" t="s">
        <v>2751</v>
      </c>
      <c r="E55" s="686" t="s">
        <v>2752</v>
      </c>
      <c r="F55" s="1107" t="s">
        <v>2753</v>
      </c>
      <c r="G55" s="3182" t="s">
        <v>2754</v>
      </c>
      <c r="H55" s="3183"/>
      <c r="I55" s="144" t="s">
        <v>2755</v>
      </c>
      <c r="J55" s="2705">
        <f>项目基本情况!F35</f>
        <v>0</v>
      </c>
      <c r="K55" s="2706" t="s">
        <v>2756</v>
      </c>
      <c r="L55" s="1106"/>
      <c r="M55" s="1144"/>
      <c r="N55" s="1144"/>
      <c r="O55" s="1144"/>
    </row>
    <row r="56" spans="1:15" s="692" customFormat="1">
      <c r="A56" s="688" t="s">
        <v>2757</v>
      </c>
      <c r="B56" s="689">
        <f>C48</f>
        <v>16550</v>
      </c>
      <c r="C56" s="690">
        <v>1</v>
      </c>
      <c r="D56" s="1163">
        <v>1</v>
      </c>
      <c r="E56" s="690">
        <f>'数据-汇总表'!E8+'数据-汇总表'!E9</f>
        <v>0</v>
      </c>
      <c r="F56" s="1103">
        <f t="shared" ref="F56:F65" si="15">ROUND(B56*E56/10000,0)</f>
        <v>0</v>
      </c>
      <c r="G56" s="3184"/>
      <c r="H56" s="3185"/>
      <c r="I56" s="1108">
        <v>1</v>
      </c>
      <c r="J56" s="1111">
        <v>1</v>
      </c>
      <c r="K56" s="1145"/>
      <c r="L56" s="941"/>
      <c r="M56" s="941"/>
      <c r="N56" s="941"/>
      <c r="O56" s="941"/>
    </row>
    <row r="57" spans="1:15" s="692" customFormat="1">
      <c r="A57" s="693" t="s">
        <v>2758</v>
      </c>
      <c r="B57" s="262">
        <f>ROUND($C$48*C57*D57,0)</f>
        <v>9930</v>
      </c>
      <c r="C57" s="200">
        <f t="shared" ref="C57:C65" si="16">IF($C$55="北京市系数",I57,J57)</f>
        <v>0.6</v>
      </c>
      <c r="D57" s="2988">
        <v>1</v>
      </c>
      <c r="E57" s="694">
        <f>'数据-汇总表'!E10</f>
        <v>9152.0400000000009</v>
      </c>
      <c r="F57" s="1103">
        <f t="shared" si="15"/>
        <v>9088</v>
      </c>
      <c r="G57" s="3186" t="s">
        <v>2759</v>
      </c>
      <c r="H57" s="1104" t="str">
        <f>项目基本情况!B37</f>
        <v>九级</v>
      </c>
      <c r="I57" s="1108">
        <f>SUMIF(修正!A45:A56,H57,修正!B45:B56)</f>
        <v>0.6</v>
      </c>
      <c r="J57" s="1112"/>
      <c r="K57" s="1144"/>
      <c r="L57" s="941"/>
      <c r="M57" s="941"/>
      <c r="N57" s="941"/>
      <c r="O57" s="941"/>
    </row>
    <row r="58" spans="1:15" s="692" customFormat="1">
      <c r="A58" s="693" t="s">
        <v>2760</v>
      </c>
      <c r="B58" s="262">
        <f t="shared" ref="B58:B65" si="17">ROUND($C$48*C58*D58,0)</f>
        <v>1241</v>
      </c>
      <c r="C58" s="200">
        <f t="shared" si="16"/>
        <v>0.3</v>
      </c>
      <c r="D58" s="1164">
        <v>0.25</v>
      </c>
      <c r="E58" s="694"/>
      <c r="F58" s="1103">
        <f t="shared" si="15"/>
        <v>0</v>
      </c>
      <c r="G58" s="3186"/>
      <c r="H58" s="1104" t="str">
        <f>项目基本情况!B37</f>
        <v>九级</v>
      </c>
      <c r="I58" s="1108">
        <f>SUMIF(修正!A45:A56,H58,修正!C45:C56)</f>
        <v>0.3</v>
      </c>
      <c r="J58" s="1112"/>
      <c r="K58" s="1145"/>
      <c r="L58" s="941"/>
      <c r="M58" s="941"/>
      <c r="N58" s="941"/>
      <c r="O58" s="941"/>
    </row>
    <row r="59" spans="1:15" s="692" customFormat="1">
      <c r="A59" s="693" t="s">
        <v>2761</v>
      </c>
      <c r="B59" s="262">
        <f t="shared" si="17"/>
        <v>828</v>
      </c>
      <c r="C59" s="200">
        <f t="shared" si="16"/>
        <v>0.2</v>
      </c>
      <c r="D59" s="1164">
        <v>0.25</v>
      </c>
      <c r="E59" s="694"/>
      <c r="F59" s="1103">
        <f t="shared" si="15"/>
        <v>0</v>
      </c>
      <c r="G59" s="3186"/>
      <c r="H59" s="1104" t="str">
        <f>项目基本情况!B37</f>
        <v>九级</v>
      </c>
      <c r="I59" s="1108">
        <f>SUMIF(修正!A45:A56,H59,修正!D45:D56)</f>
        <v>0.2</v>
      </c>
      <c r="J59" s="1112"/>
      <c r="K59" s="1144"/>
      <c r="L59" s="941"/>
      <c r="M59" s="941"/>
      <c r="N59" s="941"/>
      <c r="O59" s="941"/>
    </row>
    <row r="60" spans="1:15" s="692" customFormat="1">
      <c r="A60" s="693" t="s">
        <v>2762</v>
      </c>
      <c r="B60" s="262">
        <f t="shared" si="17"/>
        <v>828</v>
      </c>
      <c r="C60" s="200">
        <f t="shared" si="16"/>
        <v>0.2</v>
      </c>
      <c r="D60" s="1164">
        <v>0.25</v>
      </c>
      <c r="E60" s="694"/>
      <c r="F60" s="1103">
        <f t="shared" si="15"/>
        <v>0</v>
      </c>
      <c r="G60" s="3186"/>
      <c r="H60" s="1104" t="str">
        <f>项目基本情况!B37</f>
        <v>九级</v>
      </c>
      <c r="I60" s="1108">
        <f>SUMIF(修正!A45:A56,H60,修正!E45:E56)</f>
        <v>0.2</v>
      </c>
      <c r="J60" s="1112"/>
      <c r="K60" s="1145"/>
      <c r="L60" s="941"/>
      <c r="M60" s="941"/>
      <c r="N60" s="941"/>
      <c r="O60" s="941"/>
    </row>
    <row r="61" spans="1:15" s="692" customFormat="1">
      <c r="A61" s="693" t="s">
        <v>2763</v>
      </c>
      <c r="B61" s="262">
        <f t="shared" si="17"/>
        <v>828</v>
      </c>
      <c r="C61" s="200">
        <f t="shared" si="16"/>
        <v>0.2</v>
      </c>
      <c r="D61" s="1164">
        <v>0.25</v>
      </c>
      <c r="E61" s="261">
        <f>'数据-汇总表'!E11</f>
        <v>0</v>
      </c>
      <c r="F61" s="1103">
        <f t="shared" si="15"/>
        <v>0</v>
      </c>
      <c r="G61" s="2707" t="s">
        <v>2764</v>
      </c>
      <c r="H61" s="1104" t="str">
        <f>项目基本情况!C37</f>
        <v>九级</v>
      </c>
      <c r="I61" s="1108">
        <f>SUMIF(修正!A45:A56,H61,修正!F45:F56)</f>
        <v>0.2</v>
      </c>
      <c r="J61" s="1112"/>
      <c r="K61" s="1144"/>
      <c r="L61" s="941"/>
      <c r="M61" s="941"/>
      <c r="N61" s="941"/>
      <c r="O61" s="941"/>
    </row>
    <row r="62" spans="1:15" s="692" customFormat="1">
      <c r="A62" s="693" t="s">
        <v>2765</v>
      </c>
      <c r="B62" s="262">
        <f t="shared" si="17"/>
        <v>828</v>
      </c>
      <c r="C62" s="200">
        <f t="shared" si="16"/>
        <v>0.2</v>
      </c>
      <c r="D62" s="1164">
        <v>0.25</v>
      </c>
      <c r="E62" s="261">
        <f>'数据-汇总表'!E12</f>
        <v>0</v>
      </c>
      <c r="F62" s="1103">
        <f t="shared" si="15"/>
        <v>0</v>
      </c>
      <c r="G62" s="1109" t="s">
        <v>1372</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621</v>
      </c>
      <c r="C64" s="200">
        <f t="shared" si="16"/>
        <v>0.15</v>
      </c>
      <c r="D64" s="1164">
        <v>0.25</v>
      </c>
      <c r="E64" s="261">
        <f>'数据-汇总表'!E14</f>
        <v>0</v>
      </c>
      <c r="F64" s="1103">
        <f t="shared" si="15"/>
        <v>0</v>
      </c>
      <c r="G64" s="2707" t="s">
        <v>2759</v>
      </c>
      <c r="H64" s="1104" t="str">
        <f>项目基本情况!B37</f>
        <v>九级</v>
      </c>
      <c r="I64" s="1108">
        <f>SUMIF(修正!A45:A56,H64,修正!H45:H56)</f>
        <v>0.15</v>
      </c>
      <c r="J64" s="1112"/>
      <c r="K64" s="1145"/>
      <c r="L64" s="941"/>
      <c r="M64" s="941"/>
      <c r="N64" s="941"/>
      <c r="O64" s="941"/>
    </row>
    <row r="65" spans="1:17" s="692" customFormat="1" ht="14.4" thickBot="1">
      <c r="A65" s="693" t="s">
        <v>2770</v>
      </c>
      <c r="B65" s="262">
        <f t="shared" si="17"/>
        <v>621</v>
      </c>
      <c r="C65" s="200">
        <f t="shared" si="16"/>
        <v>0.15</v>
      </c>
      <c r="D65" s="1164">
        <v>0.25</v>
      </c>
      <c r="E65" s="261">
        <f>'数据-汇总表'!E15</f>
        <v>0</v>
      </c>
      <c r="F65" s="1103">
        <f t="shared" si="15"/>
        <v>0</v>
      </c>
      <c r="G65" s="2708" t="s">
        <v>2764</v>
      </c>
      <c r="H65" s="1114" t="str">
        <f>项目基本情况!C37</f>
        <v>九级</v>
      </c>
      <c r="I65" s="1110">
        <f>SUMIF(修正!A45:A56,H65,修正!H45:H56)</f>
        <v>0.15</v>
      </c>
      <c r="J65" s="1113"/>
      <c r="K65" s="1144"/>
      <c r="L65" s="941"/>
      <c r="M65" s="941"/>
      <c r="N65" s="941"/>
      <c r="O65" s="941"/>
    </row>
    <row r="66" spans="1:17" s="692" customFormat="1" thickBot="1">
      <c r="A66" s="695" t="s">
        <v>2771</v>
      </c>
      <c r="B66" s="696" t="s">
        <v>28</v>
      </c>
      <c r="C66" s="696" t="s">
        <v>29</v>
      </c>
      <c r="D66" s="696" t="s">
        <v>1025</v>
      </c>
      <c r="E66" s="696">
        <f>IF(B46="楼面地价",SUM(E56:E65),'数据-汇总表'!D3)</f>
        <v>9152.0400000000009</v>
      </c>
      <c r="F66" s="697">
        <f>IF(B46="楼面地价",SUM(F56:F65),ROUND(C48*E66/10000,0))</f>
        <v>9088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2.2" thickBot="1">
      <c r="A69" s="763" t="s">
        <v>2665</v>
      </c>
      <c r="B69" s="759"/>
      <c r="C69" s="764"/>
      <c r="D69" s="764"/>
      <c r="E69" s="764"/>
      <c r="F69" s="765"/>
      <c r="G69" s="765"/>
      <c r="H69" s="764"/>
      <c r="I69" s="764"/>
      <c r="J69" s="1159"/>
      <c r="K69" s="1160"/>
      <c r="L69" s="1161"/>
      <c r="M69" s="1159"/>
      <c r="N69" s="1159"/>
      <c r="O69" s="1159"/>
      <c r="P69" s="503"/>
      <c r="Q69" s="504"/>
    </row>
    <row r="70" spans="1:17" s="508" customFormat="1" ht="14.4">
      <c r="A70" s="2709" t="s">
        <v>2772</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0" t="s">
        <v>1372</v>
      </c>
      <c r="B71" s="332" t="str">
        <f>"北京市平均增长率"&amp;TEXT(SUMIF(基准地价修正!N21:N25,A71,基准地价修正!P21:P25),"0.00%")</f>
        <v>北京市平均增长率1.28%</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 thickBot="1">
      <c r="A72" s="515" t="s">
        <v>2576</v>
      </c>
      <c r="B72" s="516"/>
      <c r="C72" s="517">
        <v>1</v>
      </c>
      <c r="D72" s="518"/>
      <c r="E72" s="518"/>
      <c r="F72" s="518"/>
      <c r="G72" s="518"/>
      <c r="H72" s="518"/>
      <c r="I72" s="518"/>
      <c r="J72" s="518"/>
      <c r="K72" s="518"/>
      <c r="L72" s="518"/>
      <c r="M72" s="519"/>
      <c r="N72" s="518"/>
      <c r="O72" s="1162"/>
      <c r="P72" s="504"/>
      <c r="Q72" s="504"/>
    </row>
    <row r="73" spans="1:17" s="117" customFormat="1" ht="14.4">
      <c r="A73" s="521" t="s">
        <v>2541</v>
      </c>
      <c r="B73" s="510"/>
      <c r="C73" s="522" t="s">
        <v>2643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2579</v>
      </c>
      <c r="B75" s="528" t="s">
        <v>2545</v>
      </c>
      <c r="C75" s="2958" t="s">
        <v>3195</v>
      </c>
      <c r="D75" s="2958" t="s">
        <v>3197</v>
      </c>
      <c r="E75" s="530"/>
      <c r="F75" s="530"/>
      <c r="G75" s="530"/>
      <c r="H75" s="530"/>
      <c r="I75" s="530"/>
      <c r="J75" s="530"/>
      <c r="K75" s="531"/>
      <c r="L75" s="532"/>
      <c r="M75" s="533"/>
      <c r="N75" s="1152"/>
      <c r="O75" s="1152"/>
      <c r="P75" s="45"/>
      <c r="Q75" s="504"/>
    </row>
    <row r="76" spans="1:17" ht="14.4" thickBot="1">
      <c r="A76" s="534"/>
      <c r="B76" s="535"/>
      <c r="C76" s="536">
        <v>100</v>
      </c>
      <c r="D76" s="536">
        <v>100</v>
      </c>
      <c r="E76" s="536"/>
      <c r="F76" s="536"/>
      <c r="G76" s="536"/>
      <c r="H76" s="536"/>
      <c r="I76" s="536"/>
      <c r="J76" s="536"/>
      <c r="K76" s="536"/>
      <c r="L76" s="536"/>
      <c r="M76" s="537"/>
      <c r="N76" s="1153"/>
      <c r="O76" s="1153"/>
      <c r="P76" s="45"/>
      <c r="Q76" s="504"/>
    </row>
    <row r="77" spans="1:17" ht="29.4" thickTop="1">
      <c r="A77" s="534"/>
      <c r="B77" s="538" t="s">
        <v>2548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4"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 thickTop="1">
      <c r="A82" s="553"/>
      <c r="B82" s="538" t="str">
        <f>B12</f>
        <v>是否自持</v>
      </c>
      <c r="C82" s="2960" t="s">
        <v>3230</v>
      </c>
      <c r="D82" s="2960" t="s">
        <v>3231</v>
      </c>
      <c r="E82" s="554"/>
      <c r="F82" s="554"/>
      <c r="G82" s="554"/>
      <c r="H82" s="555"/>
      <c r="I82" s="555"/>
      <c r="J82" s="555"/>
      <c r="K82" s="555"/>
      <c r="L82" s="556"/>
      <c r="M82" s="557"/>
      <c r="N82" s="1154"/>
      <c r="O82" s="1154"/>
      <c r="P82" s="558"/>
      <c r="Q82" s="559"/>
    </row>
    <row r="83" spans="1:17" s="471" customFormat="1" ht="14.4" thickBot="1">
      <c r="A83" s="553"/>
      <c r="B83" s="543"/>
      <c r="C83" s="560">
        <v>100</v>
      </c>
      <c r="D83" s="536">
        <v>95</v>
      </c>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2773</v>
      </c>
      <c r="C90" s="578" t="s">
        <v>2588</v>
      </c>
      <c r="D90" s="578" t="s">
        <v>2589</v>
      </c>
      <c r="E90" s="578" t="s">
        <v>2590</v>
      </c>
      <c r="F90" s="578" t="s">
        <v>2591</v>
      </c>
      <c r="G90" s="578" t="s">
        <v>2592</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2774</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2775</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4.4"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9.4" thickTop="1">
      <c r="A106" s="534"/>
      <c r="B106" s="538" t="s">
        <v>2682</v>
      </c>
      <c r="C106" s="2960" t="s">
        <v>3204</v>
      </c>
      <c r="D106" s="2960" t="s">
        <v>3205</v>
      </c>
      <c r="E106" s="2960" t="s">
        <v>3207</v>
      </c>
      <c r="F106" s="2960" t="s">
        <v>3208</v>
      </c>
      <c r="G106" s="554"/>
      <c r="H106" s="583"/>
      <c r="I106" s="583"/>
      <c r="J106" s="583"/>
      <c r="K106" s="584"/>
      <c r="L106" s="585"/>
      <c r="M106" s="586"/>
      <c r="N106" s="1152"/>
      <c r="O106" s="1152"/>
      <c r="P106" s="45"/>
      <c r="Q106" s="504"/>
    </row>
    <row r="107" spans="1:17" ht="14.4"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 thickTop="1">
      <c r="A108" s="534"/>
      <c r="B108" s="538" t="s">
        <v>2740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2554</v>
      </c>
      <c r="B116" s="528" t="s">
        <v>2780</v>
      </c>
      <c r="C116" s="529" t="str">
        <f>C117&amp;"(含)"&amp;"-"&amp;D117</f>
        <v>0(含)-30000</v>
      </c>
      <c r="D116" s="529" t="str">
        <f t="shared" ref="D116:M116" si="26">D117&amp;"(含)"&amp;"-"&amp;E117</f>
        <v>30000(含)-60000</v>
      </c>
      <c r="E116" s="529" t="str">
        <f t="shared" si="26"/>
        <v>60000(含)-90000</v>
      </c>
      <c r="F116" s="529" t="str">
        <f t="shared" si="26"/>
        <v>90000(含)-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30000</v>
      </c>
      <c r="E117" s="595">
        <v>60000</v>
      </c>
      <c r="F117" s="595">
        <v>90000</v>
      </c>
      <c r="G117" s="595"/>
      <c r="H117" s="595"/>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2781</v>
      </c>
      <c r="C119" s="2961" t="s">
        <v>3210</v>
      </c>
      <c r="D119" s="2961" t="s">
        <v>3212</v>
      </c>
      <c r="E119" s="2961" t="s">
        <v>3213</v>
      </c>
      <c r="F119" s="2961" t="s">
        <v>3214</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2783</v>
      </c>
      <c r="C123" s="2960" t="s">
        <v>3221</v>
      </c>
      <c r="D123" s="2960" t="s">
        <v>3223</v>
      </c>
      <c r="E123" s="2960" t="s">
        <v>3224</v>
      </c>
      <c r="F123" s="2960" t="s">
        <v>3225</v>
      </c>
      <c r="G123" s="554"/>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2784</v>
      </c>
      <c r="C125" s="2960" t="s">
        <v>3215</v>
      </c>
      <c r="D125" s="2960" t="s">
        <v>3216</v>
      </c>
      <c r="E125" s="2961" t="s">
        <v>3217</v>
      </c>
      <c r="F125" s="2961" t="s">
        <v>3218</v>
      </c>
      <c r="G125" s="2961" t="s">
        <v>3219</v>
      </c>
      <c r="H125" s="583"/>
      <c r="I125" s="583"/>
      <c r="J125" s="583"/>
      <c r="K125" s="584"/>
      <c r="L125" s="585"/>
      <c r="M125" s="586"/>
      <c r="N125" s="1152"/>
      <c r="O125" s="1152"/>
      <c r="P125" s="45"/>
      <c r="Q125" s="504"/>
    </row>
    <row r="126" spans="1:17" ht="14.4"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7"/>
  <sheetViews>
    <sheetView topLeftCell="B109" workbookViewId="0">
      <selection activeCell="A32" sqref="A32"/>
    </sheetView>
  </sheetViews>
  <sheetFormatPr defaultRowHeight="13.2"/>
  <cols>
    <col min="1" max="1" width="81" style="2955" customWidth="1"/>
    <col min="2" max="2" width="7.109375" style="2955" customWidth="1"/>
    <col min="3" max="3" width="13.33203125" style="2955" customWidth="1"/>
    <col min="4" max="5" width="15.88671875" style="2955" customWidth="1"/>
    <col min="6" max="6" width="21" style="2955" customWidth="1"/>
    <col min="7" max="7" width="9" style="2955" customWidth="1"/>
    <col min="8" max="8" width="10.21875" style="2955" customWidth="1"/>
    <col min="9" max="10" width="12.109375" style="2955" customWidth="1"/>
    <col min="11" max="11" width="16.33203125" style="2955" customWidth="1"/>
    <col min="12" max="12" width="7.109375" style="2955" customWidth="1"/>
    <col min="13" max="13" width="165.77734375" style="2955" customWidth="1"/>
    <col min="14" max="14" width="9" style="2955" customWidth="1"/>
    <col min="15" max="256" width="8.88671875" style="2955"/>
    <col min="257" max="257" width="81" style="2955" customWidth="1"/>
    <col min="258" max="258" width="7.109375" style="2955" customWidth="1"/>
    <col min="259" max="259" width="13.33203125" style="2955" customWidth="1"/>
    <col min="260" max="261" width="15.88671875" style="2955" customWidth="1"/>
    <col min="262" max="262" width="21" style="2955" customWidth="1"/>
    <col min="263" max="263" width="9" style="2955" customWidth="1"/>
    <col min="264" max="264" width="10.21875" style="2955" customWidth="1"/>
    <col min="265" max="266" width="12.109375" style="2955" customWidth="1"/>
    <col min="267" max="267" width="16.33203125" style="2955" customWidth="1"/>
    <col min="268" max="268" width="7.109375" style="2955" customWidth="1"/>
    <col min="269" max="269" width="165.77734375" style="2955" customWidth="1"/>
    <col min="270" max="270" width="9" style="2955" customWidth="1"/>
    <col min="271" max="512" width="8.88671875" style="2955"/>
    <col min="513" max="513" width="81" style="2955" customWidth="1"/>
    <col min="514" max="514" width="7.109375" style="2955" customWidth="1"/>
    <col min="515" max="515" width="13.33203125" style="2955" customWidth="1"/>
    <col min="516" max="517" width="15.88671875" style="2955" customWidth="1"/>
    <col min="518" max="518" width="21" style="2955" customWidth="1"/>
    <col min="519" max="519" width="9" style="2955" customWidth="1"/>
    <col min="520" max="520" width="10.21875" style="2955" customWidth="1"/>
    <col min="521" max="522" width="12.109375" style="2955" customWidth="1"/>
    <col min="523" max="523" width="16.33203125" style="2955" customWidth="1"/>
    <col min="524" max="524" width="7.109375" style="2955" customWidth="1"/>
    <col min="525" max="525" width="165.77734375" style="2955" customWidth="1"/>
    <col min="526" max="526" width="9" style="2955" customWidth="1"/>
    <col min="527" max="768" width="8.88671875" style="2955"/>
    <col min="769" max="769" width="81" style="2955" customWidth="1"/>
    <col min="770" max="770" width="7.109375" style="2955" customWidth="1"/>
    <col min="771" max="771" width="13.33203125" style="2955" customWidth="1"/>
    <col min="772" max="773" width="15.88671875" style="2955" customWidth="1"/>
    <col min="774" max="774" width="21" style="2955" customWidth="1"/>
    <col min="775" max="775" width="9" style="2955" customWidth="1"/>
    <col min="776" max="776" width="10.21875" style="2955" customWidth="1"/>
    <col min="777" max="778" width="12.109375" style="2955" customWidth="1"/>
    <col min="779" max="779" width="16.33203125" style="2955" customWidth="1"/>
    <col min="780" max="780" width="7.109375" style="2955" customWidth="1"/>
    <col min="781" max="781" width="165.77734375" style="2955" customWidth="1"/>
    <col min="782" max="782" width="9" style="2955" customWidth="1"/>
    <col min="783" max="1024" width="8.88671875" style="2955"/>
    <col min="1025" max="1025" width="81" style="2955" customWidth="1"/>
    <col min="1026" max="1026" width="7.109375" style="2955" customWidth="1"/>
    <col min="1027" max="1027" width="13.33203125" style="2955" customWidth="1"/>
    <col min="1028" max="1029" width="15.88671875" style="2955" customWidth="1"/>
    <col min="1030" max="1030" width="21" style="2955" customWidth="1"/>
    <col min="1031" max="1031" width="9" style="2955" customWidth="1"/>
    <col min="1032" max="1032" width="10.21875" style="2955" customWidth="1"/>
    <col min="1033" max="1034" width="12.109375" style="2955" customWidth="1"/>
    <col min="1035" max="1035" width="16.33203125" style="2955" customWidth="1"/>
    <col min="1036" max="1036" width="7.109375" style="2955" customWidth="1"/>
    <col min="1037" max="1037" width="165.77734375" style="2955" customWidth="1"/>
    <col min="1038" max="1038" width="9" style="2955" customWidth="1"/>
    <col min="1039" max="1280" width="8.88671875" style="2955"/>
    <col min="1281" max="1281" width="81" style="2955" customWidth="1"/>
    <col min="1282" max="1282" width="7.109375" style="2955" customWidth="1"/>
    <col min="1283" max="1283" width="13.33203125" style="2955" customWidth="1"/>
    <col min="1284" max="1285" width="15.88671875" style="2955" customWidth="1"/>
    <col min="1286" max="1286" width="21" style="2955" customWidth="1"/>
    <col min="1287" max="1287" width="9" style="2955" customWidth="1"/>
    <col min="1288" max="1288" width="10.21875" style="2955" customWidth="1"/>
    <col min="1289" max="1290" width="12.109375" style="2955" customWidth="1"/>
    <col min="1291" max="1291" width="16.33203125" style="2955" customWidth="1"/>
    <col min="1292" max="1292" width="7.109375" style="2955" customWidth="1"/>
    <col min="1293" max="1293" width="165.77734375" style="2955" customWidth="1"/>
    <col min="1294" max="1294" width="9" style="2955" customWidth="1"/>
    <col min="1295" max="1536" width="8.88671875" style="2955"/>
    <col min="1537" max="1537" width="81" style="2955" customWidth="1"/>
    <col min="1538" max="1538" width="7.109375" style="2955" customWidth="1"/>
    <col min="1539" max="1539" width="13.33203125" style="2955" customWidth="1"/>
    <col min="1540" max="1541" width="15.88671875" style="2955" customWidth="1"/>
    <col min="1542" max="1542" width="21" style="2955" customWidth="1"/>
    <col min="1543" max="1543" width="9" style="2955" customWidth="1"/>
    <col min="1544" max="1544" width="10.21875" style="2955" customWidth="1"/>
    <col min="1545" max="1546" width="12.109375" style="2955" customWidth="1"/>
    <col min="1547" max="1547" width="16.33203125" style="2955" customWidth="1"/>
    <col min="1548" max="1548" width="7.109375" style="2955" customWidth="1"/>
    <col min="1549" max="1549" width="165.77734375" style="2955" customWidth="1"/>
    <col min="1550" max="1550" width="9" style="2955" customWidth="1"/>
    <col min="1551" max="1792" width="8.88671875" style="2955"/>
    <col min="1793" max="1793" width="81" style="2955" customWidth="1"/>
    <col min="1794" max="1794" width="7.109375" style="2955" customWidth="1"/>
    <col min="1795" max="1795" width="13.33203125" style="2955" customWidth="1"/>
    <col min="1796" max="1797" width="15.88671875" style="2955" customWidth="1"/>
    <col min="1798" max="1798" width="21" style="2955" customWidth="1"/>
    <col min="1799" max="1799" width="9" style="2955" customWidth="1"/>
    <col min="1800" max="1800" width="10.21875" style="2955" customWidth="1"/>
    <col min="1801" max="1802" width="12.109375" style="2955" customWidth="1"/>
    <col min="1803" max="1803" width="16.33203125" style="2955" customWidth="1"/>
    <col min="1804" max="1804" width="7.109375" style="2955" customWidth="1"/>
    <col min="1805" max="1805" width="165.77734375" style="2955" customWidth="1"/>
    <col min="1806" max="1806" width="9" style="2955" customWidth="1"/>
    <col min="1807" max="2048" width="8.88671875" style="2955"/>
    <col min="2049" max="2049" width="81" style="2955" customWidth="1"/>
    <col min="2050" max="2050" width="7.109375" style="2955" customWidth="1"/>
    <col min="2051" max="2051" width="13.33203125" style="2955" customWidth="1"/>
    <col min="2052" max="2053" width="15.88671875" style="2955" customWidth="1"/>
    <col min="2054" max="2054" width="21" style="2955" customWidth="1"/>
    <col min="2055" max="2055" width="9" style="2955" customWidth="1"/>
    <col min="2056" max="2056" width="10.21875" style="2955" customWidth="1"/>
    <col min="2057" max="2058" width="12.109375" style="2955" customWidth="1"/>
    <col min="2059" max="2059" width="16.33203125" style="2955" customWidth="1"/>
    <col min="2060" max="2060" width="7.109375" style="2955" customWidth="1"/>
    <col min="2061" max="2061" width="165.77734375" style="2955" customWidth="1"/>
    <col min="2062" max="2062" width="9" style="2955" customWidth="1"/>
    <col min="2063" max="2304" width="8.88671875" style="2955"/>
    <col min="2305" max="2305" width="81" style="2955" customWidth="1"/>
    <col min="2306" max="2306" width="7.109375" style="2955" customWidth="1"/>
    <col min="2307" max="2307" width="13.33203125" style="2955" customWidth="1"/>
    <col min="2308" max="2309" width="15.88671875" style="2955" customWidth="1"/>
    <col min="2310" max="2310" width="21" style="2955" customWidth="1"/>
    <col min="2311" max="2311" width="9" style="2955" customWidth="1"/>
    <col min="2312" max="2312" width="10.21875" style="2955" customWidth="1"/>
    <col min="2313" max="2314" width="12.109375" style="2955" customWidth="1"/>
    <col min="2315" max="2315" width="16.33203125" style="2955" customWidth="1"/>
    <col min="2316" max="2316" width="7.109375" style="2955" customWidth="1"/>
    <col min="2317" max="2317" width="165.77734375" style="2955" customWidth="1"/>
    <col min="2318" max="2318" width="9" style="2955" customWidth="1"/>
    <col min="2319" max="2560" width="8.88671875" style="2955"/>
    <col min="2561" max="2561" width="81" style="2955" customWidth="1"/>
    <col min="2562" max="2562" width="7.109375" style="2955" customWidth="1"/>
    <col min="2563" max="2563" width="13.33203125" style="2955" customWidth="1"/>
    <col min="2564" max="2565" width="15.88671875" style="2955" customWidth="1"/>
    <col min="2566" max="2566" width="21" style="2955" customWidth="1"/>
    <col min="2567" max="2567" width="9" style="2955" customWidth="1"/>
    <col min="2568" max="2568" width="10.21875" style="2955" customWidth="1"/>
    <col min="2569" max="2570" width="12.109375" style="2955" customWidth="1"/>
    <col min="2571" max="2571" width="16.33203125" style="2955" customWidth="1"/>
    <col min="2572" max="2572" width="7.109375" style="2955" customWidth="1"/>
    <col min="2573" max="2573" width="165.77734375" style="2955" customWidth="1"/>
    <col min="2574" max="2574" width="9" style="2955" customWidth="1"/>
    <col min="2575" max="2816" width="8.88671875" style="2955"/>
    <col min="2817" max="2817" width="81" style="2955" customWidth="1"/>
    <col min="2818" max="2818" width="7.109375" style="2955" customWidth="1"/>
    <col min="2819" max="2819" width="13.33203125" style="2955" customWidth="1"/>
    <col min="2820" max="2821" width="15.88671875" style="2955" customWidth="1"/>
    <col min="2822" max="2822" width="21" style="2955" customWidth="1"/>
    <col min="2823" max="2823" width="9" style="2955" customWidth="1"/>
    <col min="2824" max="2824" width="10.21875" style="2955" customWidth="1"/>
    <col min="2825" max="2826" width="12.109375" style="2955" customWidth="1"/>
    <col min="2827" max="2827" width="16.33203125" style="2955" customWidth="1"/>
    <col min="2828" max="2828" width="7.109375" style="2955" customWidth="1"/>
    <col min="2829" max="2829" width="165.77734375" style="2955" customWidth="1"/>
    <col min="2830" max="2830" width="9" style="2955" customWidth="1"/>
    <col min="2831" max="3072" width="8.88671875" style="2955"/>
    <col min="3073" max="3073" width="81" style="2955" customWidth="1"/>
    <col min="3074" max="3074" width="7.109375" style="2955" customWidth="1"/>
    <col min="3075" max="3075" width="13.33203125" style="2955" customWidth="1"/>
    <col min="3076" max="3077" width="15.88671875" style="2955" customWidth="1"/>
    <col min="3078" max="3078" width="21" style="2955" customWidth="1"/>
    <col min="3079" max="3079" width="9" style="2955" customWidth="1"/>
    <col min="3080" max="3080" width="10.21875" style="2955" customWidth="1"/>
    <col min="3081" max="3082" width="12.109375" style="2955" customWidth="1"/>
    <col min="3083" max="3083" width="16.33203125" style="2955" customWidth="1"/>
    <col min="3084" max="3084" width="7.109375" style="2955" customWidth="1"/>
    <col min="3085" max="3085" width="165.77734375" style="2955" customWidth="1"/>
    <col min="3086" max="3086" width="9" style="2955" customWidth="1"/>
    <col min="3087" max="3328" width="8.88671875" style="2955"/>
    <col min="3329" max="3329" width="81" style="2955" customWidth="1"/>
    <col min="3330" max="3330" width="7.109375" style="2955" customWidth="1"/>
    <col min="3331" max="3331" width="13.33203125" style="2955" customWidth="1"/>
    <col min="3332" max="3333" width="15.88671875" style="2955" customWidth="1"/>
    <col min="3334" max="3334" width="21" style="2955" customWidth="1"/>
    <col min="3335" max="3335" width="9" style="2955" customWidth="1"/>
    <col min="3336" max="3336" width="10.21875" style="2955" customWidth="1"/>
    <col min="3337" max="3338" width="12.109375" style="2955" customWidth="1"/>
    <col min="3339" max="3339" width="16.33203125" style="2955" customWidth="1"/>
    <col min="3340" max="3340" width="7.109375" style="2955" customWidth="1"/>
    <col min="3341" max="3341" width="165.77734375" style="2955" customWidth="1"/>
    <col min="3342" max="3342" width="9" style="2955" customWidth="1"/>
    <col min="3343" max="3584" width="8.88671875" style="2955"/>
    <col min="3585" max="3585" width="81" style="2955" customWidth="1"/>
    <col min="3586" max="3586" width="7.109375" style="2955" customWidth="1"/>
    <col min="3587" max="3587" width="13.33203125" style="2955" customWidth="1"/>
    <col min="3588" max="3589" width="15.88671875" style="2955" customWidth="1"/>
    <col min="3590" max="3590" width="21" style="2955" customWidth="1"/>
    <col min="3591" max="3591" width="9" style="2955" customWidth="1"/>
    <col min="3592" max="3592" width="10.21875" style="2955" customWidth="1"/>
    <col min="3593" max="3594" width="12.109375" style="2955" customWidth="1"/>
    <col min="3595" max="3595" width="16.33203125" style="2955" customWidth="1"/>
    <col min="3596" max="3596" width="7.109375" style="2955" customWidth="1"/>
    <col min="3597" max="3597" width="165.77734375" style="2955" customWidth="1"/>
    <col min="3598" max="3598" width="9" style="2955" customWidth="1"/>
    <col min="3599" max="3840" width="8.88671875" style="2955"/>
    <col min="3841" max="3841" width="81" style="2955" customWidth="1"/>
    <col min="3842" max="3842" width="7.109375" style="2955" customWidth="1"/>
    <col min="3843" max="3843" width="13.33203125" style="2955" customWidth="1"/>
    <col min="3844" max="3845" width="15.88671875" style="2955" customWidth="1"/>
    <col min="3846" max="3846" width="21" style="2955" customWidth="1"/>
    <col min="3847" max="3847" width="9" style="2955" customWidth="1"/>
    <col min="3848" max="3848" width="10.21875" style="2955" customWidth="1"/>
    <col min="3849" max="3850" width="12.109375" style="2955" customWidth="1"/>
    <col min="3851" max="3851" width="16.33203125" style="2955" customWidth="1"/>
    <col min="3852" max="3852" width="7.109375" style="2955" customWidth="1"/>
    <col min="3853" max="3853" width="165.77734375" style="2955" customWidth="1"/>
    <col min="3854" max="3854" width="9" style="2955" customWidth="1"/>
    <col min="3855" max="4096" width="8.88671875" style="2955"/>
    <col min="4097" max="4097" width="81" style="2955" customWidth="1"/>
    <col min="4098" max="4098" width="7.109375" style="2955" customWidth="1"/>
    <col min="4099" max="4099" width="13.33203125" style="2955" customWidth="1"/>
    <col min="4100" max="4101" width="15.88671875" style="2955" customWidth="1"/>
    <col min="4102" max="4102" width="21" style="2955" customWidth="1"/>
    <col min="4103" max="4103" width="9" style="2955" customWidth="1"/>
    <col min="4104" max="4104" width="10.21875" style="2955" customWidth="1"/>
    <col min="4105" max="4106" width="12.109375" style="2955" customWidth="1"/>
    <col min="4107" max="4107" width="16.33203125" style="2955" customWidth="1"/>
    <col min="4108" max="4108" width="7.109375" style="2955" customWidth="1"/>
    <col min="4109" max="4109" width="165.77734375" style="2955" customWidth="1"/>
    <col min="4110" max="4110" width="9" style="2955" customWidth="1"/>
    <col min="4111" max="4352" width="8.88671875" style="2955"/>
    <col min="4353" max="4353" width="81" style="2955" customWidth="1"/>
    <col min="4354" max="4354" width="7.109375" style="2955" customWidth="1"/>
    <col min="4355" max="4355" width="13.33203125" style="2955" customWidth="1"/>
    <col min="4356" max="4357" width="15.88671875" style="2955" customWidth="1"/>
    <col min="4358" max="4358" width="21" style="2955" customWidth="1"/>
    <col min="4359" max="4359" width="9" style="2955" customWidth="1"/>
    <col min="4360" max="4360" width="10.21875" style="2955" customWidth="1"/>
    <col min="4361" max="4362" width="12.109375" style="2955" customWidth="1"/>
    <col min="4363" max="4363" width="16.33203125" style="2955" customWidth="1"/>
    <col min="4364" max="4364" width="7.109375" style="2955" customWidth="1"/>
    <col min="4365" max="4365" width="165.77734375" style="2955" customWidth="1"/>
    <col min="4366" max="4366" width="9" style="2955" customWidth="1"/>
    <col min="4367" max="4608" width="8.88671875" style="2955"/>
    <col min="4609" max="4609" width="81" style="2955" customWidth="1"/>
    <col min="4610" max="4610" width="7.109375" style="2955" customWidth="1"/>
    <col min="4611" max="4611" width="13.33203125" style="2955" customWidth="1"/>
    <col min="4612" max="4613" width="15.88671875" style="2955" customWidth="1"/>
    <col min="4614" max="4614" width="21" style="2955" customWidth="1"/>
    <col min="4615" max="4615" width="9" style="2955" customWidth="1"/>
    <col min="4616" max="4616" width="10.21875" style="2955" customWidth="1"/>
    <col min="4617" max="4618" width="12.109375" style="2955" customWidth="1"/>
    <col min="4619" max="4619" width="16.33203125" style="2955" customWidth="1"/>
    <col min="4620" max="4620" width="7.109375" style="2955" customWidth="1"/>
    <col min="4621" max="4621" width="165.77734375" style="2955" customWidth="1"/>
    <col min="4622" max="4622" width="9" style="2955" customWidth="1"/>
    <col min="4623" max="4864" width="8.88671875" style="2955"/>
    <col min="4865" max="4865" width="81" style="2955" customWidth="1"/>
    <col min="4866" max="4866" width="7.109375" style="2955" customWidth="1"/>
    <col min="4867" max="4867" width="13.33203125" style="2955" customWidth="1"/>
    <col min="4868" max="4869" width="15.88671875" style="2955" customWidth="1"/>
    <col min="4870" max="4870" width="21" style="2955" customWidth="1"/>
    <col min="4871" max="4871" width="9" style="2955" customWidth="1"/>
    <col min="4872" max="4872" width="10.21875" style="2955" customWidth="1"/>
    <col min="4873" max="4874" width="12.109375" style="2955" customWidth="1"/>
    <col min="4875" max="4875" width="16.33203125" style="2955" customWidth="1"/>
    <col min="4876" max="4876" width="7.109375" style="2955" customWidth="1"/>
    <col min="4877" max="4877" width="165.77734375" style="2955" customWidth="1"/>
    <col min="4878" max="4878" width="9" style="2955" customWidth="1"/>
    <col min="4879" max="5120" width="8.88671875" style="2955"/>
    <col min="5121" max="5121" width="81" style="2955" customWidth="1"/>
    <col min="5122" max="5122" width="7.109375" style="2955" customWidth="1"/>
    <col min="5123" max="5123" width="13.33203125" style="2955" customWidth="1"/>
    <col min="5124" max="5125" width="15.88671875" style="2955" customWidth="1"/>
    <col min="5126" max="5126" width="21" style="2955" customWidth="1"/>
    <col min="5127" max="5127" width="9" style="2955" customWidth="1"/>
    <col min="5128" max="5128" width="10.21875" style="2955" customWidth="1"/>
    <col min="5129" max="5130" width="12.109375" style="2955" customWidth="1"/>
    <col min="5131" max="5131" width="16.33203125" style="2955" customWidth="1"/>
    <col min="5132" max="5132" width="7.109375" style="2955" customWidth="1"/>
    <col min="5133" max="5133" width="165.77734375" style="2955" customWidth="1"/>
    <col min="5134" max="5134" width="9" style="2955" customWidth="1"/>
    <col min="5135" max="5376" width="8.88671875" style="2955"/>
    <col min="5377" max="5377" width="81" style="2955" customWidth="1"/>
    <col min="5378" max="5378" width="7.109375" style="2955" customWidth="1"/>
    <col min="5379" max="5379" width="13.33203125" style="2955" customWidth="1"/>
    <col min="5380" max="5381" width="15.88671875" style="2955" customWidth="1"/>
    <col min="5382" max="5382" width="21" style="2955" customWidth="1"/>
    <col min="5383" max="5383" width="9" style="2955" customWidth="1"/>
    <col min="5384" max="5384" width="10.21875" style="2955" customWidth="1"/>
    <col min="5385" max="5386" width="12.109375" style="2955" customWidth="1"/>
    <col min="5387" max="5387" width="16.33203125" style="2955" customWidth="1"/>
    <col min="5388" max="5388" width="7.109375" style="2955" customWidth="1"/>
    <col min="5389" max="5389" width="165.77734375" style="2955" customWidth="1"/>
    <col min="5390" max="5390" width="9" style="2955" customWidth="1"/>
    <col min="5391" max="5632" width="8.88671875" style="2955"/>
    <col min="5633" max="5633" width="81" style="2955" customWidth="1"/>
    <col min="5634" max="5634" width="7.109375" style="2955" customWidth="1"/>
    <col min="5635" max="5635" width="13.33203125" style="2955" customWidth="1"/>
    <col min="5636" max="5637" width="15.88671875" style="2955" customWidth="1"/>
    <col min="5638" max="5638" width="21" style="2955" customWidth="1"/>
    <col min="5639" max="5639" width="9" style="2955" customWidth="1"/>
    <col min="5640" max="5640" width="10.21875" style="2955" customWidth="1"/>
    <col min="5641" max="5642" width="12.109375" style="2955" customWidth="1"/>
    <col min="5643" max="5643" width="16.33203125" style="2955" customWidth="1"/>
    <col min="5644" max="5644" width="7.109375" style="2955" customWidth="1"/>
    <col min="5645" max="5645" width="165.77734375" style="2955" customWidth="1"/>
    <col min="5646" max="5646" width="9" style="2955" customWidth="1"/>
    <col min="5647" max="5888" width="8.88671875" style="2955"/>
    <col min="5889" max="5889" width="81" style="2955" customWidth="1"/>
    <col min="5890" max="5890" width="7.109375" style="2955" customWidth="1"/>
    <col min="5891" max="5891" width="13.33203125" style="2955" customWidth="1"/>
    <col min="5892" max="5893" width="15.88671875" style="2955" customWidth="1"/>
    <col min="5894" max="5894" width="21" style="2955" customWidth="1"/>
    <col min="5895" max="5895" width="9" style="2955" customWidth="1"/>
    <col min="5896" max="5896" width="10.21875" style="2955" customWidth="1"/>
    <col min="5897" max="5898" width="12.109375" style="2955" customWidth="1"/>
    <col min="5899" max="5899" width="16.33203125" style="2955" customWidth="1"/>
    <col min="5900" max="5900" width="7.109375" style="2955" customWidth="1"/>
    <col min="5901" max="5901" width="165.77734375" style="2955" customWidth="1"/>
    <col min="5902" max="5902" width="9" style="2955" customWidth="1"/>
    <col min="5903" max="6144" width="8.88671875" style="2955"/>
    <col min="6145" max="6145" width="81" style="2955" customWidth="1"/>
    <col min="6146" max="6146" width="7.109375" style="2955" customWidth="1"/>
    <col min="6147" max="6147" width="13.33203125" style="2955" customWidth="1"/>
    <col min="6148" max="6149" width="15.88671875" style="2955" customWidth="1"/>
    <col min="6150" max="6150" width="21" style="2955" customWidth="1"/>
    <col min="6151" max="6151" width="9" style="2955" customWidth="1"/>
    <col min="6152" max="6152" width="10.21875" style="2955" customWidth="1"/>
    <col min="6153" max="6154" width="12.109375" style="2955" customWidth="1"/>
    <col min="6155" max="6155" width="16.33203125" style="2955" customWidth="1"/>
    <col min="6156" max="6156" width="7.109375" style="2955" customWidth="1"/>
    <col min="6157" max="6157" width="165.77734375" style="2955" customWidth="1"/>
    <col min="6158" max="6158" width="9" style="2955" customWidth="1"/>
    <col min="6159" max="6400" width="8.88671875" style="2955"/>
    <col min="6401" max="6401" width="81" style="2955" customWidth="1"/>
    <col min="6402" max="6402" width="7.109375" style="2955" customWidth="1"/>
    <col min="6403" max="6403" width="13.33203125" style="2955" customWidth="1"/>
    <col min="6404" max="6405" width="15.88671875" style="2955" customWidth="1"/>
    <col min="6406" max="6406" width="21" style="2955" customWidth="1"/>
    <col min="6407" max="6407" width="9" style="2955" customWidth="1"/>
    <col min="6408" max="6408" width="10.21875" style="2955" customWidth="1"/>
    <col min="6409" max="6410" width="12.109375" style="2955" customWidth="1"/>
    <col min="6411" max="6411" width="16.33203125" style="2955" customWidth="1"/>
    <col min="6412" max="6412" width="7.109375" style="2955" customWidth="1"/>
    <col min="6413" max="6413" width="165.77734375" style="2955" customWidth="1"/>
    <col min="6414" max="6414" width="9" style="2955" customWidth="1"/>
    <col min="6415" max="6656" width="8.88671875" style="2955"/>
    <col min="6657" max="6657" width="81" style="2955" customWidth="1"/>
    <col min="6658" max="6658" width="7.109375" style="2955" customWidth="1"/>
    <col min="6659" max="6659" width="13.33203125" style="2955" customWidth="1"/>
    <col min="6660" max="6661" width="15.88671875" style="2955" customWidth="1"/>
    <col min="6662" max="6662" width="21" style="2955" customWidth="1"/>
    <col min="6663" max="6663" width="9" style="2955" customWidth="1"/>
    <col min="6664" max="6664" width="10.21875" style="2955" customWidth="1"/>
    <col min="6665" max="6666" width="12.109375" style="2955" customWidth="1"/>
    <col min="6667" max="6667" width="16.33203125" style="2955" customWidth="1"/>
    <col min="6668" max="6668" width="7.109375" style="2955" customWidth="1"/>
    <col min="6669" max="6669" width="165.77734375" style="2955" customWidth="1"/>
    <col min="6670" max="6670" width="9" style="2955" customWidth="1"/>
    <col min="6671" max="6912" width="8.88671875" style="2955"/>
    <col min="6913" max="6913" width="81" style="2955" customWidth="1"/>
    <col min="6914" max="6914" width="7.109375" style="2955" customWidth="1"/>
    <col min="6915" max="6915" width="13.33203125" style="2955" customWidth="1"/>
    <col min="6916" max="6917" width="15.88671875" style="2955" customWidth="1"/>
    <col min="6918" max="6918" width="21" style="2955" customWidth="1"/>
    <col min="6919" max="6919" width="9" style="2955" customWidth="1"/>
    <col min="6920" max="6920" width="10.21875" style="2955" customWidth="1"/>
    <col min="6921" max="6922" width="12.109375" style="2955" customWidth="1"/>
    <col min="6923" max="6923" width="16.33203125" style="2955" customWidth="1"/>
    <col min="6924" max="6924" width="7.109375" style="2955" customWidth="1"/>
    <col min="6925" max="6925" width="165.77734375" style="2955" customWidth="1"/>
    <col min="6926" max="6926" width="9" style="2955" customWidth="1"/>
    <col min="6927" max="7168" width="8.88671875" style="2955"/>
    <col min="7169" max="7169" width="81" style="2955" customWidth="1"/>
    <col min="7170" max="7170" width="7.109375" style="2955" customWidth="1"/>
    <col min="7171" max="7171" width="13.33203125" style="2955" customWidth="1"/>
    <col min="7172" max="7173" width="15.88671875" style="2955" customWidth="1"/>
    <col min="7174" max="7174" width="21" style="2955" customWidth="1"/>
    <col min="7175" max="7175" width="9" style="2955" customWidth="1"/>
    <col min="7176" max="7176" width="10.21875" style="2955" customWidth="1"/>
    <col min="7177" max="7178" width="12.109375" style="2955" customWidth="1"/>
    <col min="7179" max="7179" width="16.33203125" style="2955" customWidth="1"/>
    <col min="7180" max="7180" width="7.109375" style="2955" customWidth="1"/>
    <col min="7181" max="7181" width="165.77734375" style="2955" customWidth="1"/>
    <col min="7182" max="7182" width="9" style="2955" customWidth="1"/>
    <col min="7183" max="7424" width="8.88671875" style="2955"/>
    <col min="7425" max="7425" width="81" style="2955" customWidth="1"/>
    <col min="7426" max="7426" width="7.109375" style="2955" customWidth="1"/>
    <col min="7427" max="7427" width="13.33203125" style="2955" customWidth="1"/>
    <col min="7428" max="7429" width="15.88671875" style="2955" customWidth="1"/>
    <col min="7430" max="7430" width="21" style="2955" customWidth="1"/>
    <col min="7431" max="7431" width="9" style="2955" customWidth="1"/>
    <col min="7432" max="7432" width="10.21875" style="2955" customWidth="1"/>
    <col min="7433" max="7434" width="12.109375" style="2955" customWidth="1"/>
    <col min="7435" max="7435" width="16.33203125" style="2955" customWidth="1"/>
    <col min="7436" max="7436" width="7.109375" style="2955" customWidth="1"/>
    <col min="7437" max="7437" width="165.77734375" style="2955" customWidth="1"/>
    <col min="7438" max="7438" width="9" style="2955" customWidth="1"/>
    <col min="7439" max="7680" width="8.88671875" style="2955"/>
    <col min="7681" max="7681" width="81" style="2955" customWidth="1"/>
    <col min="7682" max="7682" width="7.109375" style="2955" customWidth="1"/>
    <col min="7683" max="7683" width="13.33203125" style="2955" customWidth="1"/>
    <col min="7684" max="7685" width="15.88671875" style="2955" customWidth="1"/>
    <col min="7686" max="7686" width="21" style="2955" customWidth="1"/>
    <col min="7687" max="7687" width="9" style="2955" customWidth="1"/>
    <col min="7688" max="7688" width="10.21875" style="2955" customWidth="1"/>
    <col min="7689" max="7690" width="12.109375" style="2955" customWidth="1"/>
    <col min="7691" max="7691" width="16.33203125" style="2955" customWidth="1"/>
    <col min="7692" max="7692" width="7.109375" style="2955" customWidth="1"/>
    <col min="7693" max="7693" width="165.77734375" style="2955" customWidth="1"/>
    <col min="7694" max="7694" width="9" style="2955" customWidth="1"/>
    <col min="7695" max="7936" width="8.88671875" style="2955"/>
    <col min="7937" max="7937" width="81" style="2955" customWidth="1"/>
    <col min="7938" max="7938" width="7.109375" style="2955" customWidth="1"/>
    <col min="7939" max="7939" width="13.33203125" style="2955" customWidth="1"/>
    <col min="7940" max="7941" width="15.88671875" style="2955" customWidth="1"/>
    <col min="7942" max="7942" width="21" style="2955" customWidth="1"/>
    <col min="7943" max="7943" width="9" style="2955" customWidth="1"/>
    <col min="7944" max="7944" width="10.21875" style="2955" customWidth="1"/>
    <col min="7945" max="7946" width="12.109375" style="2955" customWidth="1"/>
    <col min="7947" max="7947" width="16.33203125" style="2955" customWidth="1"/>
    <col min="7948" max="7948" width="7.109375" style="2955" customWidth="1"/>
    <col min="7949" max="7949" width="165.77734375" style="2955" customWidth="1"/>
    <col min="7950" max="7950" width="9" style="2955" customWidth="1"/>
    <col min="7951" max="8192" width="8.88671875" style="2955"/>
    <col min="8193" max="8193" width="81" style="2955" customWidth="1"/>
    <col min="8194" max="8194" width="7.109375" style="2955" customWidth="1"/>
    <col min="8195" max="8195" width="13.33203125" style="2955" customWidth="1"/>
    <col min="8196" max="8197" width="15.88671875" style="2955" customWidth="1"/>
    <col min="8198" max="8198" width="21" style="2955" customWidth="1"/>
    <col min="8199" max="8199" width="9" style="2955" customWidth="1"/>
    <col min="8200" max="8200" width="10.21875" style="2955" customWidth="1"/>
    <col min="8201" max="8202" width="12.109375" style="2955" customWidth="1"/>
    <col min="8203" max="8203" width="16.33203125" style="2955" customWidth="1"/>
    <col min="8204" max="8204" width="7.109375" style="2955" customWidth="1"/>
    <col min="8205" max="8205" width="165.77734375" style="2955" customWidth="1"/>
    <col min="8206" max="8206" width="9" style="2955" customWidth="1"/>
    <col min="8207" max="8448" width="8.88671875" style="2955"/>
    <col min="8449" max="8449" width="81" style="2955" customWidth="1"/>
    <col min="8450" max="8450" width="7.109375" style="2955" customWidth="1"/>
    <col min="8451" max="8451" width="13.33203125" style="2955" customWidth="1"/>
    <col min="8452" max="8453" width="15.88671875" style="2955" customWidth="1"/>
    <col min="8454" max="8454" width="21" style="2955" customWidth="1"/>
    <col min="8455" max="8455" width="9" style="2955" customWidth="1"/>
    <col min="8456" max="8456" width="10.21875" style="2955" customWidth="1"/>
    <col min="8457" max="8458" width="12.109375" style="2955" customWidth="1"/>
    <col min="8459" max="8459" width="16.33203125" style="2955" customWidth="1"/>
    <col min="8460" max="8460" width="7.109375" style="2955" customWidth="1"/>
    <col min="8461" max="8461" width="165.77734375" style="2955" customWidth="1"/>
    <col min="8462" max="8462" width="9" style="2955" customWidth="1"/>
    <col min="8463" max="8704" width="8.88671875" style="2955"/>
    <col min="8705" max="8705" width="81" style="2955" customWidth="1"/>
    <col min="8706" max="8706" width="7.109375" style="2955" customWidth="1"/>
    <col min="8707" max="8707" width="13.33203125" style="2955" customWidth="1"/>
    <col min="8708" max="8709" width="15.88671875" style="2955" customWidth="1"/>
    <col min="8710" max="8710" width="21" style="2955" customWidth="1"/>
    <col min="8711" max="8711" width="9" style="2955" customWidth="1"/>
    <col min="8712" max="8712" width="10.21875" style="2955" customWidth="1"/>
    <col min="8713" max="8714" width="12.109375" style="2955" customWidth="1"/>
    <col min="8715" max="8715" width="16.33203125" style="2955" customWidth="1"/>
    <col min="8716" max="8716" width="7.109375" style="2955" customWidth="1"/>
    <col min="8717" max="8717" width="165.77734375" style="2955" customWidth="1"/>
    <col min="8718" max="8718" width="9" style="2955" customWidth="1"/>
    <col min="8719" max="8960" width="8.88671875" style="2955"/>
    <col min="8961" max="8961" width="81" style="2955" customWidth="1"/>
    <col min="8962" max="8962" width="7.109375" style="2955" customWidth="1"/>
    <col min="8963" max="8963" width="13.33203125" style="2955" customWidth="1"/>
    <col min="8964" max="8965" width="15.88671875" style="2955" customWidth="1"/>
    <col min="8966" max="8966" width="21" style="2955" customWidth="1"/>
    <col min="8967" max="8967" width="9" style="2955" customWidth="1"/>
    <col min="8968" max="8968" width="10.21875" style="2955" customWidth="1"/>
    <col min="8969" max="8970" width="12.109375" style="2955" customWidth="1"/>
    <col min="8971" max="8971" width="16.33203125" style="2955" customWidth="1"/>
    <col min="8972" max="8972" width="7.109375" style="2955" customWidth="1"/>
    <col min="8973" max="8973" width="165.77734375" style="2955" customWidth="1"/>
    <col min="8974" max="8974" width="9" style="2955" customWidth="1"/>
    <col min="8975" max="9216" width="8.88671875" style="2955"/>
    <col min="9217" max="9217" width="81" style="2955" customWidth="1"/>
    <col min="9218" max="9218" width="7.109375" style="2955" customWidth="1"/>
    <col min="9219" max="9219" width="13.33203125" style="2955" customWidth="1"/>
    <col min="9220" max="9221" width="15.88671875" style="2955" customWidth="1"/>
    <col min="9222" max="9222" width="21" style="2955" customWidth="1"/>
    <col min="9223" max="9223" width="9" style="2955" customWidth="1"/>
    <col min="9224" max="9224" width="10.21875" style="2955" customWidth="1"/>
    <col min="9225" max="9226" width="12.109375" style="2955" customWidth="1"/>
    <col min="9227" max="9227" width="16.33203125" style="2955" customWidth="1"/>
    <col min="9228" max="9228" width="7.109375" style="2955" customWidth="1"/>
    <col min="9229" max="9229" width="165.77734375" style="2955" customWidth="1"/>
    <col min="9230" max="9230" width="9" style="2955" customWidth="1"/>
    <col min="9231" max="9472" width="8.88671875" style="2955"/>
    <col min="9473" max="9473" width="81" style="2955" customWidth="1"/>
    <col min="9474" max="9474" width="7.109375" style="2955" customWidth="1"/>
    <col min="9475" max="9475" width="13.33203125" style="2955" customWidth="1"/>
    <col min="9476" max="9477" width="15.88671875" style="2955" customWidth="1"/>
    <col min="9478" max="9478" width="21" style="2955" customWidth="1"/>
    <col min="9479" max="9479" width="9" style="2955" customWidth="1"/>
    <col min="9480" max="9480" width="10.21875" style="2955" customWidth="1"/>
    <col min="9481" max="9482" width="12.109375" style="2955" customWidth="1"/>
    <col min="9483" max="9483" width="16.33203125" style="2955" customWidth="1"/>
    <col min="9484" max="9484" width="7.109375" style="2955" customWidth="1"/>
    <col min="9485" max="9485" width="165.77734375" style="2955" customWidth="1"/>
    <col min="9486" max="9486" width="9" style="2955" customWidth="1"/>
    <col min="9487" max="9728" width="8.88671875" style="2955"/>
    <col min="9729" max="9729" width="81" style="2955" customWidth="1"/>
    <col min="9730" max="9730" width="7.109375" style="2955" customWidth="1"/>
    <col min="9731" max="9731" width="13.33203125" style="2955" customWidth="1"/>
    <col min="9732" max="9733" width="15.88671875" style="2955" customWidth="1"/>
    <col min="9734" max="9734" width="21" style="2955" customWidth="1"/>
    <col min="9735" max="9735" width="9" style="2955" customWidth="1"/>
    <col min="9736" max="9736" width="10.21875" style="2955" customWidth="1"/>
    <col min="9737" max="9738" width="12.109375" style="2955" customWidth="1"/>
    <col min="9739" max="9739" width="16.33203125" style="2955" customWidth="1"/>
    <col min="9740" max="9740" width="7.109375" style="2955" customWidth="1"/>
    <col min="9741" max="9741" width="165.77734375" style="2955" customWidth="1"/>
    <col min="9742" max="9742" width="9" style="2955" customWidth="1"/>
    <col min="9743" max="9984" width="8.88671875" style="2955"/>
    <col min="9985" max="9985" width="81" style="2955" customWidth="1"/>
    <col min="9986" max="9986" width="7.109375" style="2955" customWidth="1"/>
    <col min="9987" max="9987" width="13.33203125" style="2955" customWidth="1"/>
    <col min="9988" max="9989" width="15.88671875" style="2955" customWidth="1"/>
    <col min="9990" max="9990" width="21" style="2955" customWidth="1"/>
    <col min="9991" max="9991" width="9" style="2955" customWidth="1"/>
    <col min="9992" max="9992" width="10.21875" style="2955" customWidth="1"/>
    <col min="9993" max="9994" width="12.109375" style="2955" customWidth="1"/>
    <col min="9995" max="9995" width="16.33203125" style="2955" customWidth="1"/>
    <col min="9996" max="9996" width="7.109375" style="2955" customWidth="1"/>
    <col min="9997" max="9997" width="165.77734375" style="2955" customWidth="1"/>
    <col min="9998" max="9998" width="9" style="2955" customWidth="1"/>
    <col min="9999" max="10240" width="8.88671875" style="2955"/>
    <col min="10241" max="10241" width="81" style="2955" customWidth="1"/>
    <col min="10242" max="10242" width="7.109375" style="2955" customWidth="1"/>
    <col min="10243" max="10243" width="13.33203125" style="2955" customWidth="1"/>
    <col min="10244" max="10245" width="15.88671875" style="2955" customWidth="1"/>
    <col min="10246" max="10246" width="21" style="2955" customWidth="1"/>
    <col min="10247" max="10247" width="9" style="2955" customWidth="1"/>
    <col min="10248" max="10248" width="10.21875" style="2955" customWidth="1"/>
    <col min="10249" max="10250" width="12.109375" style="2955" customWidth="1"/>
    <col min="10251" max="10251" width="16.33203125" style="2955" customWidth="1"/>
    <col min="10252" max="10252" width="7.109375" style="2955" customWidth="1"/>
    <col min="10253" max="10253" width="165.77734375" style="2955" customWidth="1"/>
    <col min="10254" max="10254" width="9" style="2955" customWidth="1"/>
    <col min="10255" max="10496" width="8.88671875" style="2955"/>
    <col min="10497" max="10497" width="81" style="2955" customWidth="1"/>
    <col min="10498" max="10498" width="7.109375" style="2955" customWidth="1"/>
    <col min="10499" max="10499" width="13.33203125" style="2955" customWidth="1"/>
    <col min="10500" max="10501" width="15.88671875" style="2955" customWidth="1"/>
    <col min="10502" max="10502" width="21" style="2955" customWidth="1"/>
    <col min="10503" max="10503" width="9" style="2955" customWidth="1"/>
    <col min="10504" max="10504" width="10.21875" style="2955" customWidth="1"/>
    <col min="10505" max="10506" width="12.109375" style="2955" customWidth="1"/>
    <col min="10507" max="10507" width="16.33203125" style="2955" customWidth="1"/>
    <col min="10508" max="10508" width="7.109375" style="2955" customWidth="1"/>
    <col min="10509" max="10509" width="165.77734375" style="2955" customWidth="1"/>
    <col min="10510" max="10510" width="9" style="2955" customWidth="1"/>
    <col min="10511" max="10752" width="8.88671875" style="2955"/>
    <col min="10753" max="10753" width="81" style="2955" customWidth="1"/>
    <col min="10754" max="10754" width="7.109375" style="2955" customWidth="1"/>
    <col min="10755" max="10755" width="13.33203125" style="2955" customWidth="1"/>
    <col min="10756" max="10757" width="15.88671875" style="2955" customWidth="1"/>
    <col min="10758" max="10758" width="21" style="2955" customWidth="1"/>
    <col min="10759" max="10759" width="9" style="2955" customWidth="1"/>
    <col min="10760" max="10760" width="10.21875" style="2955" customWidth="1"/>
    <col min="10761" max="10762" width="12.109375" style="2955" customWidth="1"/>
    <col min="10763" max="10763" width="16.33203125" style="2955" customWidth="1"/>
    <col min="10764" max="10764" width="7.109375" style="2955" customWidth="1"/>
    <col min="10765" max="10765" width="165.77734375" style="2955" customWidth="1"/>
    <col min="10766" max="10766" width="9" style="2955" customWidth="1"/>
    <col min="10767" max="11008" width="8.88671875" style="2955"/>
    <col min="11009" max="11009" width="81" style="2955" customWidth="1"/>
    <col min="11010" max="11010" width="7.109375" style="2955" customWidth="1"/>
    <col min="11011" max="11011" width="13.33203125" style="2955" customWidth="1"/>
    <col min="11012" max="11013" width="15.88671875" style="2955" customWidth="1"/>
    <col min="11014" max="11014" width="21" style="2955" customWidth="1"/>
    <col min="11015" max="11015" width="9" style="2955" customWidth="1"/>
    <col min="11016" max="11016" width="10.21875" style="2955" customWidth="1"/>
    <col min="11017" max="11018" width="12.109375" style="2955" customWidth="1"/>
    <col min="11019" max="11019" width="16.33203125" style="2955" customWidth="1"/>
    <col min="11020" max="11020" width="7.109375" style="2955" customWidth="1"/>
    <col min="11021" max="11021" width="165.77734375" style="2955" customWidth="1"/>
    <col min="11022" max="11022" width="9" style="2955" customWidth="1"/>
    <col min="11023" max="11264" width="8.88671875" style="2955"/>
    <col min="11265" max="11265" width="81" style="2955" customWidth="1"/>
    <col min="11266" max="11266" width="7.109375" style="2955" customWidth="1"/>
    <col min="11267" max="11267" width="13.33203125" style="2955" customWidth="1"/>
    <col min="11268" max="11269" width="15.88671875" style="2955" customWidth="1"/>
    <col min="11270" max="11270" width="21" style="2955" customWidth="1"/>
    <col min="11271" max="11271" width="9" style="2955" customWidth="1"/>
    <col min="11272" max="11272" width="10.21875" style="2955" customWidth="1"/>
    <col min="11273" max="11274" width="12.109375" style="2955" customWidth="1"/>
    <col min="11275" max="11275" width="16.33203125" style="2955" customWidth="1"/>
    <col min="11276" max="11276" width="7.109375" style="2955" customWidth="1"/>
    <col min="11277" max="11277" width="165.77734375" style="2955" customWidth="1"/>
    <col min="11278" max="11278" width="9" style="2955" customWidth="1"/>
    <col min="11279" max="11520" width="8.88671875" style="2955"/>
    <col min="11521" max="11521" width="81" style="2955" customWidth="1"/>
    <col min="11522" max="11522" width="7.109375" style="2955" customWidth="1"/>
    <col min="11523" max="11523" width="13.33203125" style="2955" customWidth="1"/>
    <col min="11524" max="11525" width="15.88671875" style="2955" customWidth="1"/>
    <col min="11526" max="11526" width="21" style="2955" customWidth="1"/>
    <col min="11527" max="11527" width="9" style="2955" customWidth="1"/>
    <col min="11528" max="11528" width="10.21875" style="2955" customWidth="1"/>
    <col min="11529" max="11530" width="12.109375" style="2955" customWidth="1"/>
    <col min="11531" max="11531" width="16.33203125" style="2955" customWidth="1"/>
    <col min="11532" max="11532" width="7.109375" style="2955" customWidth="1"/>
    <col min="11533" max="11533" width="165.77734375" style="2955" customWidth="1"/>
    <col min="11534" max="11534" width="9" style="2955" customWidth="1"/>
    <col min="11535" max="11776" width="8.88671875" style="2955"/>
    <col min="11777" max="11777" width="81" style="2955" customWidth="1"/>
    <col min="11778" max="11778" width="7.109375" style="2955" customWidth="1"/>
    <col min="11779" max="11779" width="13.33203125" style="2955" customWidth="1"/>
    <col min="11780" max="11781" width="15.88671875" style="2955" customWidth="1"/>
    <col min="11782" max="11782" width="21" style="2955" customWidth="1"/>
    <col min="11783" max="11783" width="9" style="2955" customWidth="1"/>
    <col min="11784" max="11784" width="10.21875" style="2955" customWidth="1"/>
    <col min="11785" max="11786" width="12.109375" style="2955" customWidth="1"/>
    <col min="11787" max="11787" width="16.33203125" style="2955" customWidth="1"/>
    <col min="11788" max="11788" width="7.109375" style="2955" customWidth="1"/>
    <col min="11789" max="11789" width="165.77734375" style="2955" customWidth="1"/>
    <col min="11790" max="11790" width="9" style="2955" customWidth="1"/>
    <col min="11791" max="12032" width="8.88671875" style="2955"/>
    <col min="12033" max="12033" width="81" style="2955" customWidth="1"/>
    <col min="12034" max="12034" width="7.109375" style="2955" customWidth="1"/>
    <col min="12035" max="12035" width="13.33203125" style="2955" customWidth="1"/>
    <col min="12036" max="12037" width="15.88671875" style="2955" customWidth="1"/>
    <col min="12038" max="12038" width="21" style="2955" customWidth="1"/>
    <col min="12039" max="12039" width="9" style="2955" customWidth="1"/>
    <col min="12040" max="12040" width="10.21875" style="2955" customWidth="1"/>
    <col min="12041" max="12042" width="12.109375" style="2955" customWidth="1"/>
    <col min="12043" max="12043" width="16.33203125" style="2955" customWidth="1"/>
    <col min="12044" max="12044" width="7.109375" style="2955" customWidth="1"/>
    <col min="12045" max="12045" width="165.77734375" style="2955" customWidth="1"/>
    <col min="12046" max="12046" width="9" style="2955" customWidth="1"/>
    <col min="12047" max="12288" width="8.88671875" style="2955"/>
    <col min="12289" max="12289" width="81" style="2955" customWidth="1"/>
    <col min="12290" max="12290" width="7.109375" style="2955" customWidth="1"/>
    <col min="12291" max="12291" width="13.33203125" style="2955" customWidth="1"/>
    <col min="12292" max="12293" width="15.88671875" style="2955" customWidth="1"/>
    <col min="12294" max="12294" width="21" style="2955" customWidth="1"/>
    <col min="12295" max="12295" width="9" style="2955" customWidth="1"/>
    <col min="12296" max="12296" width="10.21875" style="2955" customWidth="1"/>
    <col min="12297" max="12298" width="12.109375" style="2955" customWidth="1"/>
    <col min="12299" max="12299" width="16.33203125" style="2955" customWidth="1"/>
    <col min="12300" max="12300" width="7.109375" style="2955" customWidth="1"/>
    <col min="12301" max="12301" width="165.77734375" style="2955" customWidth="1"/>
    <col min="12302" max="12302" width="9" style="2955" customWidth="1"/>
    <col min="12303" max="12544" width="8.88671875" style="2955"/>
    <col min="12545" max="12545" width="81" style="2955" customWidth="1"/>
    <col min="12546" max="12546" width="7.109375" style="2955" customWidth="1"/>
    <col min="12547" max="12547" width="13.33203125" style="2955" customWidth="1"/>
    <col min="12548" max="12549" width="15.88671875" style="2955" customWidth="1"/>
    <col min="12550" max="12550" width="21" style="2955" customWidth="1"/>
    <col min="12551" max="12551" width="9" style="2955" customWidth="1"/>
    <col min="12552" max="12552" width="10.21875" style="2955" customWidth="1"/>
    <col min="12553" max="12554" width="12.109375" style="2955" customWidth="1"/>
    <col min="12555" max="12555" width="16.33203125" style="2955" customWidth="1"/>
    <col min="12556" max="12556" width="7.109375" style="2955" customWidth="1"/>
    <col min="12557" max="12557" width="165.77734375" style="2955" customWidth="1"/>
    <col min="12558" max="12558" width="9" style="2955" customWidth="1"/>
    <col min="12559" max="12800" width="8.88671875" style="2955"/>
    <col min="12801" max="12801" width="81" style="2955" customWidth="1"/>
    <col min="12802" max="12802" width="7.109375" style="2955" customWidth="1"/>
    <col min="12803" max="12803" width="13.33203125" style="2955" customWidth="1"/>
    <col min="12804" max="12805" width="15.88671875" style="2955" customWidth="1"/>
    <col min="12806" max="12806" width="21" style="2955" customWidth="1"/>
    <col min="12807" max="12807" width="9" style="2955" customWidth="1"/>
    <col min="12808" max="12808" width="10.21875" style="2955" customWidth="1"/>
    <col min="12809" max="12810" width="12.109375" style="2955" customWidth="1"/>
    <col min="12811" max="12811" width="16.33203125" style="2955" customWidth="1"/>
    <col min="12812" max="12812" width="7.109375" style="2955" customWidth="1"/>
    <col min="12813" max="12813" width="165.77734375" style="2955" customWidth="1"/>
    <col min="12814" max="12814" width="9" style="2955" customWidth="1"/>
    <col min="12815" max="13056" width="8.88671875" style="2955"/>
    <col min="13057" max="13057" width="81" style="2955" customWidth="1"/>
    <col min="13058" max="13058" width="7.109375" style="2955" customWidth="1"/>
    <col min="13059" max="13059" width="13.33203125" style="2955" customWidth="1"/>
    <col min="13060" max="13061" width="15.88671875" style="2955" customWidth="1"/>
    <col min="13062" max="13062" width="21" style="2955" customWidth="1"/>
    <col min="13063" max="13063" width="9" style="2955" customWidth="1"/>
    <col min="13064" max="13064" width="10.21875" style="2955" customWidth="1"/>
    <col min="13065" max="13066" width="12.109375" style="2955" customWidth="1"/>
    <col min="13067" max="13067" width="16.33203125" style="2955" customWidth="1"/>
    <col min="13068" max="13068" width="7.109375" style="2955" customWidth="1"/>
    <col min="13069" max="13069" width="165.77734375" style="2955" customWidth="1"/>
    <col min="13070" max="13070" width="9" style="2955" customWidth="1"/>
    <col min="13071" max="13312" width="8.88671875" style="2955"/>
    <col min="13313" max="13313" width="81" style="2955" customWidth="1"/>
    <col min="13314" max="13314" width="7.109375" style="2955" customWidth="1"/>
    <col min="13315" max="13315" width="13.33203125" style="2955" customWidth="1"/>
    <col min="13316" max="13317" width="15.88671875" style="2955" customWidth="1"/>
    <col min="13318" max="13318" width="21" style="2955" customWidth="1"/>
    <col min="13319" max="13319" width="9" style="2955" customWidth="1"/>
    <col min="13320" max="13320" width="10.21875" style="2955" customWidth="1"/>
    <col min="13321" max="13322" width="12.109375" style="2955" customWidth="1"/>
    <col min="13323" max="13323" width="16.33203125" style="2955" customWidth="1"/>
    <col min="13324" max="13324" width="7.109375" style="2955" customWidth="1"/>
    <col min="13325" max="13325" width="165.77734375" style="2955" customWidth="1"/>
    <col min="13326" max="13326" width="9" style="2955" customWidth="1"/>
    <col min="13327" max="13568" width="8.88671875" style="2955"/>
    <col min="13569" max="13569" width="81" style="2955" customWidth="1"/>
    <col min="13570" max="13570" width="7.109375" style="2955" customWidth="1"/>
    <col min="13571" max="13571" width="13.33203125" style="2955" customWidth="1"/>
    <col min="13572" max="13573" width="15.88671875" style="2955" customWidth="1"/>
    <col min="13574" max="13574" width="21" style="2955" customWidth="1"/>
    <col min="13575" max="13575" width="9" style="2955" customWidth="1"/>
    <col min="13576" max="13576" width="10.21875" style="2955" customWidth="1"/>
    <col min="13577" max="13578" width="12.109375" style="2955" customWidth="1"/>
    <col min="13579" max="13579" width="16.33203125" style="2955" customWidth="1"/>
    <col min="13580" max="13580" width="7.109375" style="2955" customWidth="1"/>
    <col min="13581" max="13581" width="165.77734375" style="2955" customWidth="1"/>
    <col min="13582" max="13582" width="9" style="2955" customWidth="1"/>
    <col min="13583" max="13824" width="8.88671875" style="2955"/>
    <col min="13825" max="13825" width="81" style="2955" customWidth="1"/>
    <col min="13826" max="13826" width="7.109375" style="2955" customWidth="1"/>
    <col min="13827" max="13827" width="13.33203125" style="2955" customWidth="1"/>
    <col min="13828" max="13829" width="15.88671875" style="2955" customWidth="1"/>
    <col min="13830" max="13830" width="21" style="2955" customWidth="1"/>
    <col min="13831" max="13831" width="9" style="2955" customWidth="1"/>
    <col min="13832" max="13832" width="10.21875" style="2955" customWidth="1"/>
    <col min="13833" max="13834" width="12.109375" style="2955" customWidth="1"/>
    <col min="13835" max="13835" width="16.33203125" style="2955" customWidth="1"/>
    <col min="13836" max="13836" width="7.109375" style="2955" customWidth="1"/>
    <col min="13837" max="13837" width="165.77734375" style="2955" customWidth="1"/>
    <col min="13838" max="13838" width="9" style="2955" customWidth="1"/>
    <col min="13839" max="14080" width="8.88671875" style="2955"/>
    <col min="14081" max="14081" width="81" style="2955" customWidth="1"/>
    <col min="14082" max="14082" width="7.109375" style="2955" customWidth="1"/>
    <col min="14083" max="14083" width="13.33203125" style="2955" customWidth="1"/>
    <col min="14084" max="14085" width="15.88671875" style="2955" customWidth="1"/>
    <col min="14086" max="14086" width="21" style="2955" customWidth="1"/>
    <col min="14087" max="14087" width="9" style="2955" customWidth="1"/>
    <col min="14088" max="14088" width="10.21875" style="2955" customWidth="1"/>
    <col min="14089" max="14090" width="12.109375" style="2955" customWidth="1"/>
    <col min="14091" max="14091" width="16.33203125" style="2955" customWidth="1"/>
    <col min="14092" max="14092" width="7.109375" style="2955" customWidth="1"/>
    <col min="14093" max="14093" width="165.77734375" style="2955" customWidth="1"/>
    <col min="14094" max="14094" width="9" style="2955" customWidth="1"/>
    <col min="14095" max="14336" width="8.88671875" style="2955"/>
    <col min="14337" max="14337" width="81" style="2955" customWidth="1"/>
    <col min="14338" max="14338" width="7.109375" style="2955" customWidth="1"/>
    <col min="14339" max="14339" width="13.33203125" style="2955" customWidth="1"/>
    <col min="14340" max="14341" width="15.88671875" style="2955" customWidth="1"/>
    <col min="14342" max="14342" width="21" style="2955" customWidth="1"/>
    <col min="14343" max="14343" width="9" style="2955" customWidth="1"/>
    <col min="14344" max="14344" width="10.21875" style="2955" customWidth="1"/>
    <col min="14345" max="14346" width="12.109375" style="2955" customWidth="1"/>
    <col min="14347" max="14347" width="16.33203125" style="2955" customWidth="1"/>
    <col min="14348" max="14348" width="7.109375" style="2955" customWidth="1"/>
    <col min="14349" max="14349" width="165.77734375" style="2955" customWidth="1"/>
    <col min="14350" max="14350" width="9" style="2955" customWidth="1"/>
    <col min="14351" max="14592" width="8.88671875" style="2955"/>
    <col min="14593" max="14593" width="81" style="2955" customWidth="1"/>
    <col min="14594" max="14594" width="7.109375" style="2955" customWidth="1"/>
    <col min="14595" max="14595" width="13.33203125" style="2955" customWidth="1"/>
    <col min="14596" max="14597" width="15.88671875" style="2955" customWidth="1"/>
    <col min="14598" max="14598" width="21" style="2955" customWidth="1"/>
    <col min="14599" max="14599" width="9" style="2955" customWidth="1"/>
    <col min="14600" max="14600" width="10.21875" style="2955" customWidth="1"/>
    <col min="14601" max="14602" width="12.109375" style="2955" customWidth="1"/>
    <col min="14603" max="14603" width="16.33203125" style="2955" customWidth="1"/>
    <col min="14604" max="14604" width="7.109375" style="2955" customWidth="1"/>
    <col min="14605" max="14605" width="165.77734375" style="2955" customWidth="1"/>
    <col min="14606" max="14606" width="9" style="2955" customWidth="1"/>
    <col min="14607" max="14848" width="8.88671875" style="2955"/>
    <col min="14849" max="14849" width="81" style="2955" customWidth="1"/>
    <col min="14850" max="14850" width="7.109375" style="2955" customWidth="1"/>
    <col min="14851" max="14851" width="13.33203125" style="2955" customWidth="1"/>
    <col min="14852" max="14853" width="15.88671875" style="2955" customWidth="1"/>
    <col min="14854" max="14854" width="21" style="2955" customWidth="1"/>
    <col min="14855" max="14855" width="9" style="2955" customWidth="1"/>
    <col min="14856" max="14856" width="10.21875" style="2955" customWidth="1"/>
    <col min="14857" max="14858" width="12.109375" style="2955" customWidth="1"/>
    <col min="14859" max="14859" width="16.33203125" style="2955" customWidth="1"/>
    <col min="14860" max="14860" width="7.109375" style="2955" customWidth="1"/>
    <col min="14861" max="14861" width="165.77734375" style="2955" customWidth="1"/>
    <col min="14862" max="14862" width="9" style="2955" customWidth="1"/>
    <col min="14863" max="15104" width="8.88671875" style="2955"/>
    <col min="15105" max="15105" width="81" style="2955" customWidth="1"/>
    <col min="15106" max="15106" width="7.109375" style="2955" customWidth="1"/>
    <col min="15107" max="15107" width="13.33203125" style="2955" customWidth="1"/>
    <col min="15108" max="15109" width="15.88671875" style="2955" customWidth="1"/>
    <col min="15110" max="15110" width="21" style="2955" customWidth="1"/>
    <col min="15111" max="15111" width="9" style="2955" customWidth="1"/>
    <col min="15112" max="15112" width="10.21875" style="2955" customWidth="1"/>
    <col min="15113" max="15114" width="12.109375" style="2955" customWidth="1"/>
    <col min="15115" max="15115" width="16.33203125" style="2955" customWidth="1"/>
    <col min="15116" max="15116" width="7.109375" style="2955" customWidth="1"/>
    <col min="15117" max="15117" width="165.77734375" style="2955" customWidth="1"/>
    <col min="15118" max="15118" width="9" style="2955" customWidth="1"/>
    <col min="15119" max="15360" width="8.88671875" style="2955"/>
    <col min="15361" max="15361" width="81" style="2955" customWidth="1"/>
    <col min="15362" max="15362" width="7.109375" style="2955" customWidth="1"/>
    <col min="15363" max="15363" width="13.33203125" style="2955" customWidth="1"/>
    <col min="15364" max="15365" width="15.88671875" style="2955" customWidth="1"/>
    <col min="15366" max="15366" width="21" style="2955" customWidth="1"/>
    <col min="15367" max="15367" width="9" style="2955" customWidth="1"/>
    <col min="15368" max="15368" width="10.21875" style="2955" customWidth="1"/>
    <col min="15369" max="15370" width="12.109375" style="2955" customWidth="1"/>
    <col min="15371" max="15371" width="16.33203125" style="2955" customWidth="1"/>
    <col min="15372" max="15372" width="7.109375" style="2955" customWidth="1"/>
    <col min="15373" max="15373" width="165.77734375" style="2955" customWidth="1"/>
    <col min="15374" max="15374" width="9" style="2955" customWidth="1"/>
    <col min="15375" max="15616" width="8.88671875" style="2955"/>
    <col min="15617" max="15617" width="81" style="2955" customWidth="1"/>
    <col min="15618" max="15618" width="7.109375" style="2955" customWidth="1"/>
    <col min="15619" max="15619" width="13.33203125" style="2955" customWidth="1"/>
    <col min="15620" max="15621" width="15.88671875" style="2955" customWidth="1"/>
    <col min="15622" max="15622" width="21" style="2955" customWidth="1"/>
    <col min="15623" max="15623" width="9" style="2955" customWidth="1"/>
    <col min="15624" max="15624" width="10.21875" style="2955" customWidth="1"/>
    <col min="15625" max="15626" width="12.109375" style="2955" customWidth="1"/>
    <col min="15627" max="15627" width="16.33203125" style="2955" customWidth="1"/>
    <col min="15628" max="15628" width="7.109375" style="2955" customWidth="1"/>
    <col min="15629" max="15629" width="165.77734375" style="2955" customWidth="1"/>
    <col min="15630" max="15630" width="9" style="2955" customWidth="1"/>
    <col min="15631" max="15872" width="8.88671875" style="2955"/>
    <col min="15873" max="15873" width="81" style="2955" customWidth="1"/>
    <col min="15874" max="15874" width="7.109375" style="2955" customWidth="1"/>
    <col min="15875" max="15875" width="13.33203125" style="2955" customWidth="1"/>
    <col min="15876" max="15877" width="15.88671875" style="2955" customWidth="1"/>
    <col min="15878" max="15878" width="21" style="2955" customWidth="1"/>
    <col min="15879" max="15879" width="9" style="2955" customWidth="1"/>
    <col min="15880" max="15880" width="10.21875" style="2955" customWidth="1"/>
    <col min="15881" max="15882" width="12.109375" style="2955" customWidth="1"/>
    <col min="15883" max="15883" width="16.33203125" style="2955" customWidth="1"/>
    <col min="15884" max="15884" width="7.109375" style="2955" customWidth="1"/>
    <col min="15885" max="15885" width="165.77734375" style="2955" customWidth="1"/>
    <col min="15886" max="15886" width="9" style="2955" customWidth="1"/>
    <col min="15887" max="16128" width="8.88671875" style="2955"/>
    <col min="16129" max="16129" width="81" style="2955" customWidth="1"/>
    <col min="16130" max="16130" width="7.109375" style="2955" customWidth="1"/>
    <col min="16131" max="16131" width="13.33203125" style="2955" customWidth="1"/>
    <col min="16132" max="16133" width="15.88671875" style="2955" customWidth="1"/>
    <col min="16134" max="16134" width="21" style="2955" customWidth="1"/>
    <col min="16135" max="16135" width="9" style="2955" customWidth="1"/>
    <col min="16136" max="16136" width="10.21875" style="2955" customWidth="1"/>
    <col min="16137" max="16138" width="12.109375" style="2955" customWidth="1"/>
    <col min="16139" max="16139" width="16.33203125" style="2955" customWidth="1"/>
    <col min="16140" max="16140" width="7.109375" style="2955" customWidth="1"/>
    <col min="16141" max="16141" width="165.77734375" style="2955" customWidth="1"/>
    <col min="16142" max="16142" width="9" style="2955" customWidth="1"/>
    <col min="16143" max="16384" width="8.88671875" style="2955"/>
  </cols>
  <sheetData>
    <row r="1" spans="1:14">
      <c r="A1" s="2955" t="s">
        <v>3066</v>
      </c>
      <c r="B1" s="2955" t="s">
        <v>3067</v>
      </c>
      <c r="C1" s="2955" t="s">
        <v>3068</v>
      </c>
      <c r="D1" s="2955" t="s">
        <v>3069</v>
      </c>
      <c r="E1" s="2955" t="s">
        <v>3070</v>
      </c>
      <c r="F1" s="2955" t="s">
        <v>3071</v>
      </c>
      <c r="G1" s="2955" t="s">
        <v>3072</v>
      </c>
      <c r="H1" s="2955" t="s">
        <v>3073</v>
      </c>
      <c r="I1" s="2955" t="s">
        <v>3074</v>
      </c>
      <c r="J1" s="2955" t="s">
        <v>3075</v>
      </c>
      <c r="K1" s="2955" t="s">
        <v>3076</v>
      </c>
      <c r="L1" s="2955" t="s">
        <v>3077</v>
      </c>
      <c r="M1" s="2955" t="s">
        <v>3078</v>
      </c>
      <c r="N1" s="2955" t="s">
        <v>3079</v>
      </c>
    </row>
    <row r="2" spans="1:14">
      <c r="A2" s="2955" t="s">
        <v>3080</v>
      </c>
      <c r="B2" s="2955" t="s">
        <v>3049</v>
      </c>
      <c r="C2" s="2955" t="s">
        <v>3081</v>
      </c>
      <c r="D2" s="2955">
        <v>12501.51</v>
      </c>
      <c r="E2" s="2955">
        <v>37505</v>
      </c>
      <c r="F2" s="2955" t="s">
        <v>3082</v>
      </c>
      <c r="G2" s="2955" t="s">
        <v>3083</v>
      </c>
      <c r="H2" s="2955" t="s">
        <v>3084</v>
      </c>
      <c r="I2" s="2955">
        <v>56000</v>
      </c>
      <c r="J2" s="2955">
        <v>56000</v>
      </c>
      <c r="K2" s="2955">
        <v>14931.34</v>
      </c>
      <c r="L2" s="2955">
        <v>0</v>
      </c>
      <c r="M2" s="2955" t="s">
        <v>3085</v>
      </c>
      <c r="N2" s="2955" t="s">
        <v>3086</v>
      </c>
    </row>
    <row r="3" spans="1:14">
      <c r="A3" s="2955" t="s">
        <v>3087</v>
      </c>
      <c r="B3" s="2955" t="s">
        <v>3049</v>
      </c>
      <c r="C3" s="2955" t="s">
        <v>3081</v>
      </c>
      <c r="D3" s="2955">
        <v>7289.19</v>
      </c>
      <c r="E3" s="2955">
        <v>21867.57</v>
      </c>
      <c r="F3" s="2955" t="s">
        <v>3082</v>
      </c>
      <c r="G3" s="2955" t="s">
        <v>3083</v>
      </c>
      <c r="H3" s="2955" t="s">
        <v>3084</v>
      </c>
      <c r="I3" s="2955">
        <v>35200</v>
      </c>
      <c r="J3" s="2955">
        <v>35200</v>
      </c>
      <c r="K3" s="2955">
        <v>16096.89</v>
      </c>
      <c r="L3" s="2955">
        <v>0</v>
      </c>
      <c r="M3" s="2955" t="s">
        <v>3088</v>
      </c>
      <c r="N3" s="2955" t="s">
        <v>3086</v>
      </c>
    </row>
    <row r="4" spans="1:14">
      <c r="A4" s="2955" t="s">
        <v>3089</v>
      </c>
      <c r="B4" s="2955" t="s">
        <v>3049</v>
      </c>
      <c r="C4" s="2955" t="s">
        <v>3081</v>
      </c>
      <c r="D4" s="2955">
        <v>30159.25</v>
      </c>
      <c r="E4" s="2955">
        <v>138421</v>
      </c>
      <c r="F4" s="2955" t="s">
        <v>3090</v>
      </c>
      <c r="G4" s="2955" t="s">
        <v>3083</v>
      </c>
      <c r="H4" s="2955" t="s">
        <v>3091</v>
      </c>
      <c r="I4" s="2955">
        <v>230100</v>
      </c>
      <c r="J4" s="2955">
        <v>230100</v>
      </c>
      <c r="K4" s="2955">
        <v>16623.2</v>
      </c>
      <c r="L4" s="2955">
        <v>0</v>
      </c>
      <c r="M4" s="2955" t="s">
        <v>3092</v>
      </c>
      <c r="N4" s="2955" t="s">
        <v>3093</v>
      </c>
    </row>
    <row r="5" spans="1:14">
      <c r="A5" s="2955" t="s">
        <v>3094</v>
      </c>
      <c r="B5" s="2955" t="s">
        <v>3049</v>
      </c>
      <c r="C5" s="2955" t="s">
        <v>3081</v>
      </c>
      <c r="D5" s="2955">
        <v>35629.120000000003</v>
      </c>
      <c r="E5" s="2955">
        <v>100429</v>
      </c>
      <c r="F5" s="2955" t="s">
        <v>3095</v>
      </c>
      <c r="G5" s="2955" t="s">
        <v>3083</v>
      </c>
      <c r="H5" s="2955" t="s">
        <v>3091</v>
      </c>
      <c r="I5" s="2955">
        <v>166700</v>
      </c>
      <c r="J5" s="2955">
        <v>166700</v>
      </c>
      <c r="K5" s="2955">
        <v>16598.79</v>
      </c>
      <c r="L5" s="2955">
        <v>0</v>
      </c>
      <c r="M5" s="2955" t="s">
        <v>3092</v>
      </c>
      <c r="N5" s="2955" t="s">
        <v>3086</v>
      </c>
    </row>
    <row r="6" spans="1:14">
      <c r="A6" s="2955" t="s">
        <v>3096</v>
      </c>
      <c r="B6" s="2955" t="s">
        <v>3049</v>
      </c>
      <c r="C6" s="2955" t="s">
        <v>3081</v>
      </c>
      <c r="D6" s="2955">
        <v>70601.070000000007</v>
      </c>
      <c r="E6" s="2955">
        <v>285523</v>
      </c>
      <c r="F6" s="2955" t="s">
        <v>3097</v>
      </c>
      <c r="G6" s="2955" t="s">
        <v>3098</v>
      </c>
      <c r="H6" s="2955" t="s">
        <v>3099</v>
      </c>
      <c r="I6" s="2955" t="s">
        <v>1326</v>
      </c>
      <c r="J6" s="2955">
        <v>660900</v>
      </c>
      <c r="K6" s="2955">
        <v>23147</v>
      </c>
      <c r="L6" s="2955" t="s">
        <v>1326</v>
      </c>
      <c r="M6" s="2955" t="s">
        <v>3100</v>
      </c>
      <c r="N6" s="2955" t="s">
        <v>3093</v>
      </c>
    </row>
    <row r="7" spans="1:14">
      <c r="A7" s="2955" t="s">
        <v>3101</v>
      </c>
      <c r="B7" s="2955" t="s">
        <v>3049</v>
      </c>
      <c r="C7" s="2955" t="s">
        <v>3081</v>
      </c>
      <c r="D7" s="2955">
        <v>28003.32</v>
      </c>
      <c r="E7" s="2955">
        <v>70008</v>
      </c>
      <c r="F7" s="2955" t="s">
        <v>3102</v>
      </c>
      <c r="G7" s="2955" t="s">
        <v>3083</v>
      </c>
      <c r="H7" s="2955" t="s">
        <v>3103</v>
      </c>
      <c r="I7" s="2955">
        <v>96800</v>
      </c>
      <c r="J7" s="2955">
        <v>97800</v>
      </c>
      <c r="K7" s="2955">
        <v>13969.82</v>
      </c>
      <c r="L7" s="2955">
        <v>1.03</v>
      </c>
      <c r="M7" s="2955" t="s">
        <v>3104</v>
      </c>
      <c r="N7" s="2955" t="s">
        <v>3086</v>
      </c>
    </row>
    <row r="8" spans="1:14" s="2956" customFormat="1">
      <c r="A8" s="2956" t="s">
        <v>3105</v>
      </c>
      <c r="B8" s="2956" t="s">
        <v>3049</v>
      </c>
      <c r="C8" s="2956" t="s">
        <v>3081</v>
      </c>
      <c r="D8" s="2956">
        <v>42276.47</v>
      </c>
      <c r="E8" s="2956">
        <v>84552.93</v>
      </c>
      <c r="F8" s="2956" t="s">
        <v>3106</v>
      </c>
      <c r="G8" s="2956" t="s">
        <v>3083</v>
      </c>
      <c r="H8" s="2956" t="s">
        <v>3107</v>
      </c>
      <c r="I8" s="2956">
        <v>95000</v>
      </c>
      <c r="J8" s="2956">
        <v>96500</v>
      </c>
      <c r="K8" s="2956">
        <v>11412.96</v>
      </c>
      <c r="L8" s="2956">
        <v>1.58</v>
      </c>
      <c r="M8" s="2956" t="s">
        <v>3108</v>
      </c>
      <c r="N8" s="2956" t="s">
        <v>3109</v>
      </c>
    </row>
    <row r="9" spans="1:14">
      <c r="A9" s="2955" t="s">
        <v>3110</v>
      </c>
      <c r="B9" s="2955" t="s">
        <v>3049</v>
      </c>
      <c r="C9" s="2955" t="s">
        <v>3081</v>
      </c>
      <c r="D9" s="2955">
        <v>22035.93</v>
      </c>
      <c r="E9" s="2955">
        <v>61700.6</v>
      </c>
      <c r="F9" s="2955" t="s">
        <v>3111</v>
      </c>
      <c r="G9" s="2955" t="s">
        <v>3083</v>
      </c>
      <c r="H9" s="2955" t="s">
        <v>3112</v>
      </c>
      <c r="I9" s="2955">
        <v>103700</v>
      </c>
      <c r="J9" s="2955">
        <v>103700</v>
      </c>
      <c r="K9" s="2955">
        <v>16806.97</v>
      </c>
      <c r="L9" s="2955">
        <v>0</v>
      </c>
      <c r="M9" s="2955" t="s">
        <v>3113</v>
      </c>
      <c r="N9" s="2955" t="s">
        <v>3086</v>
      </c>
    </row>
    <row r="10" spans="1:14">
      <c r="A10" s="2955" t="s">
        <v>3114</v>
      </c>
      <c r="B10" s="2955" t="s">
        <v>3049</v>
      </c>
      <c r="C10" s="2955" t="s">
        <v>3081</v>
      </c>
      <c r="D10" s="2955">
        <v>32158.94</v>
      </c>
      <c r="E10" s="2955">
        <v>96476.82</v>
      </c>
      <c r="F10" s="2955" t="s">
        <v>3082</v>
      </c>
      <c r="G10" s="2955" t="s">
        <v>3083</v>
      </c>
      <c r="H10" s="2955" t="s">
        <v>3115</v>
      </c>
      <c r="I10" s="2955">
        <v>263800</v>
      </c>
      <c r="J10" s="2955">
        <v>263800</v>
      </c>
      <c r="K10" s="2955">
        <v>27343.360000000001</v>
      </c>
      <c r="L10" s="2955">
        <v>0</v>
      </c>
      <c r="M10" s="2955" t="s">
        <v>3116</v>
      </c>
      <c r="N10" s="2955" t="s">
        <v>3093</v>
      </c>
    </row>
    <row r="11" spans="1:14" s="2956" customFormat="1">
      <c r="A11" s="2956" t="s">
        <v>3237</v>
      </c>
      <c r="B11" s="2956" t="s">
        <v>3049</v>
      </c>
      <c r="C11" s="2956" t="s">
        <v>3081</v>
      </c>
      <c r="D11" s="2956">
        <v>51736.9</v>
      </c>
      <c r="E11" s="2956">
        <v>81600.05</v>
      </c>
      <c r="F11" s="2956" t="s">
        <v>3117</v>
      </c>
      <c r="G11" s="2956" t="s">
        <v>3083</v>
      </c>
      <c r="H11" s="2956" t="s">
        <v>3115</v>
      </c>
      <c r="I11" s="2956">
        <v>150000</v>
      </c>
      <c r="J11" s="2956">
        <v>150000</v>
      </c>
      <c r="K11" s="2956">
        <v>18382.34</v>
      </c>
      <c r="L11" s="2956">
        <v>0</v>
      </c>
      <c r="M11" s="2956" t="s">
        <v>3118</v>
      </c>
      <c r="N11" s="2956" t="s">
        <v>3109</v>
      </c>
    </row>
    <row r="12" spans="1:14">
      <c r="A12" s="2955" t="s">
        <v>3119</v>
      </c>
      <c r="B12" s="2955" t="s">
        <v>3049</v>
      </c>
      <c r="C12" s="2955" t="s">
        <v>3081</v>
      </c>
      <c r="D12" s="2955">
        <v>28622.32</v>
      </c>
      <c r="E12" s="2955">
        <v>71556</v>
      </c>
      <c r="F12" s="2955">
        <v>2.5</v>
      </c>
      <c r="G12" s="2955" t="s">
        <v>3083</v>
      </c>
      <c r="H12" s="2955" t="s">
        <v>3120</v>
      </c>
      <c r="I12" s="2955">
        <v>132000</v>
      </c>
      <c r="J12" s="2955">
        <v>132000</v>
      </c>
      <c r="K12" s="2955">
        <v>18447.09</v>
      </c>
      <c r="L12" s="2955">
        <v>0</v>
      </c>
      <c r="M12" s="2955" t="s">
        <v>3121</v>
      </c>
      <c r="N12" s="2955" t="s">
        <v>3093</v>
      </c>
    </row>
    <row r="13" spans="1:14">
      <c r="A13" s="2955" t="s">
        <v>3122</v>
      </c>
      <c r="B13" s="2955" t="s">
        <v>3049</v>
      </c>
      <c r="C13" s="2955" t="s">
        <v>3081</v>
      </c>
      <c r="D13" s="2955">
        <v>28725.47</v>
      </c>
      <c r="E13" s="2955">
        <v>71814</v>
      </c>
      <c r="F13" s="2955">
        <v>2.5</v>
      </c>
      <c r="G13" s="2955" t="s">
        <v>3098</v>
      </c>
      <c r="H13" s="2955" t="s">
        <v>3123</v>
      </c>
      <c r="I13" s="2955" t="s">
        <v>1326</v>
      </c>
      <c r="J13" s="2955">
        <v>32000</v>
      </c>
      <c r="K13" s="2955">
        <v>4455.96</v>
      </c>
      <c r="L13" s="2955" t="s">
        <v>1326</v>
      </c>
      <c r="M13" s="2955" t="s">
        <v>3124</v>
      </c>
      <c r="N13" s="2955" t="s">
        <v>3093</v>
      </c>
    </row>
    <row r="14" spans="1:14">
      <c r="A14" s="2955" t="s">
        <v>3125</v>
      </c>
      <c r="B14" s="2955" t="s">
        <v>3049</v>
      </c>
      <c r="C14" s="2955" t="s">
        <v>3081</v>
      </c>
      <c r="D14" s="2955">
        <v>138746.29999999999</v>
      </c>
      <c r="E14" s="2955">
        <v>486596</v>
      </c>
      <c r="F14" s="2955">
        <v>3.51</v>
      </c>
      <c r="G14" s="2955" t="s">
        <v>3083</v>
      </c>
      <c r="H14" s="2955" t="s">
        <v>3126</v>
      </c>
      <c r="I14" s="2955">
        <v>866300</v>
      </c>
      <c r="J14" s="2955">
        <v>866300</v>
      </c>
      <c r="K14" s="2955">
        <v>17803.27</v>
      </c>
      <c r="L14" s="2955">
        <v>0</v>
      </c>
      <c r="M14" s="2955" t="s">
        <v>3127</v>
      </c>
      <c r="N14" s="2955" t="s">
        <v>3086</v>
      </c>
    </row>
    <row r="15" spans="1:14">
      <c r="A15" s="2955" t="s">
        <v>3128</v>
      </c>
      <c r="B15" s="2955" t="s">
        <v>3049</v>
      </c>
      <c r="C15" s="2955" t="s">
        <v>3081</v>
      </c>
      <c r="D15" s="2955">
        <v>39410.74</v>
      </c>
      <c r="E15" s="2955">
        <v>120000</v>
      </c>
      <c r="F15" s="2955">
        <v>3.04</v>
      </c>
      <c r="G15" s="2955" t="s">
        <v>3098</v>
      </c>
      <c r="H15" s="2955" t="s">
        <v>3129</v>
      </c>
      <c r="I15" s="2955" t="s">
        <v>1326</v>
      </c>
      <c r="J15" s="2955">
        <v>318758</v>
      </c>
      <c r="K15" s="2955">
        <v>26563.16</v>
      </c>
      <c r="L15" s="2955" t="s">
        <v>1326</v>
      </c>
      <c r="M15" s="2955" t="s">
        <v>3130</v>
      </c>
      <c r="N15" s="2955" t="s">
        <v>3086</v>
      </c>
    </row>
    <row r="16" spans="1:14">
      <c r="A16" s="2955" t="s">
        <v>3131</v>
      </c>
      <c r="B16" s="2955" t="s">
        <v>3049</v>
      </c>
      <c r="C16" s="2955" t="s">
        <v>3081</v>
      </c>
      <c r="D16" s="2955">
        <v>113768</v>
      </c>
      <c r="E16" s="2955">
        <v>119494</v>
      </c>
      <c r="F16" s="2955">
        <v>1.05</v>
      </c>
      <c r="G16" s="2955" t="s">
        <v>3083</v>
      </c>
      <c r="H16" s="2955" t="s">
        <v>3132</v>
      </c>
      <c r="I16" s="2955" t="s">
        <v>1326</v>
      </c>
      <c r="J16" s="2955">
        <v>74000</v>
      </c>
      <c r="K16" s="2955">
        <v>6192.77</v>
      </c>
      <c r="L16" s="2955" t="s">
        <v>1326</v>
      </c>
      <c r="M16" s="2955" t="s">
        <v>3133</v>
      </c>
      <c r="N16" s="2955" t="s">
        <v>3109</v>
      </c>
    </row>
    <row r="17" spans="1:14" s="2956" customFormat="1">
      <c r="A17" s="2957" t="s">
        <v>3134</v>
      </c>
      <c r="B17" s="2956" t="s">
        <v>3049</v>
      </c>
      <c r="C17" s="2956" t="s">
        <v>3081</v>
      </c>
      <c r="D17" s="2956">
        <v>33071.620000000003</v>
      </c>
      <c r="E17" s="2956">
        <v>122423.9</v>
      </c>
      <c r="F17" s="2956">
        <v>3.7</v>
      </c>
      <c r="G17" s="2956" t="s">
        <v>3083</v>
      </c>
      <c r="H17" s="2956" t="s">
        <v>3135</v>
      </c>
      <c r="I17" s="2956">
        <v>183000</v>
      </c>
      <c r="J17" s="2956">
        <v>183000</v>
      </c>
      <c r="K17" s="2956">
        <v>14948.05</v>
      </c>
      <c r="L17" s="2956">
        <v>0</v>
      </c>
      <c r="M17" s="2956" t="s">
        <v>3136</v>
      </c>
      <c r="N17" s="2956" t="s">
        <v>3093</v>
      </c>
    </row>
    <row r="18" spans="1:14">
      <c r="A18" s="2955" t="s">
        <v>3137</v>
      </c>
      <c r="B18" s="2955" t="s">
        <v>3049</v>
      </c>
      <c r="C18" s="2955" t="s">
        <v>3081</v>
      </c>
      <c r="D18" s="2955">
        <v>338760.2</v>
      </c>
      <c r="E18" s="2955">
        <v>232306.7</v>
      </c>
      <c r="F18" s="2955">
        <v>0.69</v>
      </c>
      <c r="G18" s="2955" t="s">
        <v>3098</v>
      </c>
      <c r="H18" s="2955" t="s">
        <v>3138</v>
      </c>
      <c r="I18" s="2955" t="s">
        <v>1326</v>
      </c>
      <c r="J18" s="2955">
        <v>89500</v>
      </c>
      <c r="K18" s="2955">
        <v>3852.67</v>
      </c>
      <c r="L18" s="2955" t="s">
        <v>1326</v>
      </c>
      <c r="M18" s="2955" t="s">
        <v>3139</v>
      </c>
      <c r="N18" s="2955" t="s">
        <v>3140</v>
      </c>
    </row>
    <row r="19" spans="1:14">
      <c r="A19" s="2955" t="s">
        <v>3141</v>
      </c>
      <c r="B19" s="2955" t="s">
        <v>3049</v>
      </c>
      <c r="C19" s="2955" t="s">
        <v>3081</v>
      </c>
      <c r="D19" s="2955">
        <v>18015.060000000001</v>
      </c>
      <c r="E19" s="2955">
        <v>54046</v>
      </c>
      <c r="F19" s="2955">
        <v>3</v>
      </c>
      <c r="G19" s="2955" t="s">
        <v>3083</v>
      </c>
      <c r="H19" s="2955" t="s">
        <v>3142</v>
      </c>
      <c r="I19" s="2955">
        <v>60000</v>
      </c>
      <c r="J19" s="2955">
        <v>60000</v>
      </c>
      <c r="K19" s="2955">
        <v>11101.64</v>
      </c>
      <c r="L19" s="2955">
        <v>0</v>
      </c>
      <c r="M19" s="2955" t="s">
        <v>3143</v>
      </c>
      <c r="N19" s="2955" t="s">
        <v>3093</v>
      </c>
    </row>
    <row r="20" spans="1:14">
      <c r="A20" s="2955" t="s">
        <v>3144</v>
      </c>
      <c r="B20" s="2955" t="s">
        <v>3049</v>
      </c>
      <c r="C20" s="2955" t="s">
        <v>3081</v>
      </c>
      <c r="D20" s="2955">
        <v>59747.77</v>
      </c>
      <c r="E20" s="2955">
        <v>89622</v>
      </c>
      <c r="F20" s="2955">
        <v>1.5</v>
      </c>
      <c r="G20" s="2955" t="s">
        <v>3083</v>
      </c>
      <c r="H20" s="2955" t="s">
        <v>3145</v>
      </c>
      <c r="I20" s="2955">
        <v>146800</v>
      </c>
      <c r="J20" s="2955">
        <v>146800</v>
      </c>
      <c r="K20" s="2955">
        <v>16379.9</v>
      </c>
      <c r="L20" s="2955">
        <v>0</v>
      </c>
      <c r="M20" s="2955" t="s">
        <v>3146</v>
      </c>
      <c r="N20" s="2955" t="s">
        <v>3093</v>
      </c>
    </row>
    <row r="21" spans="1:14">
      <c r="A21" s="2955" t="s">
        <v>3147</v>
      </c>
      <c r="B21" s="2955" t="s">
        <v>3049</v>
      </c>
      <c r="C21" s="2955" t="s">
        <v>3081</v>
      </c>
      <c r="D21" s="2955">
        <v>31420.65</v>
      </c>
      <c r="E21" s="2955">
        <v>65983</v>
      </c>
      <c r="F21" s="2955">
        <v>2.1</v>
      </c>
      <c r="G21" s="2955" t="s">
        <v>3083</v>
      </c>
      <c r="H21" s="2955" t="s">
        <v>3145</v>
      </c>
      <c r="I21" s="2955">
        <v>108100</v>
      </c>
      <c r="J21" s="2955">
        <v>108100</v>
      </c>
      <c r="K21" s="2955">
        <v>16383.01</v>
      </c>
      <c r="L21" s="2955">
        <v>0</v>
      </c>
      <c r="M21" s="2955" t="s">
        <v>3148</v>
      </c>
      <c r="N21" s="2955" t="s">
        <v>3093</v>
      </c>
    </row>
    <row r="22" spans="1:14">
      <c r="A22" s="2955" t="s">
        <v>3149</v>
      </c>
      <c r="B22" s="2955" t="s">
        <v>3049</v>
      </c>
      <c r="C22" s="2955" t="s">
        <v>3081</v>
      </c>
      <c r="D22" s="2955">
        <v>176099.5</v>
      </c>
      <c r="E22" s="2955">
        <v>153071</v>
      </c>
      <c r="F22" s="2955">
        <v>0.86899999999999999</v>
      </c>
      <c r="G22" s="2955" t="s">
        <v>3083</v>
      </c>
      <c r="H22" s="2955" t="s">
        <v>3150</v>
      </c>
      <c r="I22" s="2955" t="s">
        <v>1326</v>
      </c>
      <c r="J22" s="2955">
        <v>93800</v>
      </c>
      <c r="K22" s="2955">
        <v>6127.88</v>
      </c>
      <c r="L22" s="2955" t="s">
        <v>1326</v>
      </c>
      <c r="M22" s="2955" t="s">
        <v>3151</v>
      </c>
      <c r="N22" s="2955" t="s">
        <v>3152</v>
      </c>
    </row>
    <row r="23" spans="1:14">
      <c r="A23" s="2955" t="s">
        <v>3153</v>
      </c>
      <c r="B23" s="2955" t="s">
        <v>3049</v>
      </c>
      <c r="C23" s="2955" t="s">
        <v>3081</v>
      </c>
      <c r="D23" s="2955">
        <v>15240.2</v>
      </c>
      <c r="E23" s="2955">
        <v>86800</v>
      </c>
      <c r="F23" s="2955">
        <v>5.6955</v>
      </c>
      <c r="G23" s="2955" t="s">
        <v>3083</v>
      </c>
      <c r="H23" s="2955" t="s">
        <v>3154</v>
      </c>
      <c r="I23" s="2955">
        <v>237500</v>
      </c>
      <c r="J23" s="2955">
        <v>242500</v>
      </c>
      <c r="K23" s="2955">
        <v>27937.79</v>
      </c>
      <c r="L23" s="2955">
        <v>2.11</v>
      </c>
      <c r="M23" s="2955" t="s">
        <v>3155</v>
      </c>
      <c r="N23" s="2955" t="s">
        <v>3086</v>
      </c>
    </row>
    <row r="24" spans="1:14">
      <c r="A24" s="2955" t="s">
        <v>3156</v>
      </c>
      <c r="B24" s="2955" t="s">
        <v>3049</v>
      </c>
      <c r="C24" s="2955" t="s">
        <v>3081</v>
      </c>
      <c r="D24" s="2955">
        <v>16863.939999999999</v>
      </c>
      <c r="E24" s="2955">
        <v>87923.61</v>
      </c>
      <c r="F24" s="2955">
        <v>5.2137000000000002</v>
      </c>
      <c r="G24" s="2955" t="s">
        <v>3083</v>
      </c>
      <c r="H24" s="2955" t="s">
        <v>3157</v>
      </c>
      <c r="I24" s="2955">
        <v>211000</v>
      </c>
      <c r="J24" s="2955">
        <v>211000</v>
      </c>
      <c r="K24" s="2955">
        <v>23998.09</v>
      </c>
      <c r="L24" s="2955">
        <v>0</v>
      </c>
      <c r="M24" s="2955" t="s">
        <v>3158</v>
      </c>
      <c r="N24" s="2955" t="s">
        <v>3086</v>
      </c>
    </row>
    <row r="25" spans="1:14">
      <c r="A25" s="2955" t="s">
        <v>3159</v>
      </c>
      <c r="B25" s="2955" t="s">
        <v>3049</v>
      </c>
      <c r="C25" s="2955" t="s">
        <v>3081</v>
      </c>
      <c r="D25" s="2955">
        <v>14089.17</v>
      </c>
      <c r="E25" s="2955">
        <v>105000</v>
      </c>
      <c r="F25" s="2955">
        <v>7.4525300000000003</v>
      </c>
      <c r="G25" s="2955" t="s">
        <v>3083</v>
      </c>
      <c r="H25" s="2955" t="s">
        <v>3157</v>
      </c>
      <c r="I25" s="2955">
        <v>252000</v>
      </c>
      <c r="J25" s="2955">
        <v>355000</v>
      </c>
      <c r="K25" s="2955">
        <v>33809.51</v>
      </c>
      <c r="L25" s="2955">
        <v>40.869999999999997</v>
      </c>
      <c r="M25" s="2955" t="s">
        <v>3160</v>
      </c>
      <c r="N25" s="2955" t="s">
        <v>3086</v>
      </c>
    </row>
    <row r="26" spans="1:14">
      <c r="A26" s="2955" t="s">
        <v>3161</v>
      </c>
      <c r="B26" s="2955" t="s">
        <v>3049</v>
      </c>
      <c r="C26" s="2955" t="s">
        <v>3081</v>
      </c>
      <c r="D26" s="2955">
        <v>5237.16</v>
      </c>
      <c r="E26" s="2955">
        <v>10474</v>
      </c>
      <c r="F26" s="2955">
        <v>2</v>
      </c>
      <c r="G26" s="2955" t="s">
        <v>3083</v>
      </c>
      <c r="H26" s="2955" t="s">
        <v>3162</v>
      </c>
      <c r="I26" s="2955">
        <v>13000</v>
      </c>
      <c r="J26" s="2955">
        <v>13700</v>
      </c>
      <c r="K26" s="2955">
        <v>13080.01</v>
      </c>
      <c r="L26" s="2955">
        <v>5.38</v>
      </c>
      <c r="M26" s="2955" t="s">
        <v>3163</v>
      </c>
      <c r="N26" s="2955" t="s">
        <v>3109</v>
      </c>
    </row>
    <row r="27" spans="1:14" s="2956" customFormat="1">
      <c r="A27" s="2957" t="s">
        <v>3164</v>
      </c>
      <c r="B27" s="2956" t="s">
        <v>3049</v>
      </c>
      <c r="C27" s="2956" t="s">
        <v>3081</v>
      </c>
      <c r="D27" s="2956">
        <v>66237.2</v>
      </c>
      <c r="E27" s="2956">
        <v>264058.7</v>
      </c>
      <c r="F27" s="2956">
        <v>3.99</v>
      </c>
      <c r="G27" s="2956" t="s">
        <v>3083</v>
      </c>
      <c r="H27" s="2956" t="s">
        <v>3165</v>
      </c>
      <c r="I27" s="2956">
        <v>385000</v>
      </c>
      <c r="J27" s="2956">
        <v>385000</v>
      </c>
      <c r="K27" s="2956">
        <v>14580.09</v>
      </c>
      <c r="L27" s="2956">
        <v>0</v>
      </c>
      <c r="M27" s="2956" t="s">
        <v>3166</v>
      </c>
      <c r="N27" s="2956" t="s">
        <v>3093</v>
      </c>
    </row>
    <row r="28" spans="1:14">
      <c r="A28" s="2955" t="s">
        <v>3167</v>
      </c>
      <c r="B28" s="2955" t="s">
        <v>3049</v>
      </c>
      <c r="C28" s="2955" t="s">
        <v>3081</v>
      </c>
      <c r="D28" s="2955">
        <v>27295.08</v>
      </c>
      <c r="E28" s="2955">
        <v>160000</v>
      </c>
      <c r="F28" s="2955">
        <v>5.8</v>
      </c>
      <c r="G28" s="2955" t="s">
        <v>3083</v>
      </c>
      <c r="H28" s="2955" t="s">
        <v>3168</v>
      </c>
      <c r="I28" s="2955">
        <v>432000</v>
      </c>
      <c r="J28" s="2955">
        <v>434000</v>
      </c>
      <c r="K28" s="2955">
        <v>27125</v>
      </c>
      <c r="L28" s="2955">
        <v>0.46</v>
      </c>
      <c r="M28" s="2955" t="s">
        <v>3169</v>
      </c>
      <c r="N28" s="2955" t="s">
        <v>3086</v>
      </c>
    </row>
    <row r="29" spans="1:14">
      <c r="A29" s="2955" t="s">
        <v>3170</v>
      </c>
      <c r="B29" s="2955" t="s">
        <v>3049</v>
      </c>
      <c r="C29" s="2955" t="s">
        <v>3081</v>
      </c>
      <c r="D29" s="2955">
        <v>35230.230000000003</v>
      </c>
      <c r="E29" s="2955">
        <v>88076</v>
      </c>
      <c r="F29" s="2955">
        <v>2.5</v>
      </c>
      <c r="G29" s="2955" t="s">
        <v>3083</v>
      </c>
      <c r="H29" s="2955" t="s">
        <v>3171</v>
      </c>
      <c r="I29" s="2955">
        <v>62000</v>
      </c>
      <c r="J29" s="2955">
        <v>62000</v>
      </c>
      <c r="K29" s="2955">
        <v>7039.38</v>
      </c>
      <c r="L29" s="2955">
        <v>0</v>
      </c>
      <c r="M29" s="2955" t="s">
        <v>3172</v>
      </c>
      <c r="N29" s="2955" t="s">
        <v>3140</v>
      </c>
    </row>
    <row r="30" spans="1:14">
      <c r="A30" s="2955" t="s">
        <v>3173</v>
      </c>
      <c r="B30" s="2955" t="s">
        <v>3049</v>
      </c>
      <c r="C30" s="2955" t="s">
        <v>3081</v>
      </c>
      <c r="D30" s="2955">
        <v>170200.2</v>
      </c>
      <c r="E30" s="2955">
        <v>255301</v>
      </c>
      <c r="F30" s="2955">
        <v>1.5</v>
      </c>
      <c r="G30" s="2955" t="s">
        <v>3083</v>
      </c>
      <c r="H30" s="2955" t="s">
        <v>3174</v>
      </c>
      <c r="I30" s="2955">
        <v>255000</v>
      </c>
      <c r="J30" s="2955">
        <v>259500</v>
      </c>
      <c r="K30" s="2955">
        <v>10164.459999999999</v>
      </c>
      <c r="L30" s="2955">
        <v>1.76</v>
      </c>
      <c r="M30" s="2955" t="s">
        <v>3175</v>
      </c>
      <c r="N30" s="2955" t="s">
        <v>3109</v>
      </c>
    </row>
    <row r="31" spans="1:14">
      <c r="A31" s="2955" t="s">
        <v>3176</v>
      </c>
      <c r="B31" s="2955" t="s">
        <v>3049</v>
      </c>
      <c r="C31" s="2955" t="s">
        <v>3081</v>
      </c>
      <c r="D31" s="2955">
        <v>120885</v>
      </c>
      <c r="E31" s="2955">
        <v>256512</v>
      </c>
      <c r="F31" s="2955" t="s">
        <v>1326</v>
      </c>
      <c r="G31" s="2955" t="s">
        <v>3083</v>
      </c>
      <c r="H31" s="2955" t="s">
        <v>3174</v>
      </c>
      <c r="I31" s="2955">
        <v>250000</v>
      </c>
      <c r="J31" s="2955">
        <v>250000</v>
      </c>
      <c r="K31" s="2955">
        <v>9746.1200000000008</v>
      </c>
      <c r="L31" s="2955">
        <v>0</v>
      </c>
      <c r="M31" s="2955" t="s">
        <v>3177</v>
      </c>
      <c r="N31" s="2955" t="s">
        <v>3109</v>
      </c>
    </row>
    <row r="32" spans="1:14">
      <c r="A32" s="2955" t="s">
        <v>3178</v>
      </c>
      <c r="B32" s="2955" t="s">
        <v>3049</v>
      </c>
      <c r="C32" s="2955" t="s">
        <v>3081</v>
      </c>
      <c r="D32" s="2955">
        <v>39744.120000000003</v>
      </c>
      <c r="E32" s="2955">
        <v>119232</v>
      </c>
      <c r="F32" s="2955">
        <v>3</v>
      </c>
      <c r="G32" s="2955" t="s">
        <v>3083</v>
      </c>
      <c r="H32" s="2955" t="s">
        <v>3179</v>
      </c>
      <c r="I32" s="2955">
        <v>227000</v>
      </c>
      <c r="J32" s="2955">
        <v>292000</v>
      </c>
      <c r="K32" s="2955">
        <v>24490.06</v>
      </c>
      <c r="L32" s="2955">
        <v>28.63</v>
      </c>
      <c r="M32" s="2955" t="s">
        <v>3180</v>
      </c>
      <c r="N32" s="2955" t="s">
        <v>3086</v>
      </c>
    </row>
    <row r="33" spans="1:14">
      <c r="A33" s="2955" t="s">
        <v>3181</v>
      </c>
      <c r="B33" s="2955" t="s">
        <v>3049</v>
      </c>
      <c r="C33" s="2955" t="s">
        <v>3081</v>
      </c>
      <c r="D33" s="2955">
        <v>92055.95</v>
      </c>
      <c r="E33" s="2955">
        <v>92056</v>
      </c>
      <c r="F33" s="2955">
        <v>1</v>
      </c>
      <c r="G33" s="2955" t="s">
        <v>3098</v>
      </c>
      <c r="H33" s="2955" t="s">
        <v>3182</v>
      </c>
      <c r="I33" s="2955" t="s">
        <v>1326</v>
      </c>
      <c r="J33" s="2955">
        <v>285373.59000000003</v>
      </c>
      <c r="K33" s="2955">
        <v>31000</v>
      </c>
      <c r="L33" s="2955" t="s">
        <v>1326</v>
      </c>
      <c r="M33" s="2955" t="s">
        <v>3183</v>
      </c>
      <c r="N33" s="2955" t="s">
        <v>3093</v>
      </c>
    </row>
    <row r="34" spans="1:14">
      <c r="A34" s="2955" t="s">
        <v>3184</v>
      </c>
      <c r="B34" s="2955" t="s">
        <v>3049</v>
      </c>
      <c r="C34" s="2955" t="s">
        <v>3081</v>
      </c>
      <c r="D34" s="2955">
        <v>18303.330000000002</v>
      </c>
      <c r="E34" s="2955">
        <v>58571</v>
      </c>
      <c r="F34" s="2955">
        <v>3.2</v>
      </c>
      <c r="G34" s="2955" t="s">
        <v>3083</v>
      </c>
      <c r="H34" s="2955" t="s">
        <v>3185</v>
      </c>
      <c r="I34" s="2955">
        <v>79600</v>
      </c>
      <c r="J34" s="2955">
        <v>129000</v>
      </c>
      <c r="K34" s="2955">
        <v>22024.54</v>
      </c>
      <c r="L34" s="2955">
        <v>62.06</v>
      </c>
      <c r="M34" s="2955" t="s">
        <v>3186</v>
      </c>
      <c r="N34" s="2955" t="s">
        <v>3093</v>
      </c>
    </row>
    <row r="35" spans="1:14" s="2967" customFormat="1">
      <c r="A35" s="2967" t="s">
        <v>3187</v>
      </c>
      <c r="B35" s="2967" t="s">
        <v>3049</v>
      </c>
      <c r="C35" s="2967" t="s">
        <v>3081</v>
      </c>
      <c r="D35" s="2967">
        <v>29183.54</v>
      </c>
      <c r="E35" s="2967">
        <v>72959</v>
      </c>
      <c r="F35" s="2967">
        <v>2.5</v>
      </c>
      <c r="G35" s="2967" t="s">
        <v>3083</v>
      </c>
      <c r="H35" s="2967" t="s">
        <v>3188</v>
      </c>
      <c r="I35" s="2967">
        <v>83000</v>
      </c>
      <c r="J35" s="2967">
        <v>106000</v>
      </c>
      <c r="K35" s="2967">
        <v>14528.7</v>
      </c>
      <c r="L35" s="2967">
        <v>27.71</v>
      </c>
      <c r="M35" s="2967" t="s">
        <v>3189</v>
      </c>
      <c r="N35" s="2967" t="s">
        <v>3093</v>
      </c>
    </row>
    <row r="36" spans="1:14">
      <c r="A36" s="2955" t="s">
        <v>3190</v>
      </c>
      <c r="B36" s="2955" t="s">
        <v>3049</v>
      </c>
      <c r="C36" s="2955" t="s">
        <v>3081</v>
      </c>
      <c r="D36" s="2955">
        <v>46165.91</v>
      </c>
      <c r="E36" s="2955">
        <v>92332</v>
      </c>
      <c r="F36" s="2955">
        <v>2</v>
      </c>
      <c r="G36" s="2955" t="s">
        <v>3083</v>
      </c>
      <c r="H36" s="2955" t="s">
        <v>3188</v>
      </c>
      <c r="I36" s="2955">
        <v>176000</v>
      </c>
      <c r="J36" s="2955">
        <v>225000</v>
      </c>
      <c r="K36" s="2955">
        <v>24368.58</v>
      </c>
      <c r="L36" s="2955">
        <v>27.84</v>
      </c>
      <c r="M36" s="2955" t="s">
        <v>3191</v>
      </c>
      <c r="N36" s="2955" t="s">
        <v>3086</v>
      </c>
    </row>
    <row r="37" spans="1:14">
      <c r="A37" s="2955" t="s">
        <v>3192</v>
      </c>
      <c r="B37" s="2955" t="s">
        <v>3049</v>
      </c>
      <c r="C37" s="2955" t="s">
        <v>3081</v>
      </c>
      <c r="D37" s="2955">
        <v>38100</v>
      </c>
      <c r="E37" s="2955">
        <v>76200</v>
      </c>
      <c r="F37" s="2955">
        <v>2</v>
      </c>
      <c r="G37" s="2955" t="s">
        <v>3083</v>
      </c>
      <c r="H37" s="2955" t="s">
        <v>3188</v>
      </c>
      <c r="I37" s="2955">
        <v>145000</v>
      </c>
      <c r="J37" s="2955">
        <v>204000</v>
      </c>
      <c r="K37" s="2955">
        <v>26771.65</v>
      </c>
      <c r="L37" s="2955">
        <v>40.69</v>
      </c>
      <c r="M37" s="2955" t="s">
        <v>3193</v>
      </c>
      <c r="N37" s="2955" t="s">
        <v>3086</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1582</v>
      </c>
      <c r="B1" s="782"/>
      <c r="C1" s="1836" t="s">
        <v>3238</v>
      </c>
      <c r="D1" s="1819" t="s">
        <v>70</v>
      </c>
      <c r="E1" s="1820" t="s">
        <v>1381</v>
      </c>
      <c r="F1" s="1283">
        <f ca="1">J53</f>
        <v>31.6</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f ca="1">C40+J29+L46</f>
        <v>4853</v>
      </c>
      <c r="C2" s="1844" t="s">
        <v>1509</v>
      </c>
      <c r="D2" s="1844"/>
      <c r="E2" s="1845"/>
      <c r="F2" s="1846"/>
      <c r="G2" s="1847"/>
      <c r="H2" s="1839"/>
      <c r="I2" s="1839"/>
      <c r="J2" s="1839"/>
      <c r="K2" s="1840"/>
      <c r="L2" s="1839"/>
      <c r="M2" s="1839"/>
    </row>
    <row r="3" spans="1:37" ht="18" customHeight="1" thickBot="1">
      <c r="A3" s="1848" t="s">
        <v>1510</v>
      </c>
      <c r="B3" s="1849">
        <f ca="1">IF(ISERROR(B2*10000/F43),0,ROUND(B2*10000/F43,0))</f>
        <v>5303</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436</v>
      </c>
      <c r="D5" s="1821" t="s">
        <v>1396</v>
      </c>
      <c r="E5" s="1293"/>
      <c r="F5" s="1294"/>
      <c r="G5" s="1850"/>
      <c r="H5" s="344">
        <v>1</v>
      </c>
      <c r="I5" s="345" t="s">
        <v>1395</v>
      </c>
      <c r="J5" s="1292">
        <f ca="1">J6+J10+J12</f>
        <v>542</v>
      </c>
      <c r="K5" s="1821" t="s">
        <v>1396</v>
      </c>
      <c r="L5" s="1293"/>
      <c r="M5" s="1294"/>
    </row>
    <row r="6" spans="1:37" ht="18" customHeight="1">
      <c r="A6" s="1291" t="s">
        <v>1031</v>
      </c>
      <c r="B6" s="3223" t="s">
        <v>1397</v>
      </c>
      <c r="C6" s="1296">
        <f ca="1">ROUND(F6*F8*F7*(1-F9)/10000,0)</f>
        <v>434</v>
      </c>
      <c r="D6" s="164" t="s">
        <v>3020</v>
      </c>
      <c r="E6" s="347" t="s">
        <v>1399</v>
      </c>
      <c r="F6" s="348">
        <f ca="1">INDIRECT("'数据-取费表'!u"&amp;$G$1)</f>
        <v>1.3</v>
      </c>
      <c r="G6" s="1850"/>
      <c r="H6" s="1291" t="s">
        <v>1031</v>
      </c>
      <c r="I6" s="3223" t="s">
        <v>1397</v>
      </c>
      <c r="J6" s="346">
        <f ca="1">ROUND(M6*M8*M7*(1-M9)/10000,0)</f>
        <v>541</v>
      </c>
      <c r="K6" s="164" t="s">
        <v>3019</v>
      </c>
      <c r="L6" s="347" t="s">
        <v>1399</v>
      </c>
      <c r="M6" s="348">
        <f ca="1">INDIRECT("'数据-取费表'!z"&amp;$G$1)</f>
        <v>1.8</v>
      </c>
    </row>
    <row r="7" spans="1:37" ht="18" customHeight="1">
      <c r="A7" s="1295"/>
      <c r="B7" s="3224"/>
      <c r="C7" s="1297"/>
      <c r="D7" s="352"/>
      <c r="E7" s="1298" t="s">
        <v>1400</v>
      </c>
      <c r="F7" s="348">
        <f ca="1">IF(INDIRECT("'数据-取费表'!ah"&amp;$G$1)="",INDIRECT("'数据-取费表'!k"&amp;$G$1),INDIRECT("'数据-取费表'!ah"&amp;$G$1))</f>
        <v>9152.0400000000009</v>
      </c>
      <c r="G7" s="1850"/>
      <c r="H7" s="349"/>
      <c r="I7" s="3224"/>
      <c r="J7" s="351"/>
      <c r="K7" s="352"/>
      <c r="L7" s="347" t="s">
        <v>1400</v>
      </c>
      <c r="M7" s="348">
        <f ca="1">F7</f>
        <v>9152.0400000000009</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v>
      </c>
      <c r="G9" s="1850"/>
      <c r="H9" s="349"/>
      <c r="I9" s="3225"/>
      <c r="J9" s="351"/>
      <c r="K9" s="352"/>
      <c r="L9" s="358" t="s">
        <v>1402</v>
      </c>
      <c r="M9" s="359">
        <f ca="1">INDIRECT("'数据-取费表'!ab"&amp;$G$1)</f>
        <v>0.1</v>
      </c>
    </row>
    <row r="10" spans="1:37" ht="18" customHeight="1">
      <c r="A10" s="1291" t="s">
        <v>1035</v>
      </c>
      <c r="B10" s="1822" t="s">
        <v>1403</v>
      </c>
      <c r="C10" s="361">
        <f ca="1">ROUND(IF(F10="押一",C6/12*F11,IF(F10="押二",C6/12*2*F11,IF(F10="押三",C6/12*3*F11,C11*F11))),0)</f>
        <v>2</v>
      </c>
      <c r="D10" s="1823" t="s">
        <v>3029</v>
      </c>
      <c r="E10" s="358" t="s">
        <v>1404</v>
      </c>
      <c r="F10" s="1366" t="s">
        <v>3256</v>
      </c>
      <c r="G10" s="1850"/>
      <c r="H10" s="1291" t="s">
        <v>1035</v>
      </c>
      <c r="I10" s="1822" t="s">
        <v>1403</v>
      </c>
      <c r="J10" s="346">
        <f ca="1">ROUND(IF(M10="押一",J6/12*M11,IF(M10="押二",J6/12*2*M11,IF(M10="押三",J6/12*3*M11,J11*M11))),0)</f>
        <v>1</v>
      </c>
      <c r="K10" s="1823" t="s">
        <v>3028</v>
      </c>
      <c r="L10" s="358" t="s">
        <v>1404</v>
      </c>
      <c r="M10" s="1366" t="s">
        <v>3257</v>
      </c>
    </row>
    <row r="11" spans="1:37" ht="18" customHeight="1">
      <c r="A11" s="353"/>
      <c r="B11" s="1824" t="s">
        <v>1382</v>
      </c>
      <c r="C11" s="1178">
        <v>106.06</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3973</v>
      </c>
      <c r="D13" s="1331" t="s">
        <v>1408</v>
      </c>
      <c r="E13" s="1331" t="s">
        <v>1409</v>
      </c>
      <c r="F13" s="1332">
        <f ca="1">INDIRECT("'数据-取费表'!y"&amp;$G$1)</f>
        <v>0.9</v>
      </c>
      <c r="G13" s="1850"/>
      <c r="H13" s="1329">
        <v>2</v>
      </c>
      <c r="I13" s="1330" t="s">
        <v>1407</v>
      </c>
      <c r="J13" s="1290">
        <f ca="1">ROUND(J14*J15,0)</f>
        <v>3002</v>
      </c>
      <c r="K13" s="1337" t="s">
        <v>1408</v>
      </c>
      <c r="L13" s="1851"/>
      <c r="M13" s="1852"/>
    </row>
    <row r="14" spans="1:37" ht="18" customHeight="1">
      <c r="A14" s="1201" t="s">
        <v>1030</v>
      </c>
      <c r="B14" s="347" t="s">
        <v>1410</v>
      </c>
      <c r="C14" s="363">
        <f ca="1">INDIRECT("'数据-取费表'!m"&amp;$G$1)+INDIRECT("'数据-取费表'!t"&amp;$G$1)</f>
        <v>3203</v>
      </c>
      <c r="D14" s="1799" t="s">
        <v>1411</v>
      </c>
      <c r="E14" s="1793"/>
      <c r="F14" s="364"/>
      <c r="G14" s="1850"/>
      <c r="H14" s="1201" t="s">
        <v>1031</v>
      </c>
      <c r="I14" s="347" t="s">
        <v>1412</v>
      </c>
      <c r="J14" s="24">
        <f ca="1">C29</f>
        <v>4414</v>
      </c>
      <c r="K14" s="15"/>
      <c r="L14" s="979"/>
      <c r="M14" s="980"/>
    </row>
    <row r="15" spans="1:37" s="1857" customFormat="1" ht="18" customHeight="1" thickBot="1">
      <c r="A15" s="1201" t="s">
        <v>1032</v>
      </c>
      <c r="B15" s="347" t="s">
        <v>1413</v>
      </c>
      <c r="C15" s="24">
        <f ca="1">ROUND(C14*F15,0)</f>
        <v>96</v>
      </c>
      <c r="D15" s="365" t="s">
        <v>1414</v>
      </c>
      <c r="E15" s="365" t="s">
        <v>1415</v>
      </c>
      <c r="F15" s="366">
        <f>'数据-取费表'!B33</f>
        <v>0.03</v>
      </c>
      <c r="G15" s="1853"/>
      <c r="H15" s="1339" t="s">
        <v>1035</v>
      </c>
      <c r="I15" s="1340" t="s">
        <v>1409</v>
      </c>
      <c r="J15" s="1349">
        <f ca="1">INDIRECT("'数据-取费表'!ad"&amp;$G$1)</f>
        <v>0.68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0"/>
      <c r="H16" s="1329" t="s">
        <v>1026</v>
      </c>
      <c r="I16" s="1330" t="s">
        <v>1417</v>
      </c>
      <c r="J16" s="355">
        <f ca="1">ROUND(J17+J22+J23+J24,0)</f>
        <v>147</v>
      </c>
      <c r="K16" s="1337" t="s">
        <v>1418</v>
      </c>
      <c r="L16" s="1338"/>
      <c r="M16" s="1294"/>
    </row>
    <row r="17" spans="1:37" s="1857" customFormat="1" ht="18" customHeight="1">
      <c r="A17" s="1201" t="s">
        <v>1384</v>
      </c>
      <c r="B17" s="347" t="s">
        <v>1419</v>
      </c>
      <c r="C17" s="24">
        <f ca="1">ROUND(F17*(F43+INDIRECT("'数据-取费表'!S"&amp;$G$1))/10000,0)</f>
        <v>183</v>
      </c>
      <c r="D17" s="347" t="s">
        <v>1420</v>
      </c>
      <c r="E17" s="347" t="s">
        <v>1421</v>
      </c>
      <c r="F17" s="26">
        <f>'数据-取费表'!B35</f>
        <v>200</v>
      </c>
      <c r="G17" s="1853"/>
      <c r="H17" s="1201" t="s">
        <v>1031</v>
      </c>
      <c r="I17" s="347" t="s">
        <v>1422</v>
      </c>
      <c r="J17" s="24">
        <f ca="1">ROUND(IF(项目基本情况!B11="自然人",J6*M17/(1+'数据-取费表'!C42),J18+J19+J20),1)</f>
        <v>90.2</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48</v>
      </c>
      <c r="D18" s="347" t="s">
        <v>1414</v>
      </c>
      <c r="E18" s="347" t="s">
        <v>1415</v>
      </c>
      <c r="F18" s="367">
        <f>'数据-取费表'!B36</f>
        <v>1.4999999999999999E-2</v>
      </c>
      <c r="G18" s="1853"/>
      <c r="H18" s="1201" t="s">
        <v>1030</v>
      </c>
      <c r="I18" s="347" t="s">
        <v>1426</v>
      </c>
      <c r="J18" s="24">
        <f ca="1">ROUND(J6*M18/(1+'数据-取费表'!C42),2)</f>
        <v>28.34</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3530</v>
      </c>
      <c r="D19" s="140" t="s">
        <v>1429</v>
      </c>
      <c r="E19" s="1817"/>
      <c r="F19" s="26"/>
      <c r="G19" s="1850"/>
      <c r="H19" s="1201" t="s">
        <v>1032</v>
      </c>
      <c r="I19" s="347" t="s">
        <v>1430</v>
      </c>
      <c r="J19" s="24">
        <f ca="1">IF(K19="按租金收入计税",ROUND(J6*M19/(1+'数据-取费表'!C42),2),ROUND(C29*M19*0.7,2))</f>
        <v>61.83</v>
      </c>
      <c r="K19" s="1827" t="s">
        <v>3059</v>
      </c>
      <c r="L19" s="347" t="s">
        <v>1415</v>
      </c>
      <c r="M19" s="367">
        <f>IF(K19="按租金收入计税",'数据-取费表'!B51,'数据-取费表'!B50)</f>
        <v>0.12</v>
      </c>
    </row>
    <row r="20" spans="1:37" s="1857" customFormat="1" ht="18" customHeight="1">
      <c r="A20" s="1201" t="s">
        <v>1035</v>
      </c>
      <c r="B20" s="347" t="s">
        <v>1432</v>
      </c>
      <c r="C20" s="24">
        <f ca="1">ROUND(C19*F20,0)</f>
        <v>71</v>
      </c>
      <c r="D20" s="369" t="s">
        <v>1433</v>
      </c>
      <c r="E20" s="347" t="s">
        <v>1415</v>
      </c>
      <c r="F20" s="367">
        <f>'数据-取费表'!B37</f>
        <v>0.02</v>
      </c>
      <c r="G20" s="1853"/>
      <c r="H20" s="1201" t="s">
        <v>1383</v>
      </c>
      <c r="I20" s="164" t="s">
        <v>1434</v>
      </c>
      <c r="J20" s="25">
        <f ca="1">ROUND(M20*M21/10000,2)</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0.01</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ROUND(J14*M22,1)</f>
        <v>44.1</v>
      </c>
      <c r="K22" s="1797" t="s">
        <v>1443</v>
      </c>
      <c r="L22" s="347" t="s">
        <v>1415</v>
      </c>
      <c r="M22" s="374">
        <f ca="1">INDIRECT("'数据-取费表'!Ak"&amp;$G$1)</f>
        <v>0.01</v>
      </c>
    </row>
    <row r="23" spans="1:37" s="1857" customFormat="1" ht="18" customHeight="1">
      <c r="A23" s="1201" t="s">
        <v>1030</v>
      </c>
      <c r="B23" s="347" t="s">
        <v>1444</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ROUND(J13*M23,1)</f>
        <v>4.5</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5.0000000000000001E-4</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ROUND(J5*M24,1)</f>
        <v>8.1</v>
      </c>
      <c r="K24" s="1342" t="s">
        <v>1452</v>
      </c>
      <c r="L24" s="1340" t="s">
        <v>1448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f ca="1">J5-J16</f>
        <v>395</v>
      </c>
      <c r="K25" s="1345" t="s">
        <v>1457</v>
      </c>
      <c r="L25" s="1346"/>
      <c r="M25" s="1347"/>
    </row>
    <row r="26" spans="1:37">
      <c r="A26" s="1201" t="s">
        <v>1030</v>
      </c>
      <c r="B26" s="347" t="s">
        <v>1458</v>
      </c>
      <c r="C26" s="24">
        <f ca="1">ROUND((C19+C20)*F26,0)</f>
        <v>360</v>
      </c>
      <c r="D26" s="369" t="s">
        <v>1459</v>
      </c>
      <c r="E26" s="358" t="s">
        <v>1460</v>
      </c>
      <c r="F26" s="357">
        <f ca="1">INDIRECT("'数据-取费表'!q"&amp;$G$1)</f>
        <v>0.1</v>
      </c>
      <c r="G26" s="1850"/>
      <c r="H26" s="344" t="s">
        <v>1028</v>
      </c>
      <c r="I26" s="345" t="s">
        <v>1461</v>
      </c>
      <c r="J26" s="346">
        <f ca="1">IF(J5&lt;&gt;0,ROUND(J25*(1-((1+M28)/(1+M26))^M27)/(M26-M28),0),0)</f>
        <v>4213</v>
      </c>
      <c r="K26" s="370" t="s">
        <v>1462</v>
      </c>
      <c r="L26" s="347" t="s">
        <v>1463</v>
      </c>
      <c r="M26" s="357">
        <f ca="1">INDIRECT("'数据-取费表'!I"&amp;$G$1)</f>
        <v>0.06</v>
      </c>
    </row>
    <row r="27" spans="1:37" ht="18" customHeight="1">
      <c r="A27" s="1201" t="s">
        <v>1032</v>
      </c>
      <c r="B27" s="347" t="s">
        <v>1464</v>
      </c>
      <c r="C27" s="24">
        <f ca="1">ROUND(F21*F26,4)</f>
        <v>1E-3</v>
      </c>
      <c r="D27" s="369" t="s">
        <v>1465</v>
      </c>
      <c r="E27" s="365"/>
      <c r="F27" s="366"/>
      <c r="G27" s="1850"/>
      <c r="H27" s="349"/>
      <c r="I27" s="350"/>
      <c r="J27" s="351"/>
      <c r="K27" s="378" t="s">
        <v>1466</v>
      </c>
      <c r="L27" s="347" t="s">
        <v>1467</v>
      </c>
      <c r="M27" s="379">
        <f ca="1">INDIRECT("'数据-取费表'!ag"&amp;$G$1)</f>
        <v>17.53</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4414</v>
      </c>
      <c r="D29" s="1342"/>
      <c r="E29" s="1340"/>
      <c r="F29" s="1343"/>
      <c r="G29" s="1853"/>
      <c r="H29" s="380" t="s">
        <v>1029</v>
      </c>
      <c r="I29" s="381" t="s">
        <v>1472</v>
      </c>
      <c r="J29" s="382">
        <f ca="1">ROUND(J26/(1+F40)^F41,0)</f>
        <v>1856</v>
      </c>
      <c r="K29" s="383" t="s">
        <v>1473</v>
      </c>
      <c r="L29" s="384"/>
      <c r="M29" s="385">
        <f ca="1">INDIRECT("'数据-取费表'!k"&amp;$G$1)</f>
        <v>9152.0400000000009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129</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ROUND(IF(项目基本情况!B11="自然人",C6*F31/(1+'数据-取费表'!C42),C32+C33+C34),1)</f>
        <v>72.3</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IF(项目基本情况!B11="自然人","——",ROUND(C6*F32/(1+'数据-取费表'!C42),2))</f>
        <v>22.73</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49.6</v>
      </c>
      <c r="D33" s="1827" t="s">
        <v>3059</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IF(项目基本情况!B11="自然人","——",ROUND(F34*F35/10000,2))</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ROUND(C29*F36,1)</f>
        <v>44.1</v>
      </c>
      <c r="D36" s="1797" t="s">
        <v>1475</v>
      </c>
      <c r="E36" s="347" t="s">
        <v>1415</v>
      </c>
      <c r="F36" s="374">
        <f ca="1">INDIRECT("'数据-取费表'!Ak"&amp;$G$1)</f>
        <v>0.01</v>
      </c>
      <c r="G36" s="1850"/>
      <c r="H36" s="1858"/>
      <c r="I36" s="1859"/>
      <c r="J36" s="1860"/>
      <c r="K36" s="751"/>
      <c r="L36" s="1858"/>
      <c r="M36" s="1858"/>
    </row>
    <row r="37" spans="1:18" ht="18" customHeight="1">
      <c r="A37" s="1201" t="s">
        <v>1071</v>
      </c>
      <c r="B37" s="347" t="s">
        <v>1446</v>
      </c>
      <c r="C37" s="24">
        <f ca="1">ROUND(C13*F37,1)</f>
        <v>6</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6.5</v>
      </c>
      <c r="D38" s="1342" t="s">
        <v>1452</v>
      </c>
      <c r="E38" s="1340" t="s">
        <v>1448</v>
      </c>
      <c r="F38" s="1336">
        <f ca="1">INDIRECT("'数据-取费表'!Am"&amp;$G$1)</f>
        <v>1.4999999999999999E-2</v>
      </c>
      <c r="G38" s="1850"/>
      <c r="H38" s="1858"/>
      <c r="I38" s="1859"/>
      <c r="J38" s="1860"/>
      <c r="K38" s="1864"/>
      <c r="L38" s="1858"/>
      <c r="M38" s="1858"/>
    </row>
    <row r="39" spans="1:18" ht="24.6" customHeight="1" thickTop="1">
      <c r="A39" s="1329" t="s">
        <v>1027</v>
      </c>
      <c r="B39" s="1344" t="s">
        <v>1476</v>
      </c>
      <c r="C39" s="355">
        <f ca="1">C5-C30</f>
        <v>307</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2863</v>
      </c>
      <c r="D40" s="370" t="s">
        <v>1462</v>
      </c>
      <c r="E40" s="347" t="s">
        <v>1463</v>
      </c>
      <c r="F40" s="357">
        <f ca="1">INDIRECT("'数据-取费表'!I"&amp;$G$1)</f>
        <v>0.06</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14.07</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f ca="1">ROUND(C40*10000/F43,0)</f>
        <v>3128</v>
      </c>
      <c r="D43" s="383" t="s">
        <v>1481</v>
      </c>
      <c r="E43" s="384" t="s">
        <v>1482</v>
      </c>
      <c r="F43" s="385">
        <f ca="1">INDIRECT("'数据-取费表'!k"&amp;$G$1)</f>
        <v>9152.0400000000009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8" thickBot="1">
      <c r="A46" s="1869" t="s">
        <v>1513</v>
      </c>
      <c r="C46" s="1870">
        <f ca="1">C68-C40</f>
        <v>-364</v>
      </c>
      <c r="D46" s="1871" t="str">
        <f>C2</f>
        <v>万元</v>
      </c>
      <c r="E46" s="1865"/>
      <c r="F46" s="1865"/>
      <c r="I46" s="1872" t="s">
        <v>1514</v>
      </c>
      <c r="J46" s="1873"/>
      <c r="K46" s="1874"/>
      <c r="L46" s="1875">
        <f ca="1">IF(M47="住宅",0,IF(L48&gt;J51,L60,J60))</f>
        <v>134</v>
      </c>
      <c r="O46" s="1876" t="s">
        <v>1515</v>
      </c>
      <c r="P46" s="1877" t="s">
        <v>1516</v>
      </c>
      <c r="Q46" s="1878" t="s">
        <v>1517</v>
      </c>
      <c r="R46" s="1878" t="s">
        <v>1518</v>
      </c>
    </row>
    <row r="47" spans="1:18" s="1841" customFormat="1" ht="13.8" thickBot="1">
      <c r="A47" s="1165" t="s">
        <v>1390</v>
      </c>
      <c r="B47" s="1197" t="s">
        <v>1391</v>
      </c>
      <c r="C47" s="1367" t="s">
        <v>1392</v>
      </c>
      <c r="D47" s="1197" t="s">
        <v>1393</v>
      </c>
      <c r="E47" s="1279" t="s">
        <v>1394</v>
      </c>
      <c r="F47" s="1280"/>
      <c r="G47" s="792"/>
      <c r="I47" s="1879" t="s">
        <v>1519</v>
      </c>
      <c r="J47" s="1880" t="s">
        <v>3060</v>
      </c>
      <c r="K47" s="1881" t="s">
        <v>1520</v>
      </c>
      <c r="L47" s="1882">
        <f ca="1">INDIRECT("'数据-取费表'!d"&amp;$G$1)</f>
        <v>40</v>
      </c>
      <c r="M47" s="1837" t="str">
        <f>IF(ISNUMBER(FIND("住宅",C1)),"住宅","非住宅")</f>
        <v>非住宅</v>
      </c>
      <c r="O47" s="1883" t="s">
        <v>1036</v>
      </c>
      <c r="P47" s="1884" t="s">
        <v>1521</v>
      </c>
      <c r="Q47" s="1885">
        <f ca="1">C40+J29</f>
        <v>4719</v>
      </c>
      <c r="R47" s="1885" t="s">
        <v>1522</v>
      </c>
    </row>
    <row r="48" spans="1:18" s="1841" customFormat="1" ht="40.200000000000003" thickBot="1">
      <c r="A48" s="1360" t="s">
        <v>1131</v>
      </c>
      <c r="B48" s="345" t="s">
        <v>1395</v>
      </c>
      <c r="C48" s="1816">
        <f ca="1">C49+C53+C55</f>
        <v>392</v>
      </c>
      <c r="D48" s="1362"/>
      <c r="E48" s="1363"/>
      <c r="F48" s="1181"/>
      <c r="G48" s="792"/>
      <c r="H48" s="793"/>
      <c r="I48" s="1886" t="s">
        <v>1523</v>
      </c>
      <c r="J48" s="1887" t="s">
        <v>3061</v>
      </c>
      <c r="K48" s="1888" t="s">
        <v>1524</v>
      </c>
      <c r="L48" s="1889">
        <f ca="1">INDIRECT("'数据-取费表'!f"&amp;$G$1)</f>
        <v>31.6</v>
      </c>
      <c r="O48" s="1883" t="s">
        <v>1037</v>
      </c>
      <c r="P48" s="1884" t="s">
        <v>1525</v>
      </c>
      <c r="Q48" s="1885">
        <f ca="1">J60</f>
        <v>134</v>
      </c>
      <c r="R48" s="1885" t="s">
        <v>1526</v>
      </c>
    </row>
    <row r="49" spans="1:18" s="1841" customFormat="1" ht="13.8" thickBot="1">
      <c r="A49" s="1194" t="s">
        <v>1132</v>
      </c>
      <c r="B49" s="1828" t="s">
        <v>1483</v>
      </c>
      <c r="C49" s="1364">
        <f ca="1">ROUND(F49*F51*F50*(1-F52)/10000,0)</f>
        <v>391</v>
      </c>
      <c r="D49" s="1276" t="s">
        <v>3021</v>
      </c>
      <c r="E49" s="1829" t="s">
        <v>1484</v>
      </c>
      <c r="F49" s="1281">
        <v>1.3</v>
      </c>
      <c r="G49" s="1890"/>
      <c r="H49" s="793"/>
      <c r="I49" s="1886" t="s">
        <v>1527</v>
      </c>
      <c r="J49" s="1891">
        <v>2014</v>
      </c>
      <c r="K49" s="1888" t="s">
        <v>1528</v>
      </c>
      <c r="L49" s="1892"/>
      <c r="O49" s="1893" t="s">
        <v>1038</v>
      </c>
      <c r="P49" s="1884" t="s">
        <v>1529</v>
      </c>
      <c r="Q49" s="1885">
        <f ca="1">C29</f>
        <v>4414</v>
      </c>
      <c r="R49" s="1885" t="s">
        <v>1522</v>
      </c>
    </row>
    <row r="50" spans="1:18" s="1841" customFormat="1" ht="13.8" thickBot="1">
      <c r="A50" s="1195"/>
      <c r="B50" s="1198"/>
      <c r="C50" s="1368"/>
      <c r="D50" s="1172"/>
      <c r="E50" s="1277" t="s">
        <v>1400</v>
      </c>
      <c r="F50" s="1278">
        <f ca="1">F7</f>
        <v>9152.0400000000009</v>
      </c>
      <c r="H50" s="793"/>
      <c r="I50" s="1886" t="s">
        <v>1530</v>
      </c>
      <c r="J50" s="1894">
        <f>SUMPRODUCT((I63:I65=J47)*(J62:L62=J48)*(J63:L65))</f>
        <v>60</v>
      </c>
      <c r="K50" s="1888" t="s">
        <v>1531</v>
      </c>
      <c r="L50" s="1892"/>
      <c r="M50" s="1895"/>
      <c r="O50" s="1893" t="s">
        <v>1039</v>
      </c>
      <c r="P50" s="1884" t="s">
        <v>1532</v>
      </c>
      <c r="Q50" s="1896">
        <f ca="1">J58</f>
        <v>0.4</v>
      </c>
      <c r="R50" s="1885"/>
    </row>
    <row r="51" spans="1:18" s="1841" customFormat="1" ht="13.8" thickBot="1">
      <c r="A51" s="1196"/>
      <c r="B51" s="1198"/>
      <c r="C51" s="1199"/>
      <c r="D51" s="1172"/>
      <c r="E51" s="1200" t="s">
        <v>1401</v>
      </c>
      <c r="F51" s="348">
        <f ca="1">F8</f>
        <v>365</v>
      </c>
      <c r="I51" s="1897" t="s">
        <v>1533</v>
      </c>
      <c r="J51" s="1898">
        <f>IF(J49="",J50,J49+J50-YEAR('数据-取费表'!B2))</f>
        <v>54</v>
      </c>
      <c r="K51" s="1899" t="s">
        <v>1534</v>
      </c>
      <c r="L51" s="1900">
        <f ca="1">ROUND(-PV(INDIRECT("'数据-取费表'!h"&amp;$G$1),L48,(C39-C13*C76),0),0)</f>
        <v>-161</v>
      </c>
      <c r="M51" s="1901"/>
      <c r="O51" s="1893" t="s">
        <v>1040</v>
      </c>
      <c r="P51" s="1884" t="s">
        <v>1535</v>
      </c>
      <c r="Q51" s="1896">
        <f>J52</f>
        <v>8.5000000000000006E-2</v>
      </c>
      <c r="R51" s="1885"/>
    </row>
    <row r="52" spans="1:18" s="1841" customFormat="1" ht="13.8" thickBot="1">
      <c r="A52" s="1196"/>
      <c r="B52" s="1198"/>
      <c r="C52" s="1199"/>
      <c r="D52" s="1172"/>
      <c r="E52" s="1200" t="s">
        <v>1402</v>
      </c>
      <c r="F52" s="1275">
        <v>0.1</v>
      </c>
      <c r="I52" s="1902" t="s">
        <v>1536</v>
      </c>
      <c r="J52" s="1903">
        <v>8.5000000000000006E-2</v>
      </c>
      <c r="K52" s="1902" t="s">
        <v>1537</v>
      </c>
      <c r="L52" s="1903"/>
      <c r="O52" s="1893" t="s">
        <v>1041</v>
      </c>
      <c r="P52" s="1884" t="s">
        <v>1538</v>
      </c>
      <c r="Q52" s="1885">
        <f ca="1">J53</f>
        <v>31.6</v>
      </c>
      <c r="R52" s="1885" t="s">
        <v>1539</v>
      </c>
    </row>
    <row r="53" spans="1:18" s="1841" customFormat="1" ht="36.6" thickBot="1">
      <c r="A53" s="1405" t="s">
        <v>1133</v>
      </c>
      <c r="B53" s="1830" t="s">
        <v>1403</v>
      </c>
      <c r="C53" s="361">
        <f ca="1">ROUND(IF(F53="押一",C49/12*F11,IF(F53="押二",C49/12*2*F11,IF(F53="押三",C49/12*3*F11,C54*F11))),0)</f>
        <v>1</v>
      </c>
      <c r="D53" s="1823" t="s">
        <v>3028</v>
      </c>
      <c r="E53" s="358" t="s">
        <v>1404</v>
      </c>
      <c r="F53" s="1366" t="s">
        <v>3253</v>
      </c>
      <c r="I53" s="1904" t="s">
        <v>1540</v>
      </c>
      <c r="J53" s="2948">
        <f ca="1">IF(M47="住宅",IF(D1="——",MAX(J51,L48),MAX(J51,L48-'数据-取费表'!B24)),IF(D1="——",MIN(J51,L48),MIN(J51,L48-'数据-取费表'!B24)))</f>
        <v>31.6</v>
      </c>
      <c r="K53" s="3221" t="s">
        <v>1541</v>
      </c>
      <c r="L53" s="3222"/>
      <c r="O53" s="1883" t="s">
        <v>1042</v>
      </c>
      <c r="P53" s="1884" t="s">
        <v>1542</v>
      </c>
      <c r="Q53" s="1885">
        <f ca="1">Q47+Q48</f>
        <v>4853</v>
      </c>
      <c r="R53" s="1885" t="s">
        <v>1043</v>
      </c>
    </row>
    <row r="54" spans="1:18" s="1841" customFormat="1" ht="24.6"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8" thickBot="1">
      <c r="A55" s="1333" t="s">
        <v>1071</v>
      </c>
      <c r="B55" s="1826" t="s">
        <v>1406</v>
      </c>
      <c r="C55" s="1334"/>
      <c r="D55" s="1823"/>
      <c r="E55" s="1831"/>
      <c r="F55" s="1905"/>
      <c r="I55" s="1908" t="s">
        <v>1544</v>
      </c>
      <c r="J55" s="1909">
        <f ca="1">ROUND(IF(J47="钢混",J57/J50,1-(1-2%)*(J50-J57)/J50),3)</f>
        <v>0.373</v>
      </c>
      <c r="K55" s="1910" t="s">
        <v>1545</v>
      </c>
      <c r="L55" s="1911" t="s">
        <v>1546</v>
      </c>
      <c r="O55" s="1876" t="s">
        <v>1515</v>
      </c>
      <c r="P55" s="1877" t="s">
        <v>1516</v>
      </c>
      <c r="Q55" s="1878" t="s">
        <v>1517</v>
      </c>
      <c r="R55" s="1878" t="s">
        <v>1518</v>
      </c>
    </row>
    <row r="56" spans="1:18" s="1841" customFormat="1" ht="37.200000000000003" thickTop="1" thickBot="1">
      <c r="A56" s="1176">
        <v>2</v>
      </c>
      <c r="B56" s="1177" t="s">
        <v>1407</v>
      </c>
      <c r="C56" s="276">
        <f ca="1">C13</f>
        <v>3973</v>
      </c>
      <c r="D56" s="1912"/>
      <c r="E56" s="1913"/>
      <c r="F56" s="1905"/>
      <c r="I56" s="1914" t="s">
        <v>1547</v>
      </c>
      <c r="J56" s="1915" t="s">
        <v>3062</v>
      </c>
      <c r="K56" s="1886" t="s">
        <v>1548</v>
      </c>
      <c r="L56" s="1889" t="str">
        <f ca="1">IF(L48&lt;J51,"——",L48-J53)</f>
        <v>——</v>
      </c>
      <c r="O56" s="1883" t="s">
        <v>1036</v>
      </c>
      <c r="P56" s="1884" t="s">
        <v>1521</v>
      </c>
      <c r="Q56" s="1885">
        <f ca="1">C40+J29</f>
        <v>4719</v>
      </c>
      <c r="R56" s="1885" t="s">
        <v>1522</v>
      </c>
    </row>
    <row r="57" spans="1:18" s="1841" customFormat="1" ht="24.6" thickBot="1">
      <c r="A57" s="1916"/>
      <c r="B57" s="1169" t="s">
        <v>1471</v>
      </c>
      <c r="C57" s="282">
        <f ca="1">C29</f>
        <v>4414</v>
      </c>
      <c r="D57" s="1917"/>
      <c r="E57" s="1918"/>
      <c r="F57" s="1919"/>
      <c r="I57" s="1920" t="s">
        <v>1549</v>
      </c>
      <c r="J57" s="1921">
        <f ca="1">IF(OR(M47="住宅",J51&lt;L48,J56="是"),"——",J51-L48)</f>
        <v>22.4</v>
      </c>
      <c r="K57" s="1886" t="s">
        <v>1550</v>
      </c>
      <c r="L57" s="1889" t="str">
        <f ca="1">IF(L48&lt;J51,"——",IF(L55="比较法",L49,IF(L55="基准地价",L50,L51)))</f>
        <v>——</v>
      </c>
      <c r="O57" s="1883" t="s">
        <v>1037</v>
      </c>
      <c r="P57" s="1884" t="s">
        <v>1551</v>
      </c>
      <c r="Q57" s="1885">
        <f ca="1">L60</f>
        <v>0</v>
      </c>
      <c r="R57" s="1885" t="s">
        <v>1552</v>
      </c>
    </row>
    <row r="58" spans="1:18" s="1841" customFormat="1" ht="24.6" thickBot="1">
      <c r="A58" s="360" t="s">
        <v>1026</v>
      </c>
      <c r="B58" s="1177" t="s">
        <v>1417</v>
      </c>
      <c r="C58" s="361">
        <f ca="1">ROUND(C59+C64+C65+C66,0)</f>
        <v>124</v>
      </c>
      <c r="D58" s="1179" t="s">
        <v>1418</v>
      </c>
      <c r="E58" s="1180"/>
      <c r="F58" s="1181"/>
      <c r="I58" s="1920" t="s">
        <v>1553</v>
      </c>
      <c r="J58" s="1922">
        <f ca="1">IF(J55&lt;0.4,0.4,J55)</f>
        <v>0.4</v>
      </c>
      <c r="K58" s="1899" t="s">
        <v>1554</v>
      </c>
      <c r="L58" s="1889" t="e">
        <f ca="1">ROUND(POWER(1+L52,L47-L48)*(POWER(1+L52,L48)-1)/(POWER(1+L52,L47)-1),4)</f>
        <v>#DIV/0!</v>
      </c>
      <c r="O58" s="1893" t="s">
        <v>1038</v>
      </c>
      <c r="P58" s="1884" t="s">
        <v>1555</v>
      </c>
      <c r="Q58" s="1885">
        <f>IF(L55="比较法",L49,IF(L55="基准地价",L50,0))</f>
        <v>0</v>
      </c>
      <c r="R58" s="1885" t="s">
        <v>1522</v>
      </c>
    </row>
    <row r="59" spans="1:18" s="1841" customFormat="1" ht="24.6" thickBot="1">
      <c r="A59" s="1201" t="s">
        <v>1031</v>
      </c>
      <c r="B59" s="1169" t="s">
        <v>1422</v>
      </c>
      <c r="C59" s="24">
        <f ca="1">ROUND(IF(项目基本情况!B11="自然人",C48*F59,C60+C61+C62),1)</f>
        <v>67.599999999999994</v>
      </c>
      <c r="D59" s="1182" t="s">
        <v>1423</v>
      </c>
      <c r="E59" s="1183" t="s">
        <v>1424</v>
      </c>
      <c r="F59" s="368" t="str">
        <f ca="1">IF(项目基本情况!B11="企业","",IF(INDIRECT("'数据-取费表'!c"&amp;$G$1)="住宅",5%,IF(F49*F50*F51/12/(1+'数据-取费表'!C42)&gt;20000,12%,7%)))</f>
        <v/>
      </c>
      <c r="I59" s="1920" t="s">
        <v>1556</v>
      </c>
      <c r="J59" s="1921">
        <f ca="1">IF(OR(M47="住宅",J51&lt;L48,J56="是"),"——",ROUND(C29*J58,0))</f>
        <v>1766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1557</v>
      </c>
      <c r="Q59" s="1896">
        <f>L52</f>
        <v>0</v>
      </c>
      <c r="R59" s="1885"/>
    </row>
    <row r="60" spans="1:18" s="1841" customFormat="1" ht="16.2" thickBot="1">
      <c r="A60" s="1201" t="s">
        <v>1030</v>
      </c>
      <c r="B60" s="1169" t="s">
        <v>1426</v>
      </c>
      <c r="C60" s="24">
        <f ca="1">IF(项目基本情况!B11="自然人","——",ROUND(C48*F60/(1+'数据-取费表'!C42),2))</f>
        <v>20.53</v>
      </c>
      <c r="D60" s="1183" t="s">
        <v>1427</v>
      </c>
      <c r="E60" s="1169" t="s">
        <v>1415</v>
      </c>
      <c r="F60" s="377">
        <f t="shared" ref="F60:F66" si="0">F32</f>
        <v>5.5000000000000007E-2</v>
      </c>
      <c r="I60" s="1923" t="s">
        <v>1558</v>
      </c>
      <c r="J60" s="1924">
        <f ca="1">IF(OR(M47="住宅",J51&lt;L48,J56="是"),"0",ROUND(J59/(1+J52)^J53,0))</f>
        <v>134</v>
      </c>
      <c r="K60" s="1925" t="s">
        <v>1559</v>
      </c>
      <c r="L60" s="1924">
        <f ca="1">IF(OR(M47="住宅",L48&lt;J51),0,ROUND(L57*(L58/L59-1),0))</f>
        <v>0</v>
      </c>
      <c r="O60" s="1893" t="s">
        <v>1040</v>
      </c>
      <c r="P60" s="1884" t="s">
        <v>1560</v>
      </c>
      <c r="Q60" s="1885" t="e">
        <f ca="1">L58</f>
        <v>#DIV/0!</v>
      </c>
      <c r="R60" s="1885" t="s">
        <v>1561</v>
      </c>
    </row>
    <row r="61" spans="1:18" s="1841" customFormat="1" ht="13.8" thickBot="1">
      <c r="A61" s="1201" t="s">
        <v>1485</v>
      </c>
      <c r="B61" s="1169" t="s">
        <v>1486</v>
      </c>
      <c r="C61" s="24">
        <f ca="1">IF(项目基本情况!B11="自然人","——",IF(D61="按租金收入计税",ROUND(C48*F61,2),IF(D61="按房产原值计税",ROUND(C57*F61*0.7,2),INDIRECT("'数据-取费表'!Aj"&amp;$G$1))))</f>
        <v>47.04</v>
      </c>
      <c r="D61" s="1827" t="s">
        <v>3059</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8" thickBot="1">
      <c r="A62" s="1201" t="s">
        <v>1488</v>
      </c>
      <c r="B62" s="1168" t="s">
        <v>1489</v>
      </c>
      <c r="C62" s="25">
        <f ca="1">IF(项目基本情况!B11="自然人","——",ROUND(F62*F63/10000,2))</f>
        <v>0</v>
      </c>
      <c r="D62" s="1184" t="s">
        <v>1490</v>
      </c>
      <c r="E62" s="1169" t="s">
        <v>1491</v>
      </c>
      <c r="F62" s="371">
        <f t="shared" si="0"/>
        <v>1.5</v>
      </c>
      <c r="I62" s="1927" t="s">
        <v>1563</v>
      </c>
      <c r="J62" s="1928" t="s">
        <v>1564</v>
      </c>
      <c r="K62" s="1928" t="s">
        <v>1565</v>
      </c>
      <c r="L62" s="1928" t="s">
        <v>1566</v>
      </c>
      <c r="M62" s="1929" t="s">
        <v>1567</v>
      </c>
      <c r="O62" s="1883" t="s">
        <v>1042</v>
      </c>
      <c r="P62" s="1884" t="s">
        <v>1568</v>
      </c>
      <c r="Q62" s="1885">
        <f ca="1">Q56+Q57</f>
        <v>4719</v>
      </c>
      <c r="R62" s="1885" t="s">
        <v>1043</v>
      </c>
    </row>
    <row r="63" spans="1:18" s="1841" customFormat="1" ht="13.8"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8" thickBot="1">
      <c r="A64" s="1201" t="s">
        <v>1493</v>
      </c>
      <c r="B64" s="1169" t="s">
        <v>1494</v>
      </c>
      <c r="C64" s="24">
        <f ca="1">ROUND(C57*F64,1)</f>
        <v>44.1</v>
      </c>
      <c r="D64" s="1183" t="s">
        <v>1495</v>
      </c>
      <c r="E64" s="1169" t="s">
        <v>1487</v>
      </c>
      <c r="F64" s="374">
        <f t="shared" ca="1" si="0"/>
        <v>0.01</v>
      </c>
      <c r="I64" s="1927" t="s">
        <v>1571</v>
      </c>
      <c r="J64" s="1928">
        <v>50</v>
      </c>
      <c r="K64" s="1928">
        <v>35</v>
      </c>
      <c r="L64" s="1928">
        <v>60</v>
      </c>
      <c r="M64" s="1929">
        <v>0</v>
      </c>
      <c r="O64" s="1876" t="s">
        <v>1515</v>
      </c>
      <c r="P64" s="1877" t="s">
        <v>1516</v>
      </c>
      <c r="Q64" s="1878" t="s">
        <v>1517</v>
      </c>
      <c r="R64" s="1878" t="s">
        <v>1518</v>
      </c>
    </row>
    <row r="65" spans="1:18" s="1841" customFormat="1" ht="13.8" thickBot="1">
      <c r="A65" s="1201" t="s">
        <v>1496</v>
      </c>
      <c r="B65" s="1169" t="s">
        <v>1446</v>
      </c>
      <c r="C65" s="24">
        <f ca="1">ROUND(C56*F65,1)</f>
        <v>6</v>
      </c>
      <c r="D65" s="1183" t="s">
        <v>1447</v>
      </c>
      <c r="E65" s="1169" t="s">
        <v>1448</v>
      </c>
      <c r="F65" s="376">
        <f t="shared" ca="1" si="0"/>
        <v>1.5E-3</v>
      </c>
      <c r="I65" s="1927" t="s">
        <v>1572</v>
      </c>
      <c r="J65" s="1928">
        <v>40</v>
      </c>
      <c r="K65" s="1928">
        <v>30</v>
      </c>
      <c r="L65" s="1928">
        <v>50</v>
      </c>
      <c r="M65" s="1930">
        <v>0.02</v>
      </c>
      <c r="O65" s="1883" t="s">
        <v>1036</v>
      </c>
      <c r="P65" s="1884" t="s">
        <v>1573</v>
      </c>
      <c r="Q65" s="1885">
        <f ca="1">C40+J29</f>
        <v>4719</v>
      </c>
      <c r="R65" s="1885" t="s">
        <v>1522</v>
      </c>
    </row>
    <row r="66" spans="1:18" s="1841" customFormat="1" ht="16.2" thickBot="1">
      <c r="A66" s="1201" t="s">
        <v>1497</v>
      </c>
      <c r="B66" s="1169" t="s">
        <v>1432</v>
      </c>
      <c r="C66" s="24">
        <f ca="1">ROUND(C48*F66,1)</f>
        <v>5.9</v>
      </c>
      <c r="D66" s="1183" t="s">
        <v>1498</v>
      </c>
      <c r="E66" s="1169" t="s">
        <v>1415</v>
      </c>
      <c r="F66" s="357">
        <f t="shared" ca="1" si="0"/>
        <v>1.4999999999999999E-2</v>
      </c>
      <c r="O66" s="1883" t="s">
        <v>1037</v>
      </c>
      <c r="P66" s="1884" t="s">
        <v>1551</v>
      </c>
      <c r="Q66" s="1885">
        <f ca="1">L60</f>
        <v>0</v>
      </c>
      <c r="R66" s="1885" t="s">
        <v>1574</v>
      </c>
    </row>
    <row r="67" spans="1:18" s="1841" customFormat="1" ht="24.6" thickBot="1">
      <c r="A67" s="1176" t="s">
        <v>1027</v>
      </c>
      <c r="B67" s="1186" t="s">
        <v>1456</v>
      </c>
      <c r="C67" s="361">
        <f ca="1">C48-C58</f>
        <v>268</v>
      </c>
      <c r="D67" s="1182" t="s">
        <v>1457</v>
      </c>
      <c r="E67" s="1187"/>
      <c r="F67" s="1188"/>
      <c r="O67" s="1893" t="s">
        <v>1038</v>
      </c>
      <c r="P67" s="1884" t="s">
        <v>1555</v>
      </c>
      <c r="Q67" s="1931">
        <f ca="1">L51</f>
        <v>-161</v>
      </c>
      <c r="R67" s="1885" t="s">
        <v>1575</v>
      </c>
    </row>
    <row r="68" spans="1:18" s="1841" customFormat="1" ht="16.2" thickBot="1">
      <c r="A68" s="1166" t="s">
        <v>1028</v>
      </c>
      <c r="B68" s="1167" t="s">
        <v>1478</v>
      </c>
      <c r="C68" s="346">
        <f ca="1">ROUND(C67*(1-((1+F70)/(1+F68))^F69)/(F68-F70),0)</f>
        <v>2499</v>
      </c>
      <c r="D68" s="1184" t="s">
        <v>1462</v>
      </c>
      <c r="E68" s="1169" t="s">
        <v>1463</v>
      </c>
      <c r="F68" s="357">
        <f ca="1">F40</f>
        <v>0.06</v>
      </c>
      <c r="H68" s="1841">
        <f>3403*40%</f>
        <v>1361.2</v>
      </c>
      <c r="O68" s="1893" t="s">
        <v>1039</v>
      </c>
      <c r="P68" s="1932" t="s">
        <v>1576</v>
      </c>
      <c r="Q68" s="1885">
        <f ca="1">ROUND(Q69-Q70*Q71,0)</f>
        <v>-11</v>
      </c>
      <c r="R68" s="1885" t="s">
        <v>1047</v>
      </c>
    </row>
    <row r="69" spans="1:18" s="1841" customFormat="1" ht="13.8" thickBot="1">
      <c r="A69" s="1170"/>
      <c r="B69" s="1171"/>
      <c r="C69" s="351"/>
      <c r="D69" s="1189" t="s">
        <v>1466</v>
      </c>
      <c r="E69" s="1169" t="s">
        <v>1467</v>
      </c>
      <c r="F69" s="379">
        <f ca="1">F41</f>
        <v>14.07</v>
      </c>
      <c r="O69" s="1893" t="s">
        <v>1044</v>
      </c>
      <c r="P69" s="1932" t="s">
        <v>1577</v>
      </c>
      <c r="Q69" s="1885">
        <f ca="1">C39</f>
        <v>307</v>
      </c>
      <c r="R69" s="1885" t="s">
        <v>1522</v>
      </c>
    </row>
    <row r="70" spans="1:18" s="1841" customFormat="1" ht="13.8" thickBot="1">
      <c r="A70" s="1173"/>
      <c r="B70" s="1174"/>
      <c r="C70" s="355"/>
      <c r="D70" s="1185"/>
      <c r="E70" s="1169" t="s">
        <v>1470</v>
      </c>
      <c r="F70" s="2982">
        <v>0</v>
      </c>
      <c r="O70" s="1893" t="s">
        <v>1045</v>
      </c>
      <c r="P70" s="1932" t="s">
        <v>1578</v>
      </c>
      <c r="Q70" s="1885">
        <f ca="1">C13</f>
        <v>3973</v>
      </c>
      <c r="R70" s="1885" t="s">
        <v>1522</v>
      </c>
    </row>
    <row r="71" spans="1:18" s="1841" customFormat="1" ht="13.8" thickBot="1">
      <c r="A71" s="1190" t="s">
        <v>1029</v>
      </c>
      <c r="B71" s="1191" t="s">
        <v>1480</v>
      </c>
      <c r="C71" s="382">
        <f ca="1">ROUND(C68*10000/F71,0)</f>
        <v>2731</v>
      </c>
      <c r="D71" s="1192" t="s">
        <v>1481</v>
      </c>
      <c r="E71" s="1193" t="s">
        <v>1482</v>
      </c>
      <c r="F71" s="385">
        <f ca="1">F43</f>
        <v>9152.0400000000009</v>
      </c>
      <c r="O71" s="1893" t="s">
        <v>1046</v>
      </c>
      <c r="P71" s="1932" t="s">
        <v>1579</v>
      </c>
      <c r="Q71" s="1896">
        <f ca="1">C76</f>
        <v>0.08</v>
      </c>
      <c r="R71" s="1885"/>
    </row>
    <row r="72" spans="1:18" s="1841" customFormat="1" ht="13.8" thickBot="1">
      <c r="B72" s="796"/>
      <c r="C72" s="796"/>
      <c r="O72" s="1893" t="s">
        <v>1040</v>
      </c>
      <c r="P72" s="1884" t="s">
        <v>1557</v>
      </c>
      <c r="Q72" s="1896">
        <f>L52</f>
        <v>0</v>
      </c>
      <c r="R72" s="1885"/>
    </row>
    <row r="73" spans="1:18" ht="16.2" thickBot="1">
      <c r="A73" s="1841"/>
      <c r="B73" s="796"/>
      <c r="C73" s="796"/>
      <c r="D73" s="1841"/>
      <c r="E73" s="1841"/>
      <c r="F73" s="1841"/>
      <c r="O73" s="1893" t="s">
        <v>1041</v>
      </c>
      <c r="P73" s="1884" t="s">
        <v>1560</v>
      </c>
      <c r="Q73" s="1885" t="e">
        <f ca="1">L58</f>
        <v>#DIV/0!</v>
      </c>
      <c r="R73" s="1885" t="s">
        <v>1561</v>
      </c>
    </row>
    <row r="74" spans="1:18" ht="13.8"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8" thickBot="1">
      <c r="A75" s="1841"/>
      <c r="B75" s="386" t="s">
        <v>1499</v>
      </c>
      <c r="C75" s="387">
        <f ca="1">ROUND(C13*C76,0)</f>
        <v>318</v>
      </c>
      <c r="D75" s="1841"/>
      <c r="E75" s="1841"/>
      <c r="F75" s="1841"/>
      <c r="K75" s="1867"/>
      <c r="L75" s="1841"/>
      <c r="O75" s="1883" t="s">
        <v>1042</v>
      </c>
      <c r="P75" s="1884" t="s">
        <v>1542</v>
      </c>
      <c r="Q75" s="1885">
        <f ca="1">Q65+Q66</f>
        <v>4719</v>
      </c>
      <c r="R75" s="1885" t="s">
        <v>1043</v>
      </c>
    </row>
    <row r="76" spans="1:18">
      <c r="B76" s="388" t="s">
        <v>1500</v>
      </c>
      <c r="C76" s="389">
        <f ca="1">INDIRECT("'数据-取费表'!j"&amp;$G$1)</f>
        <v>0.08</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-3.6000000000000032E-2</v>
      </c>
    </row>
    <row r="80" spans="1:18">
      <c r="B80" s="386" t="s">
        <v>1504</v>
      </c>
      <c r="C80" s="318">
        <f ca="1">ROUND(C75/C39,3)</f>
        <v>1.036</v>
      </c>
    </row>
    <row r="81" spans="2:3">
      <c r="B81" s="314" t="s">
        <v>1505</v>
      </c>
      <c r="C81" s="282"/>
    </row>
    <row r="82" spans="2:3">
      <c r="B82" s="317" t="s">
        <v>1506</v>
      </c>
      <c r="C82" s="319">
        <f ca="1">1-C83</f>
        <v>-0.3879999999999999</v>
      </c>
    </row>
    <row r="83" spans="2:3">
      <c r="B83" s="317" t="s">
        <v>1507</v>
      </c>
      <c r="C83" s="318">
        <f ca="1">ROUND(C13/C40,3)</f>
        <v>1.3879999999999999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5.2">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9152.0400000000009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9152.0400000000009</v>
      </c>
      <c r="E17" s="24">
        <f>'数据-取费表'!B32</f>
        <v>0</v>
      </c>
      <c r="F17" s="978"/>
      <c r="G17" s="140" t="s">
        <v>2482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54"/>
      <c r="H18" s="1576"/>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2486</v>
      </c>
      <c r="C20" s="24">
        <f ca="1">ROUND(D20*E20/10000,0)</f>
        <v>174</v>
      </c>
      <c r="D20" s="1033">
        <f ca="1">IF(C1="",'数据-汇总表'!E6,IF(INDIRECT("'数据-取费表'!c"&amp;$K$1)="住宅",INDIRECT("'数据-取费表'!s"&amp;$K$1),INDIRECT("'数据-取费表'!k"&amp;$K$1)+INDIRECT("'数据-取费表'!s"&amp;$K$1)))</f>
        <v>9152.0400000000009</v>
      </c>
      <c r="E20" s="24">
        <f>'数据-取费表'!B28</f>
        <v>190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1582</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0</v>
      </c>
      <c r="D5" s="1821" t="s">
        <v>1594</v>
      </c>
      <c r="E5" s="1293"/>
      <c r="F5" s="1294"/>
      <c r="G5" s="1850"/>
      <c r="H5" s="344">
        <v>1</v>
      </c>
      <c r="I5" s="345" t="s">
        <v>1593</v>
      </c>
      <c r="J5" s="1292">
        <f ca="1">J6+J10+J12</f>
        <v>0</v>
      </c>
      <c r="K5" s="1821" t="s">
        <v>1594</v>
      </c>
      <c r="L5" s="1293"/>
      <c r="M5" s="1294"/>
    </row>
    <row r="6" spans="1:37" ht="18" customHeight="1">
      <c r="A6" s="1291" t="s">
        <v>1031</v>
      </c>
      <c r="B6" s="3223" t="s">
        <v>1397</v>
      </c>
      <c r="C6" s="1296">
        <f ca="1">ROUND(F6*F8*F7*(1-F9),0)</f>
        <v>0</v>
      </c>
      <c r="D6" s="164" t="s">
        <v>3017</v>
      </c>
      <c r="E6" s="347" t="s">
        <v>1399</v>
      </c>
      <c r="F6" s="348">
        <f ca="1">INDIRECT("'数据-取费表'!u"&amp;$G$1)</f>
        <v>0</v>
      </c>
      <c r="G6" s="1850"/>
      <c r="H6" s="1291" t="s">
        <v>1031</v>
      </c>
      <c r="I6" s="3223" t="s">
        <v>1397</v>
      </c>
      <c r="J6" s="346">
        <f ca="1">ROUND(M6*M8*M7*(1-M9),0)</f>
        <v>0</v>
      </c>
      <c r="K6" s="1833" t="s">
        <v>3018</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0</v>
      </c>
      <c r="G7" s="1850"/>
      <c r="H7" s="349"/>
      <c r="I7" s="3224"/>
      <c r="J7" s="351"/>
      <c r="K7" s="352"/>
      <c r="L7" s="347" t="s">
        <v>1400</v>
      </c>
      <c r="M7" s="348">
        <f ca="1">F7</f>
        <v>0</v>
      </c>
    </row>
    <row r="8" spans="1:37" ht="18" customHeight="1">
      <c r="A8" s="349"/>
      <c r="B8" s="3224"/>
      <c r="C8" s="351"/>
      <c r="D8" s="352"/>
      <c r="E8" s="347" t="s">
        <v>1401</v>
      </c>
      <c r="F8" s="348">
        <f ca="1">INDIRECT("'数据-取费表'!ai"&amp;$G$1)</f>
        <v>0</v>
      </c>
      <c r="G8" s="1850"/>
      <c r="H8" s="349"/>
      <c r="I8" s="3224"/>
      <c r="J8" s="351"/>
      <c r="K8" s="352"/>
      <c r="L8" s="347" t="s">
        <v>1401</v>
      </c>
      <c r="M8" s="348">
        <f ca="1">INDIRECT("'数据-取费表'!ai"&amp;$G$1)</f>
        <v>0</v>
      </c>
    </row>
    <row r="9" spans="1:37" ht="18" customHeight="1">
      <c r="A9" s="349"/>
      <c r="B9" s="3225"/>
      <c r="C9" s="351"/>
      <c r="D9" s="352"/>
      <c r="E9" s="347" t="s">
        <v>1402</v>
      </c>
      <c r="F9" s="357">
        <f ca="1">INDIRECT("'数据-取费表'!w"&amp;$G$1)</f>
        <v>0</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3028</v>
      </c>
      <c r="E10" s="358" t="s">
        <v>1404</v>
      </c>
      <c r="F10" s="1366"/>
      <c r="G10" s="1850"/>
      <c r="H10" s="1291" t="s">
        <v>1035</v>
      </c>
      <c r="I10" s="1822" t="s">
        <v>1403</v>
      </c>
      <c r="J10" s="346">
        <f ca="1">ROUND(IF(M10="押一",J6/12*M11,IF(M10="押二",J6/12*2*M11,IF(M10="押三",J6/12*3*M11,J11*M11))),0)</f>
        <v>0</v>
      </c>
      <c r="K10" s="1834" t="s">
        <v>3030</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0</v>
      </c>
      <c r="D14" s="1799" t="s">
        <v>1411</v>
      </c>
      <c r="E14" s="1793"/>
      <c r="F14" s="364"/>
      <c r="G14" s="1850"/>
      <c r="H14" s="1201" t="s">
        <v>1031</v>
      </c>
      <c r="I14" s="347" t="s">
        <v>1412</v>
      </c>
      <c r="J14" s="24">
        <f ca="1">C29</f>
        <v>0</v>
      </c>
      <c r="K14" s="15"/>
      <c r="L14" s="979"/>
      <c r="M14" s="980"/>
    </row>
    <row r="15" spans="1:37" s="1857" customFormat="1" ht="18" customHeight="1" thickBot="1">
      <c r="A15" s="1201" t="s">
        <v>1032</v>
      </c>
      <c r="B15" s="347" t="s">
        <v>1413</v>
      </c>
      <c r="C15" s="24">
        <f ca="1">ROUND(C14*F15,0)</f>
        <v>0</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0</v>
      </c>
      <c r="K16" s="1337" t="s">
        <v>1418</v>
      </c>
      <c r="L16" s="1338"/>
      <c r="M16" s="1294"/>
    </row>
    <row r="17" spans="1:37" s="1857" customFormat="1" ht="18" customHeight="1">
      <c r="A17" s="1201" t="s">
        <v>1384</v>
      </c>
      <c r="B17" s="347" t="s">
        <v>1419</v>
      </c>
      <c r="C17" s="24">
        <f ca="1">ROUND(F17*(F43+INDIRECT("'数据-取费表'!S"&amp;$G$1)),0)</f>
        <v>0</v>
      </c>
      <c r="D17" s="347" t="s">
        <v>1420</v>
      </c>
      <c r="E17" s="347" t="s">
        <v>1421</v>
      </c>
      <c r="F17" s="26">
        <f>'数据-取费表'!B35</f>
        <v>200</v>
      </c>
      <c r="G17" s="1853"/>
      <c r="H17" s="1201" t="s">
        <v>1031</v>
      </c>
      <c r="I17" s="347" t="s">
        <v>1422</v>
      </c>
      <c r="J17" s="24">
        <f ca="1">ROUND(IF(项目基本情况!B11="自然人",J6*M17/(1+'数据-取费表'!C42),J18+J19+J20),0)</f>
        <v>0</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0</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0</v>
      </c>
      <c r="D19" s="140" t="s">
        <v>1429</v>
      </c>
      <c r="E19" s="1817"/>
      <c r="F19" s="26"/>
      <c r="G19" s="1850"/>
      <c r="H19" s="1201" t="s">
        <v>1032</v>
      </c>
      <c r="I19" s="347" t="s">
        <v>1430</v>
      </c>
      <c r="J19" s="24">
        <f ca="1">IF(K19="按租金收入计税",ROUND(J6*M19/(1+'数据-取费表'!C42),0),ROUND(C29*M19*0.7,0))</f>
        <v>0</v>
      </c>
      <c r="K19" s="1827" t="s">
        <v>1431</v>
      </c>
      <c r="L19" s="347" t="s">
        <v>1415</v>
      </c>
      <c r="M19" s="367">
        <f>IF(K19="按租金收入计税",'数据-取费表'!B51,'数据-取费表'!B50)</f>
        <v>1.2E-2</v>
      </c>
    </row>
    <row r="20" spans="1:37" s="1857" customFormat="1" ht="18" customHeight="1">
      <c r="A20" s="1201" t="s">
        <v>1035</v>
      </c>
      <c r="B20" s="347" t="s">
        <v>1432</v>
      </c>
      <c r="C20" s="24">
        <f ca="1">ROUND(C19*F20,0)</f>
        <v>0</v>
      </c>
      <c r="D20" s="369" t="s">
        <v>1433</v>
      </c>
      <c r="E20" s="347" t="s">
        <v>1415</v>
      </c>
      <c r="F20" s="367">
        <f>'数据-取费表'!B37</f>
        <v>0.02</v>
      </c>
      <c r="G20" s="1853"/>
      <c r="H20" s="1201" t="s">
        <v>1383</v>
      </c>
      <c r="I20" s="164" t="s">
        <v>1434</v>
      </c>
      <c r="J20" s="25">
        <f ca="1">ROUND(M20*M21,0)</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0.01</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0</v>
      </c>
      <c r="K22" s="1797" t="s">
        <v>1443</v>
      </c>
      <c r="L22" s="347" t="s">
        <v>1415</v>
      </c>
      <c r="M22" s="374">
        <f ca="1">INDIRECT("'数据-取费表'!Ak"&amp;$G$1)</f>
        <v>0</v>
      </c>
    </row>
    <row r="23" spans="1:37" s="1857"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5.0000000000000001E-4</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0"/>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0</v>
      </c>
      <c r="D29" s="1342"/>
      <c r="E29" s="1340"/>
      <c r="F29" s="1343"/>
      <c r="G29" s="1853"/>
      <c r="H29" s="380" t="s">
        <v>1029</v>
      </c>
      <c r="I29" s="381" t="s">
        <v>1472</v>
      </c>
      <c r="J29" s="382">
        <f ca="1">ROUND(J26/(1+F40)^F41,0)</f>
        <v>0</v>
      </c>
      <c r="K29" s="383" t="s">
        <v>1473</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0</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0</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0</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7" t="s">
        <v>1431</v>
      </c>
      <c r="E33" s="347" t="s">
        <v>1415</v>
      </c>
      <c r="F33" s="367">
        <f>IF(D33="按票据","——",IF(D33="按租金收入计税",'数据-取费表'!B51,'数据-取费表'!B50))</f>
        <v>1.2E-2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0</v>
      </c>
      <c r="D36" s="1797" t="s">
        <v>1475</v>
      </c>
      <c r="E36" s="347" t="s">
        <v>1415</v>
      </c>
      <c r="F36" s="374">
        <f ca="1">INDIRECT("'数据-取费表'!Ak"&amp;$G$1)</f>
        <v>0</v>
      </c>
      <c r="G36" s="1850"/>
      <c r="H36" s="1858"/>
      <c r="I36" s="1859"/>
      <c r="J36" s="1860"/>
      <c r="K36" s="751"/>
      <c r="L36" s="1858"/>
      <c r="M36" s="1858"/>
    </row>
    <row r="37" spans="1:18" ht="18" customHeight="1">
      <c r="A37" s="1201" t="s">
        <v>1071</v>
      </c>
      <c r="B37" s="347" t="s">
        <v>1446</v>
      </c>
      <c r="C37" s="24">
        <f ca="1">ROUND(C13*F37,0)</f>
        <v>0</v>
      </c>
      <c r="D37" s="1797" t="s">
        <v>1447</v>
      </c>
      <c r="E37" s="347" t="s">
        <v>1448</v>
      </c>
      <c r="F37" s="376">
        <f ca="1">INDIRECT("'数据-取费表'!Al"&amp;$G$1)</f>
        <v>0</v>
      </c>
      <c r="G37" s="1850"/>
      <c r="H37" s="1858"/>
      <c r="I37" s="1859"/>
      <c r="J37" s="1860"/>
      <c r="K37" s="751"/>
      <c r="L37" s="1858"/>
      <c r="M37" s="1858"/>
    </row>
    <row r="38" spans="1:18" ht="18" customHeight="1" thickBot="1">
      <c r="A38" s="1339" t="s">
        <v>1387</v>
      </c>
      <c r="B38" s="1340" t="s">
        <v>1432</v>
      </c>
      <c r="C38" s="1341">
        <f ca="1">ROUND(C5*F38,1)</f>
        <v>0</v>
      </c>
      <c r="D38" s="1342" t="s">
        <v>1452</v>
      </c>
      <c r="E38" s="1340" t="s">
        <v>1448</v>
      </c>
      <c r="F38" s="1336">
        <f ca="1">INDIRECT("'数据-取费表'!Am"&amp;$G$1)</f>
        <v>0</v>
      </c>
      <c r="G38" s="1850"/>
      <c r="H38" s="1858"/>
      <c r="I38" s="1859"/>
      <c r="J38" s="1860"/>
      <c r="K38" s="1864"/>
      <c r="L38" s="1858"/>
      <c r="M38" s="1858"/>
    </row>
    <row r="39" spans="1:18" ht="24.6" customHeight="1" thickTop="1">
      <c r="A39" s="1329" t="s">
        <v>1027</v>
      </c>
      <c r="B39" s="1344" t="s">
        <v>1476</v>
      </c>
      <c r="C39" s="355">
        <f ca="1">C5-C30</f>
        <v>0</v>
      </c>
      <c r="D39" s="1345" t="s">
        <v>1477</v>
      </c>
      <c r="E39" s="1346"/>
      <c r="F39" s="1347"/>
      <c r="G39" s="1850"/>
      <c r="H39" s="1858"/>
      <c r="I39" s="1859"/>
      <c r="J39" s="1860"/>
      <c r="K39" s="1864"/>
      <c r="L39" s="1858"/>
      <c r="M39" s="1858"/>
    </row>
    <row r="40" spans="1:18" ht="18" customHeight="1">
      <c r="A40" s="344" t="s">
        <v>1028</v>
      </c>
      <c r="B40" s="345" t="s">
        <v>1478</v>
      </c>
      <c r="C40" s="346" t="e">
        <f ca="1">ROUND(C39*(1-((1+F42)/(1+F40))^F41)/(F40-F42),0)</f>
        <v>#DIV/0!</v>
      </c>
      <c r="D40" s="370" t="s">
        <v>1462</v>
      </c>
      <c r="E40" s="347" t="s">
        <v>1463</v>
      </c>
      <c r="F40" s="357">
        <f ca="1">INDIRECT("'数据-取费表'!I"&amp;$G$1)</f>
        <v>0</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1512</v>
      </c>
      <c r="P45" s="1838"/>
      <c r="Q45" s="1838"/>
      <c r="R45" s="1838"/>
    </row>
    <row r="46" spans="1:18" s="1841" customFormat="1" ht="13.8" thickBot="1">
      <c r="A46" s="1869" t="s">
        <v>1513</v>
      </c>
      <c r="C46" s="1870" t="e">
        <f ca="1">ROUND(C45/10000,0)</f>
        <v>#DIV/0!</v>
      </c>
      <c r="D46" s="1871" t="str">
        <f>C2</f>
        <v>万元</v>
      </c>
      <c r="I46" s="1872" t="s">
        <v>1514</v>
      </c>
      <c r="J46" s="1873"/>
      <c r="K46" s="1874"/>
      <c r="L46" s="1875" t="e">
        <f ca="1">IF(M47="住宅",0,IF(L48&gt;J51,L60,J60))</f>
        <v>#DIV/0!</v>
      </c>
      <c r="O46" s="1876" t="s">
        <v>1515</v>
      </c>
      <c r="P46" s="1877" t="s">
        <v>1516</v>
      </c>
      <c r="Q46" s="1878" t="s">
        <v>1517</v>
      </c>
      <c r="R46" s="1878" t="s">
        <v>1518</v>
      </c>
    </row>
    <row r="47" spans="1:18" s="1841" customFormat="1" ht="13.8" thickBot="1">
      <c r="A47" s="1165" t="s">
        <v>1390</v>
      </c>
      <c r="B47" s="1197" t="s">
        <v>1391</v>
      </c>
      <c r="C47" s="1197" t="s">
        <v>1392</v>
      </c>
      <c r="D47" s="1197" t="s">
        <v>1393</v>
      </c>
      <c r="E47" s="1279" t="s">
        <v>1394</v>
      </c>
      <c r="F47" s="1280"/>
      <c r="G47" s="792"/>
      <c r="I47" s="1879" t="s">
        <v>1519</v>
      </c>
      <c r="J47" s="1880"/>
      <c r="K47" s="1881" t="s">
        <v>1520</v>
      </c>
      <c r="L47" s="1882">
        <f ca="1">INDIRECT("'数据-取费表'!d"&amp;$G$1)</f>
        <v>0</v>
      </c>
      <c r="M47" s="1837" t="str">
        <f>IF(ISNUMBER(FIND("住宅",C1)),"住宅","非住宅")</f>
        <v>非住宅</v>
      </c>
      <c r="O47" s="1883" t="s">
        <v>1036</v>
      </c>
      <c r="P47" s="1884" t="s">
        <v>1521</v>
      </c>
      <c r="Q47" s="1885" t="e">
        <f ca="1">C40+J29</f>
        <v>#DIV/0!</v>
      </c>
      <c r="R47" s="1885" t="s">
        <v>1522</v>
      </c>
    </row>
    <row r="48" spans="1:18" s="1841" customFormat="1" ht="40.200000000000003" thickBot="1">
      <c r="A48" s="1360" t="s">
        <v>1131</v>
      </c>
      <c r="B48" s="345" t="s">
        <v>1395</v>
      </c>
      <c r="C48" s="1816">
        <f ca="1">C49+C53+C55</f>
        <v>0</v>
      </c>
      <c r="D48" s="1362"/>
      <c r="E48" s="1363"/>
      <c r="F48" s="1181"/>
      <c r="G48" s="792"/>
      <c r="H48" s="793"/>
      <c r="I48" s="1886" t="s">
        <v>1523</v>
      </c>
      <c r="J48" s="1887"/>
      <c r="K48" s="1888" t="s">
        <v>1524</v>
      </c>
      <c r="L48" s="1889">
        <f ca="1">INDIRECT("'数据-取费表'!f"&amp;$G$1)</f>
        <v>0</v>
      </c>
      <c r="O48" s="1883" t="s">
        <v>1037</v>
      </c>
      <c r="P48" s="1884" t="s">
        <v>1525</v>
      </c>
      <c r="Q48" s="1885" t="e">
        <f ca="1">J60</f>
        <v>#DIV/0!</v>
      </c>
      <c r="R48" s="1885" t="s">
        <v>1526</v>
      </c>
    </row>
    <row r="49" spans="1:18" s="1841" customFormat="1" ht="13.8" thickBot="1">
      <c r="A49" s="1194" t="s">
        <v>1132</v>
      </c>
      <c r="B49" s="1828" t="s">
        <v>1483</v>
      </c>
      <c r="C49" s="1364">
        <f ca="1">ROUND(F49*F51*F50*(1-F52),0)</f>
        <v>0</v>
      </c>
      <c r="D49" s="1276" t="s">
        <v>1398</v>
      </c>
      <c r="E49" s="1829" t="s">
        <v>1484</v>
      </c>
      <c r="F49" s="1281"/>
      <c r="G49" s="1890"/>
      <c r="H49" s="793"/>
      <c r="I49" s="1886" t="s">
        <v>1527</v>
      </c>
      <c r="J49" s="1891"/>
      <c r="K49" s="1888" t="s">
        <v>1528</v>
      </c>
      <c r="L49" s="1892"/>
      <c r="O49" s="1893" t="s">
        <v>1038</v>
      </c>
      <c r="P49" s="1884" t="s">
        <v>1529</v>
      </c>
      <c r="Q49" s="1885">
        <f ca="1">C29</f>
        <v>0</v>
      </c>
      <c r="R49" s="1885" t="s">
        <v>1522</v>
      </c>
    </row>
    <row r="50" spans="1:18" s="1841" customFormat="1" ht="13.8" thickBot="1">
      <c r="A50" s="1195"/>
      <c r="B50" s="1198"/>
      <c r="C50" s="1199"/>
      <c r="D50" s="1172"/>
      <c r="E50" s="1277" t="s">
        <v>1400</v>
      </c>
      <c r="F50" s="1278">
        <f ca="1">F7</f>
        <v>0</v>
      </c>
      <c r="H50" s="793"/>
      <c r="I50" s="1886" t="s">
        <v>1530</v>
      </c>
      <c r="J50" s="1894">
        <f>SUMPRODUCT((I63:I65=J47)*(J62:L62=J48)*(J63:L65))</f>
        <v>0</v>
      </c>
      <c r="K50" s="1888" t="s">
        <v>1531</v>
      </c>
      <c r="L50" s="1892"/>
      <c r="M50" s="1895"/>
      <c r="O50" s="1893" t="s">
        <v>1039</v>
      </c>
      <c r="P50" s="1884" t="s">
        <v>1532</v>
      </c>
      <c r="Q50" s="1896" t="e">
        <f ca="1">J58</f>
        <v>#DIV/0!</v>
      </c>
      <c r="R50" s="1885"/>
    </row>
    <row r="51" spans="1:18" s="1841" customFormat="1" ht="13.8" thickBot="1">
      <c r="A51" s="1196"/>
      <c r="B51" s="1198"/>
      <c r="C51" s="1199"/>
      <c r="D51" s="1172"/>
      <c r="E51" s="1200" t="s">
        <v>1401</v>
      </c>
      <c r="F51" s="348">
        <f ca="1">F8</f>
        <v>0</v>
      </c>
      <c r="I51" s="1897" t="s">
        <v>1533</v>
      </c>
      <c r="J51" s="1898">
        <f>IF(J49="",J50,J49+J50-YEAR('数据-取费表'!B2))</f>
        <v>0</v>
      </c>
      <c r="K51" s="1899" t="s">
        <v>1534</v>
      </c>
      <c r="L51" s="1900">
        <f ca="1">ROUND(-PV(INDIRECT("'数据-取费表'!h"&amp;$G$1),L48,(C39-C13*C76),0),0)</f>
        <v>0</v>
      </c>
      <c r="M51" s="1901"/>
      <c r="O51" s="1893" t="s">
        <v>1040</v>
      </c>
      <c r="P51" s="1884" t="s">
        <v>1535</v>
      </c>
      <c r="Q51" s="1896">
        <f>J52</f>
        <v>0</v>
      </c>
      <c r="R51" s="1885"/>
    </row>
    <row r="52" spans="1:18" s="1841" customFormat="1" ht="13.8" thickBot="1">
      <c r="A52" s="1196"/>
      <c r="B52" s="1198"/>
      <c r="C52" s="1199"/>
      <c r="D52" s="1172"/>
      <c r="E52" s="1200" t="s">
        <v>1402</v>
      </c>
      <c r="F52" s="1275"/>
      <c r="I52" s="1902" t="s">
        <v>1536</v>
      </c>
      <c r="J52" s="1903"/>
      <c r="K52" s="1902" t="s">
        <v>1537</v>
      </c>
      <c r="L52" s="1903"/>
      <c r="O52" s="1893" t="s">
        <v>1041</v>
      </c>
      <c r="P52" s="1884" t="s">
        <v>1538</v>
      </c>
      <c r="Q52" s="1885">
        <f ca="1">J53</f>
        <v>0</v>
      </c>
      <c r="R52" s="1885" t="s">
        <v>1539</v>
      </c>
    </row>
    <row r="53" spans="1:18" s="1841" customFormat="1" ht="30.75" customHeight="1" thickBot="1">
      <c r="A53" s="1361" t="s">
        <v>1133</v>
      </c>
      <c r="B53" s="369" t="s">
        <v>1403</v>
      </c>
      <c r="C53" s="361">
        <f ca="1">ROUND(IF(F53="押一",C49/12*F11,IF(F53="押二",C49/12*2*F11,IF(F53="押三",C49/12*3*F11,C54*F11))),0)</f>
        <v>0</v>
      </c>
      <c r="D53" s="1823" t="s">
        <v>3031</v>
      </c>
      <c r="E53" s="358" t="s">
        <v>1404</v>
      </c>
      <c r="F53" s="1366"/>
      <c r="I53" s="1904" t="s">
        <v>1540</v>
      </c>
      <c r="J53" s="2948">
        <f ca="1">IF(M47="住宅",IF(D1="——",MAX(J51,L48),MAX(J51,L48-'数据-取费表'!B24)),IF(D1="——",MIN(J51,L48),MIN(J51,L48-'数据-取费表'!B24)))</f>
        <v>0</v>
      </c>
      <c r="K53" s="3221" t="s">
        <v>1541</v>
      </c>
      <c r="L53" s="3222"/>
      <c r="O53" s="1883" t="s">
        <v>1042</v>
      </c>
      <c r="P53" s="1884" t="s">
        <v>1542</v>
      </c>
      <c r="Q53" s="1885" t="e">
        <f ca="1">Q47+Q48</f>
        <v>#DIV/0!</v>
      </c>
      <c r="R53" s="1885" t="s">
        <v>1043</v>
      </c>
    </row>
    <row r="54" spans="1:18" s="1841" customFormat="1" ht="13.8"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1543</v>
      </c>
      <c r="P54" s="1838"/>
      <c r="Q54" s="1838"/>
      <c r="R54" s="1838"/>
    </row>
    <row r="55" spans="1:18" s="1841" customFormat="1" ht="13.8" thickBot="1">
      <c r="A55" s="1333" t="s">
        <v>1071</v>
      </c>
      <c r="B55" s="1826" t="s">
        <v>1406</v>
      </c>
      <c r="C55" s="1334"/>
      <c r="D55" s="1823"/>
      <c r="E55" s="1831"/>
      <c r="F55" s="1905"/>
      <c r="I55" s="1908" t="s">
        <v>1544</v>
      </c>
      <c r="J55" s="1909" t="e">
        <f ca="1">ROUND(IF(J47="钢混",J57/J50,1-(1-2%)*(J50-J57)/J50),3)</f>
        <v>#DIV/0!</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0</v>
      </c>
      <c r="D56" s="1912"/>
      <c r="E56" s="1913"/>
      <c r="F56" s="1905"/>
      <c r="I56" s="1914" t="s">
        <v>1547</v>
      </c>
      <c r="J56" s="1915"/>
      <c r="K56" s="1886" t="s">
        <v>1548</v>
      </c>
      <c r="L56" s="1889">
        <f ca="1">IF(L48&lt;J51,"——",L48-J51)</f>
        <v>0</v>
      </c>
      <c r="O56" s="1883" t="s">
        <v>1036</v>
      </c>
      <c r="P56" s="1884" t="s">
        <v>1521</v>
      </c>
      <c r="Q56" s="1885" t="e">
        <f ca="1">C40+J29</f>
        <v>#DIV/0!</v>
      </c>
      <c r="R56" s="1885" t="s">
        <v>1522</v>
      </c>
    </row>
    <row r="57" spans="1:18" s="1841" customFormat="1" ht="24.6" thickBot="1">
      <c r="A57" s="1916"/>
      <c r="B57" s="1169" t="s">
        <v>1471</v>
      </c>
      <c r="C57" s="282">
        <f ca="1">C29</f>
        <v>0</v>
      </c>
      <c r="D57" s="1917"/>
      <c r="E57" s="1918"/>
      <c r="F57" s="1919"/>
      <c r="I57" s="1920" t="s">
        <v>1549</v>
      </c>
      <c r="J57" s="1921">
        <f ca="1">IF(OR(M47="住宅",J51&lt;L48,J56="是"),"——",J51-L48)</f>
        <v>0</v>
      </c>
      <c r="K57" s="1886" t="s">
        <v>1598</v>
      </c>
      <c r="L57" s="1889">
        <f ca="1">IF(L48&lt;J51,"——",IF(L55="比较法",L49,IF(L55="基准地价",L50,L51)))</f>
        <v>0</v>
      </c>
      <c r="O57" s="1883" t="s">
        <v>1037</v>
      </c>
      <c r="P57" s="1884" t="s">
        <v>1599</v>
      </c>
      <c r="Q57" s="1885" t="e">
        <f ca="1">L60</f>
        <v>#DIV/0!</v>
      </c>
      <c r="R57" s="1885" t="s">
        <v>1600</v>
      </c>
    </row>
    <row r="58" spans="1:18" s="1841" customFormat="1" ht="24.6" thickBot="1">
      <c r="A58" s="360" t="s">
        <v>1026</v>
      </c>
      <c r="B58" s="1177" t="s">
        <v>1417</v>
      </c>
      <c r="C58" s="361">
        <f ca="1">ROUND(C59+C64+C65+C66,0)</f>
        <v>0</v>
      </c>
      <c r="D58" s="1179" t="s">
        <v>1418</v>
      </c>
      <c r="E58" s="1180"/>
      <c r="F58" s="1181"/>
      <c r="I58" s="1920" t="s">
        <v>1553</v>
      </c>
      <c r="J58" s="1922" t="e">
        <f ca="1">IF(J55&lt;0.4,0.4,J55)</f>
        <v>#DIV/0!</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6"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2" thickBot="1">
      <c r="A60" s="1201" t="s">
        <v>1030</v>
      </c>
      <c r="B60" s="1169" t="s">
        <v>1426</v>
      </c>
      <c r="C60" s="24">
        <f ca="1">IF(项目基本情况!B11="自然人","——",ROUND(C48*F60/(1+'数据-取费表'!C42),0))</f>
        <v>0</v>
      </c>
      <c r="D60" s="1183" t="s">
        <v>1427</v>
      </c>
      <c r="E60" s="1169" t="s">
        <v>1415</v>
      </c>
      <c r="F60" s="377">
        <f t="shared" ref="F60:F66" si="0">F32</f>
        <v>5.5000000000000007E-2</v>
      </c>
      <c r="I60" s="1923" t="s">
        <v>1558</v>
      </c>
      <c r="J60" s="1924" t="e">
        <f ca="1">IF(OR(M47="住宅",J51&lt;L48,J56="是"),"0",ROUND(J59/(1+J52)^J53,0))</f>
        <v>#DIV/0!</v>
      </c>
      <c r="K60" s="1925" t="s">
        <v>1559</v>
      </c>
      <c r="L60" s="1924" t="e">
        <f ca="1">IF(OR(M47="住宅",L48&lt;J51),0,ROUND(L57*(L58/L59-1),0))</f>
        <v>#DIV/0!</v>
      </c>
      <c r="O60" s="1893" t="s">
        <v>1040</v>
      </c>
      <c r="P60" s="1884" t="s">
        <v>1560</v>
      </c>
      <c r="Q60" s="1885" t="e">
        <f ca="1">L58</f>
        <v>#DIV/0!</v>
      </c>
      <c r="R60" s="1885" t="s">
        <v>1561</v>
      </c>
    </row>
    <row r="61" spans="1:18" s="1841" customFormat="1" ht="13.8" thickBot="1">
      <c r="A61" s="1201" t="s">
        <v>1485</v>
      </c>
      <c r="B61" s="1169" t="s">
        <v>1486</v>
      </c>
      <c r="C61" s="24">
        <f ca="1">IF(项目基本情况!B11="自然人","——",IF(D61="按租金收入计税",ROUND(C48*F61,0),IF(D61="按房产原值计税",ROUND(C57*F61*0.7,0),INDIRECT("'数据-取费表'!Aj"&amp;$G$1))))</f>
        <v>0</v>
      </c>
      <c r="D61" s="1827" t="s">
        <v>1431</v>
      </c>
      <c r="E61" s="1169" t="s">
        <v>1487</v>
      </c>
      <c r="F61" s="367">
        <f t="shared" si="0"/>
        <v>1.2E-2</v>
      </c>
      <c r="I61" s="1926"/>
      <c r="J61" s="1926"/>
      <c r="K61" s="1926"/>
      <c r="L61" s="1926"/>
      <c r="O61" s="1893" t="s">
        <v>1041</v>
      </c>
      <c r="P61" s="1884" t="str">
        <f>K59</f>
        <v>建设期及建筑物耐用年限下的土地年期修正系数Kn</v>
      </c>
      <c r="Q61" s="1885" t="e">
        <f ca="1">L59</f>
        <v>#DIV/0!</v>
      </c>
      <c r="R61" s="1885" t="s">
        <v>1562</v>
      </c>
    </row>
    <row r="62" spans="1:18" s="1841" customFormat="1" ht="13.8" thickBot="1">
      <c r="A62" s="1201" t="s">
        <v>1488</v>
      </c>
      <c r="B62" s="1168" t="s">
        <v>1489</v>
      </c>
      <c r="C62" s="25">
        <f ca="1">IF(项目基本情况!B11="自然人","——",ROUND(F62*F63,0))</f>
        <v>0</v>
      </c>
      <c r="D62" s="1184" t="s">
        <v>1490</v>
      </c>
      <c r="E62" s="1169" t="s">
        <v>1491</v>
      </c>
      <c r="F62" s="371">
        <f t="shared" si="0"/>
        <v>1.5</v>
      </c>
      <c r="I62" s="1927" t="s">
        <v>1563</v>
      </c>
      <c r="J62" s="1928" t="s">
        <v>1564</v>
      </c>
      <c r="K62" s="1928" t="s">
        <v>1565</v>
      </c>
      <c r="L62" s="1928" t="s">
        <v>1566</v>
      </c>
      <c r="M62" s="1929" t="s">
        <v>1567</v>
      </c>
      <c r="O62" s="1883" t="s">
        <v>1042</v>
      </c>
      <c r="P62" s="1884" t="s">
        <v>1568</v>
      </c>
      <c r="Q62" s="1885" t="e">
        <f ca="1">Q56+Q57</f>
        <v>#DIV/0!</v>
      </c>
      <c r="R62" s="1885" t="s">
        <v>1043</v>
      </c>
    </row>
    <row r="63" spans="1:18" s="1841" customFormat="1" ht="13.8"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8" thickBot="1">
      <c r="A64" s="1201" t="s">
        <v>1493</v>
      </c>
      <c r="B64" s="1169" t="s">
        <v>1494</v>
      </c>
      <c r="C64" s="24">
        <f ca="1">ROUND(C57*F64,0)</f>
        <v>0</v>
      </c>
      <c r="D64" s="1183" t="s">
        <v>1495</v>
      </c>
      <c r="E64" s="1169" t="s">
        <v>1487</v>
      </c>
      <c r="F64" s="374">
        <f t="shared" ca="1" si="0"/>
        <v>0</v>
      </c>
      <c r="I64" s="1927" t="s">
        <v>1571</v>
      </c>
      <c r="J64" s="1928">
        <v>50</v>
      </c>
      <c r="K64" s="1928">
        <v>35</v>
      </c>
      <c r="L64" s="1928">
        <v>60</v>
      </c>
      <c r="M64" s="1929">
        <v>0</v>
      </c>
      <c r="O64" s="1876" t="s">
        <v>1515</v>
      </c>
      <c r="P64" s="1877" t="s">
        <v>1516</v>
      </c>
      <c r="Q64" s="1878" t="s">
        <v>1517</v>
      </c>
      <c r="R64" s="1878" t="s">
        <v>1518</v>
      </c>
    </row>
    <row r="65" spans="1:18" s="1841" customFormat="1" ht="13.8" thickBot="1">
      <c r="A65" s="1201" t="s">
        <v>1496</v>
      </c>
      <c r="B65" s="1169" t="s">
        <v>1446</v>
      </c>
      <c r="C65" s="24">
        <f ca="1">ROUND(C56*F65,0)</f>
        <v>0</v>
      </c>
      <c r="D65" s="1183" t="s">
        <v>1447</v>
      </c>
      <c r="E65" s="1169" t="s">
        <v>1448</v>
      </c>
      <c r="F65" s="376">
        <f t="shared" ca="1" si="0"/>
        <v>0</v>
      </c>
      <c r="I65" s="1927" t="s">
        <v>1572</v>
      </c>
      <c r="J65" s="1928">
        <v>40</v>
      </c>
      <c r="K65" s="1928">
        <v>30</v>
      </c>
      <c r="L65" s="1928">
        <v>50</v>
      </c>
      <c r="M65" s="1930">
        <v>0.02</v>
      </c>
      <c r="O65" s="1883" t="s">
        <v>1036</v>
      </c>
      <c r="P65" s="1884" t="s">
        <v>1573</v>
      </c>
      <c r="Q65" s="1885" t="e">
        <f ca="1">C40+J29</f>
        <v>#DIV/0!</v>
      </c>
      <c r="R65" s="1885" t="s">
        <v>1522</v>
      </c>
    </row>
    <row r="66" spans="1:18" s="1841" customFormat="1" ht="16.2" thickBot="1">
      <c r="A66" s="1201" t="s">
        <v>1497</v>
      </c>
      <c r="B66" s="1169" t="s">
        <v>1432</v>
      </c>
      <c r="C66" s="24">
        <f ca="1">ROUND(C48*F66,0)</f>
        <v>0</v>
      </c>
      <c r="D66" s="1183" t="s">
        <v>1498</v>
      </c>
      <c r="E66" s="1169" t="s">
        <v>1415</v>
      </c>
      <c r="F66" s="357">
        <f t="shared" ca="1" si="0"/>
        <v>0</v>
      </c>
      <c r="O66" s="1883" t="s">
        <v>1037</v>
      </c>
      <c r="P66" s="1884" t="s">
        <v>1551</v>
      </c>
      <c r="Q66" s="1885" t="e">
        <f ca="1">L60</f>
        <v>#DIV/0!</v>
      </c>
      <c r="R66" s="1885" t="s">
        <v>1574</v>
      </c>
    </row>
    <row r="67" spans="1:18" s="1841" customFormat="1" ht="24.6" thickBot="1">
      <c r="A67" s="1176" t="s">
        <v>1027</v>
      </c>
      <c r="B67" s="1186" t="s">
        <v>1456</v>
      </c>
      <c r="C67" s="361">
        <f ca="1">C48-C58</f>
        <v>0</v>
      </c>
      <c r="D67" s="1182" t="s">
        <v>1457</v>
      </c>
      <c r="E67" s="1187"/>
      <c r="F67" s="1188"/>
      <c r="O67" s="1893" t="s">
        <v>1038</v>
      </c>
      <c r="P67" s="1884" t="s">
        <v>1555</v>
      </c>
      <c r="Q67" s="1931">
        <f ca="1">L51</f>
        <v>0</v>
      </c>
      <c r="R67" s="1885" t="s">
        <v>1575</v>
      </c>
    </row>
    <row r="68" spans="1:18" s="1841" customFormat="1" ht="16.2" thickBot="1">
      <c r="A68" s="1166" t="s">
        <v>1028</v>
      </c>
      <c r="B68" s="1167" t="s">
        <v>1478</v>
      </c>
      <c r="C68" s="346" t="e">
        <f ca="1">ROUND(C67*(1-((1+F70)/(1+F68))^F69)/(F68-F70),0)</f>
        <v>#DIV/0!</v>
      </c>
      <c r="D68" s="1184" t="s">
        <v>1462</v>
      </c>
      <c r="E68" s="1169" t="s">
        <v>1463</v>
      </c>
      <c r="F68" s="357">
        <f ca="1">F40</f>
        <v>0</v>
      </c>
      <c r="O68" s="1893" t="s">
        <v>1039</v>
      </c>
      <c r="P68" s="1932" t="s">
        <v>1576</v>
      </c>
      <c r="Q68" s="1885">
        <f ca="1">ROUND(Q69-Q70*Q71,0)</f>
        <v>0</v>
      </c>
      <c r="R68" s="1885" t="s">
        <v>1047</v>
      </c>
    </row>
    <row r="69" spans="1:18" s="1841" customFormat="1" ht="13.8" thickBot="1">
      <c r="A69" s="1170"/>
      <c r="B69" s="1171"/>
      <c r="C69" s="351"/>
      <c r="D69" s="1189" t="s">
        <v>1466</v>
      </c>
      <c r="E69" s="1169" t="s">
        <v>1467</v>
      </c>
      <c r="F69" s="379">
        <f ca="1">F41</f>
        <v>0</v>
      </c>
      <c r="O69" s="1893" t="s">
        <v>1044</v>
      </c>
      <c r="P69" s="1932" t="s">
        <v>1577</v>
      </c>
      <c r="Q69" s="1885">
        <f ca="1">C39</f>
        <v>0</v>
      </c>
      <c r="R69" s="1885" t="s">
        <v>1522</v>
      </c>
    </row>
    <row r="70" spans="1:18" s="1841" customFormat="1" ht="13.8" thickBot="1">
      <c r="A70" s="1173"/>
      <c r="B70" s="1174"/>
      <c r="C70" s="355"/>
      <c r="D70" s="1185"/>
      <c r="E70" s="1169" t="s">
        <v>1470</v>
      </c>
      <c r="F70" s="1275">
        <f ca="1">F42</f>
        <v>0</v>
      </c>
      <c r="O70" s="1893" t="s">
        <v>1045</v>
      </c>
      <c r="P70" s="1932" t="s">
        <v>1578</v>
      </c>
      <c r="Q70" s="1885">
        <f ca="1">C13</f>
        <v>0</v>
      </c>
      <c r="R70" s="1885" t="s">
        <v>1522</v>
      </c>
    </row>
    <row r="71" spans="1:18" s="1841" customFormat="1" ht="13.8" thickBot="1">
      <c r="A71" s="1190" t="s">
        <v>1029</v>
      </c>
      <c r="B71" s="1191" t="s">
        <v>1480</v>
      </c>
      <c r="C71" s="382" t="e">
        <f ca="1">ROUND(C68/F71,0)</f>
        <v>#DIV/0!</v>
      </c>
      <c r="D71" s="1192" t="s">
        <v>1481</v>
      </c>
      <c r="E71" s="1193" t="s">
        <v>1482</v>
      </c>
      <c r="F71" s="385">
        <f ca="1">F43</f>
        <v>0</v>
      </c>
      <c r="O71" s="1893" t="s">
        <v>1046</v>
      </c>
      <c r="P71" s="1932" t="s">
        <v>1579</v>
      </c>
      <c r="Q71" s="1896">
        <f ca="1">C76</f>
        <v>0</v>
      </c>
      <c r="R71" s="1885"/>
    </row>
    <row r="72" spans="1:18" s="1841" customFormat="1" ht="13.8" thickBot="1">
      <c r="B72" s="796"/>
      <c r="C72" s="796"/>
      <c r="O72" s="1893" t="s">
        <v>1040</v>
      </c>
      <c r="P72" s="1884" t="s">
        <v>1557</v>
      </c>
      <c r="Q72" s="1896">
        <f>L52</f>
        <v>0</v>
      </c>
      <c r="R72" s="1885"/>
    </row>
    <row r="73" spans="1:18" ht="16.2" thickBot="1">
      <c r="A73" s="1841"/>
      <c r="B73" s="796"/>
      <c r="C73" s="796"/>
      <c r="D73" s="1841"/>
      <c r="E73" s="1841"/>
      <c r="F73" s="1841"/>
      <c r="O73" s="1893" t="s">
        <v>1041</v>
      </c>
      <c r="P73" s="1884" t="s">
        <v>1560</v>
      </c>
      <c r="Q73" s="1885" t="e">
        <f ca="1">L58</f>
        <v>#DIV/0!</v>
      </c>
      <c r="R73" s="1885" t="s">
        <v>1561</v>
      </c>
    </row>
    <row r="74" spans="1:18" ht="13.8" thickBot="1">
      <c r="A74" s="1841"/>
      <c r="B74" s="317" t="s">
        <v>1580</v>
      </c>
      <c r="C74" s="1934"/>
      <c r="D74" s="1841"/>
      <c r="E74" s="1841"/>
      <c r="F74" s="1841"/>
      <c r="O74" s="1893" t="s">
        <v>1048</v>
      </c>
      <c r="P74" s="1884" t="str">
        <f>K59</f>
        <v>建设期及建筑物耐用年限下的土地年期修正系数Kn</v>
      </c>
      <c r="Q74" s="1885" t="e">
        <f ca="1">L59</f>
        <v>#DIV/0!</v>
      </c>
      <c r="R74" s="1885" t="s">
        <v>1562</v>
      </c>
    </row>
    <row r="75" spans="1:18" ht="13.8" thickBot="1">
      <c r="A75" s="1841"/>
      <c r="B75" s="386" t="s">
        <v>1499</v>
      </c>
      <c r="C75" s="387">
        <f ca="1">ROUND(C13*C76,0)</f>
        <v>0</v>
      </c>
      <c r="D75" s="1841"/>
      <c r="E75" s="1841"/>
      <c r="F75" s="1841"/>
      <c r="K75" s="1867"/>
      <c r="L75" s="1841"/>
      <c r="O75" s="1883" t="s">
        <v>1042</v>
      </c>
      <c r="P75" s="1884" t="s">
        <v>1542</v>
      </c>
      <c r="Q75" s="1885" t="e">
        <f ca="1">Q65+Q66</f>
        <v>#DIV/0!</v>
      </c>
      <c r="R75" s="1885" t="s">
        <v>1043</v>
      </c>
    </row>
    <row r="76" spans="1:18">
      <c r="B76" s="388" t="s">
        <v>1500</v>
      </c>
      <c r="C76" s="389">
        <f ca="1">INDIRECT("'数据-取费表'!j"&amp;$G$1)</f>
        <v>0</v>
      </c>
      <c r="I76" s="1841"/>
      <c r="J76" s="1841"/>
      <c r="K76" s="1867"/>
      <c r="L76" s="1841"/>
    </row>
    <row r="77" spans="1:18">
      <c r="B77" s="390" t="s">
        <v>1501</v>
      </c>
      <c r="C77" s="391"/>
      <c r="I77" s="1841"/>
      <c r="J77" s="1841"/>
      <c r="K77" s="1867"/>
      <c r="L77" s="1841"/>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9" t="s">
        <v>2517</v>
      </c>
      <c r="B1" s="2560"/>
      <c r="C1" s="2560"/>
      <c r="D1" s="2560"/>
      <c r="E1" s="2561"/>
    </row>
    <row r="2" spans="1:6" ht="15.6">
      <c r="A2" s="2562" t="s">
        <v>2318</v>
      </c>
      <c r="B2" s="2563">
        <f ca="1">SUMIF(B6:B13,"&lt;&gt;#ref!",B6:B13)</f>
        <v>4853</v>
      </c>
      <c r="C2" s="2564" t="s">
        <v>2510</v>
      </c>
      <c r="D2" s="2565" t="s">
        <v>2511</v>
      </c>
      <c r="E2" s="2566">
        <f>SUM(E6:E13)</f>
        <v>9152.0400000000009</v>
      </c>
    </row>
    <row r="3" spans="1:6" ht="15.6">
      <c r="A3" s="2562" t="s">
        <v>1389</v>
      </c>
      <c r="B3" s="2563">
        <f ca="1">ROUND(B2*10000/E2,0)</f>
        <v>5303</v>
      </c>
      <c r="C3" s="2564" t="s">
        <v>2518</v>
      </c>
      <c r="D3" s="2567"/>
      <c r="E3" s="2568"/>
    </row>
    <row r="4" spans="1:6" ht="15.6">
      <c r="A4" s="2569"/>
      <c r="B4" s="2567"/>
      <c r="C4" s="2567"/>
      <c r="D4" s="2567"/>
      <c r="E4" s="2568"/>
    </row>
    <row r="5" spans="1:6" ht="14.4">
      <c r="A5" s="2570" t="s">
        <v>2512</v>
      </c>
      <c r="B5" s="3226" t="s">
        <v>2513</v>
      </c>
      <c r="C5" s="3226"/>
      <c r="D5" s="2571"/>
      <c r="E5" s="2572" t="s">
        <v>2514</v>
      </c>
      <c r="F5" s="2573" t="s">
        <v>2515</v>
      </c>
    </row>
    <row r="6" spans="1:6" ht="14.4">
      <c r="A6" s="2574" t="str">
        <f>'数据-取费表'!AN6</f>
        <v>收益法</v>
      </c>
      <c r="B6" s="2573">
        <f ca="1">IF(F6="是",'数据-取费表'!AO6,0)</f>
        <v>4853</v>
      </c>
      <c r="C6" s="2564" t="s">
        <v>2510</v>
      </c>
      <c r="D6" s="2567"/>
      <c r="E6" s="2575">
        <f>IF(OR(A6=0,F6="否"),0,'数据-取费表'!K6+'数据-取费表'!S6)</f>
        <v>9152.0400000000009</v>
      </c>
      <c r="F6" s="2576" t="s">
        <v>2516</v>
      </c>
    </row>
    <row r="7" spans="1:6" ht="14.4">
      <c r="A7" s="2574">
        <f>'数据-取费表'!AN7</f>
        <v>0</v>
      </c>
      <c r="B7" s="2573" t="e">
        <f ca="1">IF(F7="是",'数据-取费表'!AO7,0)</f>
        <v>#REF!</v>
      </c>
      <c r="C7" s="2564" t="s">
        <v>2510</v>
      </c>
      <c r="D7" s="2567"/>
      <c r="E7" s="2575">
        <f>IF(OR(A7=0,F7="否"),0,'数据-取费表'!K7+'数据-取费表'!S7)</f>
        <v>0</v>
      </c>
      <c r="F7" s="2576" t="s">
        <v>2516</v>
      </c>
    </row>
    <row r="8" spans="1:6" ht="14.4">
      <c r="A8" s="2574">
        <f>'数据-取费表'!AN8</f>
        <v>0</v>
      </c>
      <c r="B8" s="2573" t="e">
        <f ca="1">IF(F8="是",'数据-取费表'!AO8,0)</f>
        <v>#REF!</v>
      </c>
      <c r="C8" s="2564" t="s">
        <v>2510</v>
      </c>
      <c r="D8" s="2567"/>
      <c r="E8" s="2575">
        <f>IF(OR(A8=0,F8="否"),0,'数据-取费表'!K8+'数据-取费表'!S8)</f>
        <v>0</v>
      </c>
      <c r="F8" s="2576" t="s">
        <v>2516</v>
      </c>
    </row>
    <row r="9" spans="1:6" ht="14.4">
      <c r="A9" s="2574">
        <f>'数据-取费表'!AN9</f>
        <v>0</v>
      </c>
      <c r="B9" s="2573" t="e">
        <f ca="1">IF(F9="是",'数据-取费表'!AO9,0)</f>
        <v>#REF!</v>
      </c>
      <c r="C9" s="2564" t="s">
        <v>2510</v>
      </c>
      <c r="D9" s="2567"/>
      <c r="E9" s="2575">
        <f>IF(OR(A9=0,F9="否"),0,'数据-取费表'!K9+'数据-取费表'!S9)</f>
        <v>0</v>
      </c>
      <c r="F9" s="2576" t="s">
        <v>2516</v>
      </c>
    </row>
    <row r="10" spans="1:6" ht="14.4">
      <c r="A10" s="2574">
        <f>'数据-取费表'!AN10</f>
        <v>0</v>
      </c>
      <c r="B10" s="2573" t="e">
        <f ca="1">IF(F10="是",'数据-取费表'!AO10,0)</f>
        <v>#REF!</v>
      </c>
      <c r="C10" s="2564" t="s">
        <v>2510</v>
      </c>
      <c r="D10" s="2567"/>
      <c r="E10" s="2575">
        <f>IF(OR(A10=0,F10="否"),0,'数据-取费表'!K10+'数据-取费表'!S10)</f>
        <v>0</v>
      </c>
      <c r="F10" s="2576" t="s">
        <v>2516</v>
      </c>
    </row>
    <row r="11" spans="1:6" ht="14.4">
      <c r="A11" s="2574">
        <f>'数据-取费表'!AN11</f>
        <v>0</v>
      </c>
      <c r="B11" s="2573" t="e">
        <f ca="1">IF(F11="是",'数据-取费表'!AO11,0)</f>
        <v>#REF!</v>
      </c>
      <c r="C11" s="2564" t="s">
        <v>2510</v>
      </c>
      <c r="D11" s="2567"/>
      <c r="E11" s="2575">
        <f>IF(OR(A11=0,F11="否"),0,'数据-取费表'!K11+'数据-取费表'!S11)</f>
        <v>0</v>
      </c>
      <c r="F11" s="2576" t="s">
        <v>2516</v>
      </c>
    </row>
    <row r="12" spans="1:6" ht="14.4">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3" t="s">
        <v>1072</v>
      </c>
      <c r="B1" s="3244"/>
      <c r="C1" s="3245"/>
      <c r="D1" s="3246">
        <f>SUM(I10,I15,I20,I21,I23)</f>
        <v>0</v>
      </c>
      <c r="E1" s="3246"/>
      <c r="F1" s="3246"/>
      <c r="G1" s="3246"/>
      <c r="H1" s="3246"/>
      <c r="I1" s="3247"/>
    </row>
    <row r="2" spans="1:9">
      <c r="A2" s="3233" t="s">
        <v>1073</v>
      </c>
      <c r="B2" s="3234" t="s">
        <v>1074</v>
      </c>
      <c r="C2" s="3234"/>
      <c r="D2" s="1301" t="s">
        <v>1075</v>
      </c>
      <c r="E2" s="1301" t="s">
        <v>1076</v>
      </c>
      <c r="F2" s="1301" t="s">
        <v>1077</v>
      </c>
      <c r="G2" s="1301" t="s">
        <v>1078</v>
      </c>
      <c r="H2" s="1301" t="s">
        <v>1079</v>
      </c>
      <c r="I2" s="1302" t="s">
        <v>1080</v>
      </c>
    </row>
    <row r="3" spans="1:9">
      <c r="A3" s="3233"/>
      <c r="B3" s="3234" t="s">
        <v>1081</v>
      </c>
      <c r="C3" s="3234"/>
      <c r="D3" s="1303"/>
      <c r="E3" s="1301"/>
      <c r="F3" s="1304"/>
      <c r="G3" s="1304"/>
      <c r="H3" s="1305"/>
      <c r="I3" s="1306">
        <f>ROUND(D3*E3*F3*G3*H3/10000,0)</f>
        <v>0</v>
      </c>
    </row>
    <row r="4" spans="1:9">
      <c r="A4" s="3233"/>
      <c r="B4" s="3234" t="s">
        <v>1082</v>
      </c>
      <c r="C4" s="3234"/>
      <c r="D4" s="1303"/>
      <c r="E4" s="1301"/>
      <c r="F4" s="1304"/>
      <c r="G4" s="1304"/>
      <c r="H4" s="1305"/>
      <c r="I4" s="1306">
        <f t="shared" ref="I4:I9" si="0">ROUND(D4*E4*F4*G4*H4/10000,0)</f>
        <v>0</v>
      </c>
    </row>
    <row r="5" spans="1:9">
      <c r="A5" s="3233"/>
      <c r="B5" s="3234" t="s">
        <v>1083</v>
      </c>
      <c r="C5" s="3234"/>
      <c r="D5" s="1303"/>
      <c r="E5" s="1301"/>
      <c r="F5" s="1304"/>
      <c r="G5" s="1304"/>
      <c r="H5" s="1305"/>
      <c r="I5" s="1306">
        <f t="shared" si="0"/>
        <v>0</v>
      </c>
    </row>
    <row r="6" spans="1:9">
      <c r="A6" s="3233"/>
      <c r="B6" s="3234" t="s">
        <v>1084</v>
      </c>
      <c r="C6" s="3234"/>
      <c r="D6" s="1303"/>
      <c r="E6" s="1301"/>
      <c r="F6" s="1304"/>
      <c r="G6" s="1304"/>
      <c r="H6" s="1305"/>
      <c r="I6" s="1306">
        <f t="shared" si="0"/>
        <v>0</v>
      </c>
    </row>
    <row r="7" spans="1:9">
      <c r="A7" s="3233"/>
      <c r="B7" s="3234" t="s">
        <v>1085</v>
      </c>
      <c r="C7" s="3234"/>
      <c r="D7" s="1303"/>
      <c r="E7" s="1301"/>
      <c r="F7" s="1304"/>
      <c r="G7" s="1304"/>
      <c r="H7" s="1305"/>
      <c r="I7" s="1306">
        <f t="shared" si="0"/>
        <v>0</v>
      </c>
    </row>
    <row r="8" spans="1:9">
      <c r="A8" s="3233"/>
      <c r="B8" s="3234" t="s">
        <v>1086</v>
      </c>
      <c r="C8" s="3234"/>
      <c r="D8" s="1303"/>
      <c r="E8" s="1301"/>
      <c r="F8" s="1304"/>
      <c r="G8" s="1304"/>
      <c r="H8" s="1305"/>
      <c r="I8" s="1306">
        <f t="shared" si="0"/>
        <v>0</v>
      </c>
    </row>
    <row r="9" spans="1:9">
      <c r="A9" s="3233"/>
      <c r="B9" s="3234" t="s">
        <v>1087</v>
      </c>
      <c r="C9" s="3234"/>
      <c r="D9" s="1303"/>
      <c r="E9" s="1301"/>
      <c r="F9" s="1304"/>
      <c r="G9" s="1304"/>
      <c r="H9" s="1305"/>
      <c r="I9" s="1306">
        <f t="shared" si="0"/>
        <v>0</v>
      </c>
    </row>
    <row r="10" spans="1:9">
      <c r="A10" s="3233"/>
      <c r="B10" s="3235" t="s">
        <v>1088</v>
      </c>
      <c r="C10" s="3235"/>
      <c r="D10" s="1307"/>
      <c r="E10" s="1307" t="e">
        <f>ROUND(D1*10000/D10/H9,0)</f>
        <v>#DIV/0!</v>
      </c>
      <c r="F10" s="1308"/>
      <c r="G10" s="1308"/>
      <c r="H10" s="1309"/>
      <c r="I10" s="1310">
        <f>SUM(I3:I9)</f>
        <v>0</v>
      </c>
    </row>
    <row r="11" spans="1:9" ht="15.6">
      <c r="A11" s="3233" t="s">
        <v>1089</v>
      </c>
      <c r="B11" s="3234" t="s">
        <v>1090</v>
      </c>
      <c r="C11" s="3234"/>
      <c r="D11" s="1303" t="s">
        <v>1091</v>
      </c>
      <c r="E11" s="1303" t="s">
        <v>1092</v>
      </c>
      <c r="F11" s="1304" t="s">
        <v>1093</v>
      </c>
      <c r="G11" s="1304" t="s">
        <v>1079</v>
      </c>
      <c r="H11" s="1311" t="s">
        <v>1094</v>
      </c>
      <c r="I11" s="1302" t="s">
        <v>1080</v>
      </c>
    </row>
    <row r="12" spans="1:9">
      <c r="A12" s="3233"/>
      <c r="B12" s="3234" t="s">
        <v>1095</v>
      </c>
      <c r="C12" s="3234"/>
      <c r="D12" s="1303"/>
      <c r="E12" s="1303"/>
      <c r="F12" s="1304"/>
      <c r="G12" s="1305"/>
      <c r="H12" s="1312"/>
      <c r="I12" s="1302">
        <f>ROUND(D12*E12*F12*G12/10000,0)</f>
        <v>0</v>
      </c>
    </row>
    <row r="13" spans="1:9">
      <c r="A13" s="3233"/>
      <c r="B13" s="3234" t="s">
        <v>1096</v>
      </c>
      <c r="C13" s="3234"/>
      <c r="D13" s="1303"/>
      <c r="E13" s="1303"/>
      <c r="F13" s="1304"/>
      <c r="G13" s="1305"/>
      <c r="H13" s="1312"/>
      <c r="I13" s="1302">
        <f>ROUND(D13*E13*F13*G13/10000,0)</f>
        <v>0</v>
      </c>
    </row>
    <row r="14" spans="1:9">
      <c r="A14" s="3233"/>
      <c r="B14" s="3234" t="s">
        <v>1097</v>
      </c>
      <c r="C14" s="3234"/>
      <c r="D14" s="1303"/>
      <c r="E14" s="1303"/>
      <c r="F14" s="1304"/>
      <c r="G14" s="1305"/>
      <c r="H14" s="1312"/>
      <c r="I14" s="1302">
        <f>ROUND(D14*E14*F14*G14/10000,0)</f>
        <v>0</v>
      </c>
    </row>
    <row r="15" spans="1:9">
      <c r="A15" s="3233"/>
      <c r="B15" s="3235" t="s">
        <v>1088</v>
      </c>
      <c r="C15" s="3235"/>
      <c r="D15" s="1307"/>
      <c r="E15" s="1307">
        <f>SUM(E12:E14)</f>
        <v>0</v>
      </c>
      <c r="F15" s="1308"/>
      <c r="G15" s="1305"/>
      <c r="H15" s="1312"/>
      <c r="I15" s="1313">
        <f>SUM(I12:I14)</f>
        <v>0</v>
      </c>
    </row>
    <row r="16" spans="1:9" ht="24">
      <c r="A16" s="3233" t="s">
        <v>1098</v>
      </c>
      <c r="B16" s="3234" t="s">
        <v>1099</v>
      </c>
      <c r="C16" s="3234"/>
      <c r="D16" s="1303" t="s">
        <v>1075</v>
      </c>
      <c r="E16" s="1314" t="s">
        <v>1100</v>
      </c>
      <c r="F16" s="1304" t="s">
        <v>1101</v>
      </c>
      <c r="G16" s="1305" t="s">
        <v>1079</v>
      </c>
      <c r="H16" s="1311" t="s">
        <v>1094</v>
      </c>
      <c r="I16" s="1302" t="s">
        <v>1080</v>
      </c>
    </row>
    <row r="17" spans="1:9" ht="15.6">
      <c r="A17" s="3233"/>
      <c r="B17" s="3234" t="s">
        <v>1102</v>
      </c>
      <c r="C17" s="3234"/>
      <c r="D17" s="1303"/>
      <c r="E17" s="1303"/>
      <c r="F17" s="1304"/>
      <c r="G17" s="1305"/>
      <c r="H17" s="1315"/>
      <c r="I17" s="1316">
        <f>ROUND(D17*E17*F17*G17/10000,0)</f>
        <v>0</v>
      </c>
    </row>
    <row r="18" spans="1:9" ht="15.6">
      <c r="A18" s="3233"/>
      <c r="B18" s="3234" t="s">
        <v>1103</v>
      </c>
      <c r="C18" s="3234"/>
      <c r="D18" s="1303"/>
      <c r="E18" s="1303"/>
      <c r="F18" s="1304"/>
      <c r="G18" s="1305"/>
      <c r="H18" s="1315"/>
      <c r="I18" s="1316">
        <f>ROUND(D18*E18*F18*G18/10000,0)</f>
        <v>0</v>
      </c>
    </row>
    <row r="19" spans="1:9" ht="15.6">
      <c r="A19" s="3233"/>
      <c r="B19" s="3234" t="s">
        <v>1104</v>
      </c>
      <c r="C19" s="3234"/>
      <c r="D19" s="1303"/>
      <c r="E19" s="1303"/>
      <c r="F19" s="1304"/>
      <c r="G19" s="1305"/>
      <c r="H19" s="1315"/>
      <c r="I19" s="1316">
        <f>ROUND(D19*E19*F19*G19/10000,0)</f>
        <v>0</v>
      </c>
    </row>
    <row r="20" spans="1:9">
      <c r="A20" s="3233"/>
      <c r="B20" s="3235" t="s">
        <v>1088</v>
      </c>
      <c r="C20" s="3235"/>
      <c r="D20" s="1307">
        <f>SUM(D17:D19)</f>
        <v>0</v>
      </c>
      <c r="E20" s="1307"/>
      <c r="F20" s="1308"/>
      <c r="G20" s="1305"/>
      <c r="H20" s="1312"/>
      <c r="I20" s="1313">
        <f>SUM(I17:I19)</f>
        <v>0</v>
      </c>
    </row>
    <row r="21" spans="1:9">
      <c r="A21" s="3233" t="s">
        <v>1105</v>
      </c>
      <c r="B21" s="3236"/>
      <c r="C21" s="3236"/>
      <c r="D21" s="3236"/>
      <c r="E21" s="3236"/>
      <c r="F21" s="3236"/>
      <c r="G21" s="3236"/>
      <c r="H21" s="1764">
        <v>0.1</v>
      </c>
      <c r="I21" s="1310">
        <f>ROUND(I10*H21,0)</f>
        <v>0</v>
      </c>
    </row>
    <row r="22" spans="1:9" ht="15.6">
      <c r="A22" s="3237" t="s">
        <v>1106</v>
      </c>
      <c r="B22" s="3238"/>
      <c r="C22" s="3239"/>
      <c r="D22" s="1317" t="s">
        <v>1107</v>
      </c>
      <c r="E22" s="1317" t="s">
        <v>1108</v>
      </c>
      <c r="F22" s="1318" t="s">
        <v>1109</v>
      </c>
      <c r="G22" s="1318" t="s">
        <v>1110</v>
      </c>
      <c r="H22" s="1311" t="s">
        <v>1111</v>
      </c>
      <c r="I22" s="1302" t="s">
        <v>1112</v>
      </c>
    </row>
    <row r="23" spans="1:9" ht="15" thickBot="1">
      <c r="A23" s="3240"/>
      <c r="B23" s="3241"/>
      <c r="C23" s="3242"/>
      <c r="D23" s="1319"/>
      <c r="E23" s="1319"/>
      <c r="F23" s="1319"/>
      <c r="G23" s="1320"/>
      <c r="H23" s="1321"/>
      <c r="I23" s="1322">
        <f>ROUND(E23*D23*F23*(1-G23)/10000,0)</f>
        <v>0</v>
      </c>
    </row>
    <row r="26" spans="1:9">
      <c r="A26" s="1323" t="s">
        <v>1113</v>
      </c>
      <c r="B26" s="1323"/>
      <c r="C26" s="1323"/>
      <c r="D26" s="1323"/>
      <c r="E26" s="3230">
        <f>C27-C30-C31-C32</f>
        <v>0</v>
      </c>
      <c r="F26" s="3230"/>
      <c r="G26" s="3230"/>
      <c r="H26" s="1736" t="s">
        <v>1335</v>
      </c>
    </row>
    <row r="27" spans="1:9">
      <c r="A27" s="1324">
        <v>1</v>
      </c>
      <c r="B27" s="1325" t="s">
        <v>1114</v>
      </c>
      <c r="C27" s="1325">
        <f>C28+C29</f>
        <v>0</v>
      </c>
      <c r="D27" s="1325"/>
      <c r="E27" s="3231"/>
      <c r="F27" s="3231"/>
      <c r="G27" s="3231"/>
    </row>
    <row r="28" spans="1:9">
      <c r="A28" s="1326" t="s">
        <v>1115</v>
      </c>
      <c r="B28" s="1325" t="s">
        <v>1116</v>
      </c>
      <c r="C28" s="1325"/>
      <c r="D28" s="1325"/>
      <c r="E28" s="3231"/>
      <c r="F28" s="3231"/>
      <c r="G28" s="323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2"/>
      <c r="F32" s="3232"/>
      <c r="G32" s="3232"/>
    </row>
    <row r="33" spans="1:7" hidden="1">
      <c r="A33" s="3227" t="s">
        <v>1125</v>
      </c>
      <c r="B33" s="3228"/>
      <c r="C33" s="3228"/>
      <c r="D33" s="3229"/>
      <c r="E33" s="3230"/>
      <c r="F33" s="3230"/>
      <c r="G33" s="3230"/>
    </row>
    <row r="34" spans="1:7" hidden="1">
      <c r="A34" s="1328">
        <v>1</v>
      </c>
      <c r="B34" s="1325" t="s">
        <v>1126</v>
      </c>
      <c r="C34" s="1325"/>
      <c r="D34" s="1325"/>
      <c r="E34" s="3231"/>
      <c r="F34" s="3231"/>
      <c r="G34" s="3231"/>
    </row>
    <row r="35" spans="1:7" hidden="1">
      <c r="A35" s="1328">
        <v>2</v>
      </c>
      <c r="B35" s="1325" t="s">
        <v>1127</v>
      </c>
      <c r="C35" s="1325"/>
      <c r="D35" s="1325"/>
      <c r="E35" s="3231"/>
      <c r="F35" s="3231"/>
      <c r="G35" s="3231"/>
    </row>
    <row r="36" spans="1:7" hidden="1">
      <c r="A36" s="1328">
        <v>3</v>
      </c>
      <c r="B36" s="1325" t="s">
        <v>1128</v>
      </c>
      <c r="C36" s="1325"/>
      <c r="D36" s="1325"/>
      <c r="E36" s="3231"/>
      <c r="F36" s="3231"/>
      <c r="G36" s="3231"/>
    </row>
    <row r="37" spans="1:7" hidden="1">
      <c r="A37" s="1328">
        <v>4</v>
      </c>
      <c r="B37" s="1325" t="s">
        <v>1129</v>
      </c>
      <c r="C37" s="1325"/>
      <c r="D37" s="1325"/>
      <c r="E37" s="3231"/>
      <c r="F37" s="3231"/>
      <c r="G37" s="3231"/>
    </row>
    <row r="38" spans="1:7" hidden="1">
      <c r="A38" s="3227" t="s">
        <v>1130</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2525</v>
      </c>
      <c r="D3" s="399">
        <f>IF(D1="",'数据-汇总表'!E3,SUMIF('数据-汇总表'!$C19:$C33,D1,'数据-汇总表'!$E19:$E33))</f>
        <v>9152.0400000000009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2526</v>
      </c>
      <c r="B4" s="402"/>
      <c r="C4" s="3182" t="s">
        <v>2527</v>
      </c>
      <c r="D4" s="3195"/>
      <c r="E4" s="3196" t="s">
        <v>2528</v>
      </c>
      <c r="F4" s="3197"/>
      <c r="G4" s="3182" t="s">
        <v>2529</v>
      </c>
      <c r="H4" s="3195"/>
      <c r="I4" s="3182" t="s">
        <v>2530</v>
      </c>
      <c r="J4" s="3195"/>
      <c r="K4" s="2594" t="s">
        <v>2531</v>
      </c>
      <c r="L4" s="1130"/>
      <c r="M4" s="1131"/>
      <c r="N4" s="1131"/>
      <c r="O4" s="1131"/>
      <c r="P4" s="3198" t="s">
        <v>2532</v>
      </c>
      <c r="Q4" s="3199"/>
      <c r="R4" s="3204" t="s">
        <v>2528</v>
      </c>
      <c r="S4" s="3205"/>
      <c r="T4" s="3204" t="s">
        <v>2529</v>
      </c>
      <c r="U4" s="3205"/>
      <c r="V4" s="3191" t="s">
        <v>2530</v>
      </c>
      <c r="W4" s="3191"/>
      <c r="X4" s="1812"/>
      <c r="Y4" s="3204" t="s">
        <v>2532</v>
      </c>
      <c r="Z4" s="3205"/>
      <c r="AA4" s="3192" t="s">
        <v>2528</v>
      </c>
      <c r="AB4" s="3192" t="s">
        <v>2529</v>
      </c>
      <c r="AC4" s="3192" t="s">
        <v>2530</v>
      </c>
    </row>
    <row r="5" spans="1:29">
      <c r="A5" s="404"/>
      <c r="B5" s="405"/>
      <c r="C5" s="3212" t="s">
        <v>2533</v>
      </c>
      <c r="D5" s="3213"/>
      <c r="E5" s="3219" t="s">
        <v>2534</v>
      </c>
      <c r="F5" s="3220"/>
      <c r="G5" s="3212" t="s">
        <v>2535</v>
      </c>
      <c r="H5" s="3213"/>
      <c r="I5" s="3212" t="s">
        <v>2536</v>
      </c>
      <c r="J5" s="3213"/>
      <c r="K5" s="2595"/>
      <c r="L5" s="1130"/>
      <c r="M5" s="1131"/>
      <c r="N5" s="1131"/>
      <c r="O5" s="1131"/>
      <c r="P5" s="3200"/>
      <c r="Q5" s="3201"/>
      <c r="R5" s="3206"/>
      <c r="S5" s="3207"/>
      <c r="T5" s="3206"/>
      <c r="U5" s="3207"/>
      <c r="V5" s="3191"/>
      <c r="W5" s="3191"/>
      <c r="X5" s="1812"/>
      <c r="Y5" s="3206"/>
      <c r="Z5" s="3207"/>
      <c r="AA5" s="3193"/>
      <c r="AB5" s="3193"/>
      <c r="AC5" s="3193"/>
    </row>
    <row r="6" spans="1:29" ht="15" thickBot="1">
      <c r="A6" s="406"/>
      <c r="B6" s="407"/>
      <c r="C6" s="3210" t="s">
        <v>2537</v>
      </c>
      <c r="D6" s="3211"/>
      <c r="E6" s="3217" t="s">
        <v>2537</v>
      </c>
      <c r="F6" s="3218"/>
      <c r="G6" s="3210" t="s">
        <v>2537</v>
      </c>
      <c r="H6" s="3211"/>
      <c r="I6" s="3210" t="s">
        <v>2537</v>
      </c>
      <c r="J6" s="3211"/>
      <c r="K6" s="2595" t="s">
        <v>2538</v>
      </c>
      <c r="L6" s="1130"/>
      <c r="M6" s="1131"/>
      <c r="N6" s="1131"/>
      <c r="O6" s="1131"/>
      <c r="P6" s="3202"/>
      <c r="Q6" s="3203"/>
      <c r="R6" s="3206"/>
      <c r="S6" s="3207"/>
      <c r="T6" s="3208"/>
      <c r="U6" s="3209"/>
      <c r="V6" s="3191"/>
      <c r="W6" s="3191"/>
      <c r="X6" s="1812"/>
      <c r="Y6" s="3208"/>
      <c r="Z6" s="3209"/>
      <c r="AA6" s="3194"/>
      <c r="AB6" s="3194"/>
      <c r="AC6" s="3194"/>
    </row>
    <row r="7" spans="1:29" s="117" customFormat="1" ht="1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4" t="s">
        <v>2540</v>
      </c>
      <c r="Q7" s="3216"/>
      <c r="R7" s="770" t="s">
        <v>23</v>
      </c>
      <c r="S7" s="771">
        <f t="shared" ref="S7:S15" si="0">F7</f>
        <v>0</v>
      </c>
      <c r="T7" s="770" t="s">
        <v>23</v>
      </c>
      <c r="U7" s="771">
        <f t="shared" ref="U7:U15" si="1">H7</f>
        <v>0</v>
      </c>
      <c r="V7" s="770" t="s">
        <v>23</v>
      </c>
      <c r="W7" s="771">
        <f t="shared" ref="W7:W15" si="2">J7</f>
        <v>0</v>
      </c>
      <c r="X7" s="772"/>
      <c r="Y7" s="3214" t="s">
        <v>2540</v>
      </c>
      <c r="Z7" s="3215"/>
      <c r="AA7" s="773" t="e">
        <f>D7/F7</f>
        <v>#DIV/0!</v>
      </c>
      <c r="AB7" s="773" t="e">
        <f>D7/H7</f>
        <v>#DIV/0!</v>
      </c>
      <c r="AC7" s="773" t="e">
        <f>D7/J7</f>
        <v>#DIV/0!</v>
      </c>
    </row>
    <row r="8" spans="1:29" s="117" customFormat="1" ht="1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4" t="s">
        <v>2543</v>
      </c>
      <c r="Q8" s="3215"/>
      <c r="R8" s="770" t="s">
        <v>23</v>
      </c>
      <c r="S8" s="771">
        <f t="shared" si="0"/>
        <v>0</v>
      </c>
      <c r="T8" s="770" t="s">
        <v>23</v>
      </c>
      <c r="U8" s="771">
        <f t="shared" si="1"/>
        <v>0</v>
      </c>
      <c r="V8" s="770" t="s">
        <v>23</v>
      </c>
      <c r="W8" s="771">
        <f t="shared" si="2"/>
        <v>0</v>
      </c>
      <c r="X8" s="772"/>
      <c r="Y8" s="3214" t="s">
        <v>2543</v>
      </c>
      <c r="Z8" s="3215"/>
      <c r="AA8" s="773" t="e">
        <f t="shared" ref="AA8:AA19" si="3">D8/F8</f>
        <v>#DIV/0!</v>
      </c>
      <c r="AB8" s="773" t="e">
        <f t="shared" ref="AB8:AB19" si="4">D8/H8</f>
        <v>#DIV/0!</v>
      </c>
      <c r="AC8" s="773" t="e">
        <f t="shared" ref="AC8:AC19" si="5">D8/J8</f>
        <v>#DIV/0!</v>
      </c>
    </row>
    <row r="9" spans="1:29" s="117" customFormat="1" ht="14.4">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4" t="s">
        <v>2546</v>
      </c>
      <c r="Q9" s="1794"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4"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4"/>
      <c r="Q12" s="1794">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4"/>
      <c r="Q13" s="1794">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4"/>
      <c r="Q14" s="1794">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15">
      <c r="A15" s="440" t="s">
        <v>2550</v>
      </c>
      <c r="B15" s="69" t="s">
        <v>2079</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2551</v>
      </c>
      <c r="Q15" s="1809" t="str">
        <f t="shared" si="6"/>
        <v>居住社区成熟度</v>
      </c>
      <c r="R15" s="774" t="s">
        <v>21</v>
      </c>
      <c r="S15" s="775">
        <f t="shared" si="0"/>
        <v>100</v>
      </c>
      <c r="T15" s="774" t="s">
        <v>21</v>
      </c>
      <c r="U15" s="775">
        <f t="shared" si="1"/>
        <v>100</v>
      </c>
      <c r="V15" s="774" t="s">
        <v>21</v>
      </c>
      <c r="W15" s="775">
        <f t="shared" si="2"/>
        <v>100</v>
      </c>
      <c r="X15" s="1812"/>
      <c r="Y15" s="3187" t="s">
        <v>2551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55"/>
      <c r="Q16" s="1809"/>
      <c r="R16" s="774"/>
      <c r="S16" s="775"/>
      <c r="T16" s="774"/>
      <c r="U16" s="775"/>
      <c r="V16" s="774"/>
      <c r="W16" s="775"/>
      <c r="X16" s="1812"/>
      <c r="Y16" s="3188"/>
      <c r="Z16" s="1813"/>
      <c r="AA16" s="1810">
        <v>1</v>
      </c>
      <c r="AB16" s="1810">
        <v>1</v>
      </c>
      <c r="AC16" s="1810">
        <v>1</v>
      </c>
    </row>
    <row r="17" spans="1:29" ht="15">
      <c r="A17" s="428"/>
      <c r="B17" s="451" t="s">
        <v>2088</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09" t="str">
        <f>B17</f>
        <v>交通便捷度</v>
      </c>
      <c r="R17" s="774" t="s">
        <v>21</v>
      </c>
      <c r="S17" s="775">
        <f>F17</f>
        <v>100</v>
      </c>
      <c r="T17" s="774" t="s">
        <v>21</v>
      </c>
      <c r="U17" s="775">
        <f>H17</f>
        <v>100</v>
      </c>
      <c r="V17" s="774" t="s">
        <v>21</v>
      </c>
      <c r="W17" s="775">
        <f>J17</f>
        <v>100</v>
      </c>
      <c r="X17" s="1812"/>
      <c r="Y17" s="3188"/>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55"/>
      <c r="Q18" s="1809"/>
      <c r="R18" s="774"/>
      <c r="S18" s="775"/>
      <c r="T18" s="774"/>
      <c r="U18" s="775"/>
      <c r="V18" s="774"/>
      <c r="W18" s="775"/>
      <c r="X18" s="1812"/>
      <c r="Y18" s="3188"/>
      <c r="Z18" s="1813"/>
      <c r="AA18" s="1810">
        <v>1</v>
      </c>
      <c r="AB18" s="1810">
        <v>1</v>
      </c>
      <c r="AC18" s="1810">
        <v>1</v>
      </c>
    </row>
    <row r="19" spans="1:29" ht="15">
      <c r="A19" s="428"/>
      <c r="B19" s="451" t="s">
        <v>2086</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09" t="str">
        <f>B19</f>
        <v>公共配套设施</v>
      </c>
      <c r="R19" s="774" t="s">
        <v>21</v>
      </c>
      <c r="S19" s="775">
        <f>F19</f>
        <v>100</v>
      </c>
      <c r="T19" s="774" t="s">
        <v>21</v>
      </c>
      <c r="U19" s="775">
        <f>H19</f>
        <v>100</v>
      </c>
      <c r="V19" s="774" t="s">
        <v>21</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55"/>
      <c r="Q20" s="1809"/>
      <c r="R20" s="774"/>
      <c r="S20" s="775"/>
      <c r="T20" s="774"/>
      <c r="U20" s="775"/>
      <c r="V20" s="774"/>
      <c r="W20" s="775"/>
      <c r="X20" s="1812"/>
      <c r="Y20" s="3188"/>
      <c r="Z20" s="1813"/>
      <c r="AA20" s="1810">
        <v>1</v>
      </c>
      <c r="AB20" s="1810">
        <v>1</v>
      </c>
      <c r="AC20" s="1810">
        <v>1</v>
      </c>
    </row>
    <row r="21" spans="1:29" ht="15">
      <c r="A21" s="428"/>
      <c r="B21" s="1384" t="s">
        <v>2089</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55"/>
      <c r="Q22" s="1809"/>
      <c r="R22" s="774"/>
      <c r="S22" s="775"/>
      <c r="T22" s="774"/>
      <c r="U22" s="775"/>
      <c r="V22" s="774"/>
      <c r="W22" s="775"/>
      <c r="X22" s="1812"/>
      <c r="Y22" s="3188"/>
      <c r="Z22" s="1813"/>
      <c r="AA22" s="1810">
        <v>1</v>
      </c>
      <c r="AB22" s="1810">
        <v>1</v>
      </c>
      <c r="AC22" s="1810">
        <v>1</v>
      </c>
    </row>
    <row r="23" spans="1:29" ht="15">
      <c r="A23" s="428"/>
      <c r="B23" s="451" t="s">
        <v>2093</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09" t="str">
        <f>B23</f>
        <v>自然及人文环境</v>
      </c>
      <c r="R23" s="774" t="s">
        <v>21</v>
      </c>
      <c r="S23" s="775">
        <f>F23</f>
        <v>100</v>
      </c>
      <c r="T23" s="774" t="s">
        <v>21</v>
      </c>
      <c r="U23" s="775">
        <f>H23</f>
        <v>100</v>
      </c>
      <c r="V23" s="774" t="s">
        <v>21</v>
      </c>
      <c r="W23" s="775">
        <f>J23</f>
        <v>100</v>
      </c>
      <c r="X23" s="1812"/>
      <c r="Y23" s="3188"/>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55"/>
      <c r="Q24" s="1809"/>
      <c r="R24" s="774"/>
      <c r="S24" s="775"/>
      <c r="T24" s="774"/>
      <c r="U24" s="775"/>
      <c r="V24" s="774"/>
      <c r="W24" s="775"/>
      <c r="X24" s="1812"/>
      <c r="Y24" s="3188"/>
      <c r="Z24" s="1813"/>
      <c r="AA24" s="1810">
        <v>1</v>
      </c>
      <c r="AB24" s="1810">
        <v>1</v>
      </c>
      <c r="AC24" s="1810">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8"/>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55"/>
      <c r="Q26" s="1809" t="str">
        <f t="shared" si="11"/>
        <v>朝向</v>
      </c>
      <c r="R26" s="774" t="s">
        <v>21</v>
      </c>
      <c r="S26" s="775">
        <f t="shared" si="12"/>
        <v>100</v>
      </c>
      <c r="T26" s="774" t="s">
        <v>21</v>
      </c>
      <c r="U26" s="775">
        <f t="shared" si="13"/>
        <v>100</v>
      </c>
      <c r="V26" s="774" t="s">
        <v>21</v>
      </c>
      <c r="W26" s="775">
        <f t="shared" si="14"/>
        <v>100</v>
      </c>
      <c r="X26" s="1812"/>
      <c r="Y26" s="318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55"/>
      <c r="Q27" s="1794">
        <f t="shared" si="11"/>
        <v>111</v>
      </c>
      <c r="R27" s="770" t="s">
        <v>21</v>
      </c>
      <c r="S27" s="771">
        <f t="shared" si="12"/>
        <v>100</v>
      </c>
      <c r="T27" s="770" t="s">
        <v>21</v>
      </c>
      <c r="U27" s="771">
        <f t="shared" si="13"/>
        <v>100</v>
      </c>
      <c r="V27" s="770" t="s">
        <v>21</v>
      </c>
      <c r="W27" s="771">
        <f t="shared" si="14"/>
        <v>100</v>
      </c>
      <c r="X27" s="772"/>
      <c r="Y27" s="318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5"/>
      <c r="Q28" s="1809">
        <f t="shared" si="11"/>
        <v>111</v>
      </c>
      <c r="R28" s="774" t="s">
        <v>21</v>
      </c>
      <c r="S28" s="775">
        <f t="shared" si="12"/>
        <v>100</v>
      </c>
      <c r="T28" s="774" t="s">
        <v>21</v>
      </c>
      <c r="U28" s="775">
        <f t="shared" si="13"/>
        <v>100</v>
      </c>
      <c r="V28" s="774" t="s">
        <v>21</v>
      </c>
      <c r="W28" s="775">
        <f t="shared" si="14"/>
        <v>100</v>
      </c>
      <c r="X28" s="1812"/>
      <c r="Y28" s="318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5"/>
      <c r="Q29" s="1809">
        <f t="shared" si="11"/>
        <v>111</v>
      </c>
      <c r="R29" s="774" t="s">
        <v>21</v>
      </c>
      <c r="S29" s="775">
        <f t="shared" si="12"/>
        <v>100</v>
      </c>
      <c r="T29" s="774" t="s">
        <v>21</v>
      </c>
      <c r="U29" s="775">
        <f t="shared" si="13"/>
        <v>100</v>
      </c>
      <c r="V29" s="774" t="s">
        <v>21</v>
      </c>
      <c r="W29" s="775">
        <f t="shared" si="14"/>
        <v>100</v>
      </c>
      <c r="X29" s="1812"/>
      <c r="Y29" s="318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5"/>
      <c r="Q30" s="1809">
        <f t="shared" si="11"/>
        <v>111</v>
      </c>
      <c r="R30" s="774" t="s">
        <v>21</v>
      </c>
      <c r="S30" s="775">
        <f t="shared" si="12"/>
        <v>100</v>
      </c>
      <c r="T30" s="774" t="s">
        <v>21</v>
      </c>
      <c r="U30" s="775">
        <f t="shared" si="13"/>
        <v>100</v>
      </c>
      <c r="V30" s="774" t="s">
        <v>21</v>
      </c>
      <c r="W30" s="775">
        <f t="shared" si="14"/>
        <v>100</v>
      </c>
      <c r="X30" s="1812"/>
      <c r="Y30" s="3188"/>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5"/>
      <c r="Q31" s="1809">
        <f t="shared" si="11"/>
        <v>111</v>
      </c>
      <c r="R31" s="774" t="s">
        <v>21</v>
      </c>
      <c r="S31" s="775">
        <f t="shared" si="12"/>
        <v>100</v>
      </c>
      <c r="T31" s="774" t="s">
        <v>21</v>
      </c>
      <c r="U31" s="775">
        <f t="shared" si="13"/>
        <v>100</v>
      </c>
      <c r="V31" s="774" t="s">
        <v>21</v>
      </c>
      <c r="W31" s="775">
        <f t="shared" si="14"/>
        <v>100</v>
      </c>
      <c r="X31" s="1812"/>
      <c r="Y31" s="3188"/>
      <c r="Z31" s="1813">
        <f t="shared" si="18"/>
        <v>111</v>
      </c>
      <c r="AA31" s="1810">
        <f t="shared" si="15"/>
        <v>1</v>
      </c>
      <c r="AB31" s="1810">
        <f t="shared" si="16"/>
        <v>1</v>
      </c>
      <c r="AC31" s="1810">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0" t="s">
        <v>2556</v>
      </c>
      <c r="Q32" s="1809" t="str">
        <f t="shared" si="11"/>
        <v>建筑类型</v>
      </c>
      <c r="R32" s="774" t="s">
        <v>21</v>
      </c>
      <c r="S32" s="775">
        <f t="shared" si="12"/>
        <v>100</v>
      </c>
      <c r="T32" s="774" t="s">
        <v>21</v>
      </c>
      <c r="U32" s="775">
        <f t="shared" si="13"/>
        <v>100</v>
      </c>
      <c r="V32" s="774" t="s">
        <v>21</v>
      </c>
      <c r="W32" s="775">
        <f t="shared" si="14"/>
        <v>100</v>
      </c>
      <c r="X32" s="1812"/>
      <c r="Y32" s="3190"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1"/>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0" t="e">
        <f t="shared" si="15"/>
        <v>#N/A</v>
      </c>
      <c r="AB33" s="1810" t="e">
        <f t="shared" si="16"/>
        <v>#N/A</v>
      </c>
      <c r="AC33" s="1810"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1"/>
      <c r="Q34" s="1809" t="str">
        <f t="shared" si="11"/>
        <v>建筑结构</v>
      </c>
      <c r="R34" s="774" t="s">
        <v>21</v>
      </c>
      <c r="S34" s="775">
        <f t="shared" si="12"/>
        <v>100</v>
      </c>
      <c r="T34" s="774" t="s">
        <v>21</v>
      </c>
      <c r="U34" s="775">
        <f t="shared" si="13"/>
        <v>100</v>
      </c>
      <c r="V34" s="774" t="s">
        <v>21</v>
      </c>
      <c r="W34" s="775">
        <f t="shared" si="14"/>
        <v>100</v>
      </c>
      <c r="X34" s="1812"/>
      <c r="Y34" s="3190"/>
      <c r="Z34" s="1813" t="str">
        <f t="shared" si="18"/>
        <v>建筑结构</v>
      </c>
      <c r="AA34" s="1810">
        <f t="shared" si="15"/>
        <v>1</v>
      </c>
      <c r="AB34" s="1810">
        <f t="shared" si="16"/>
        <v>1</v>
      </c>
      <c r="AC34" s="1810">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1"/>
      <c r="Q35" s="1809" t="str">
        <f t="shared" si="11"/>
        <v>建筑品质</v>
      </c>
      <c r="R35" s="774" t="s">
        <v>21</v>
      </c>
      <c r="S35" s="775">
        <f t="shared" si="12"/>
        <v>100</v>
      </c>
      <c r="T35" s="774" t="s">
        <v>21</v>
      </c>
      <c r="U35" s="775">
        <f t="shared" si="13"/>
        <v>100</v>
      </c>
      <c r="V35" s="774" t="s">
        <v>21</v>
      </c>
      <c r="W35" s="775">
        <f t="shared" si="14"/>
        <v>100</v>
      </c>
      <c r="X35" s="1812"/>
      <c r="Y35" s="3190"/>
      <c r="Z35" s="1813" t="str">
        <f t="shared" si="18"/>
        <v>建筑品质</v>
      </c>
      <c r="AA35" s="1810">
        <f t="shared" si="15"/>
        <v>1</v>
      </c>
      <c r="AB35" s="1810">
        <f t="shared" si="16"/>
        <v>1</v>
      </c>
      <c r="AC35" s="1810">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1"/>
      <c r="Q36" s="1809" t="str">
        <f t="shared" si="11"/>
        <v>公共部分装修</v>
      </c>
      <c r="R36" s="774" t="s">
        <v>21</v>
      </c>
      <c r="S36" s="775">
        <f t="shared" si="12"/>
        <v>100</v>
      </c>
      <c r="T36" s="774" t="s">
        <v>21</v>
      </c>
      <c r="U36" s="775">
        <f t="shared" si="13"/>
        <v>100</v>
      </c>
      <c r="V36" s="774" t="s">
        <v>21</v>
      </c>
      <c r="W36" s="775">
        <f t="shared" si="14"/>
        <v>100</v>
      </c>
      <c r="X36" s="1812"/>
      <c r="Y36" s="3190"/>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1"/>
      <c r="Q37" s="1794"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1" t="s">
        <v>2556</v>
      </c>
      <c r="Q38" s="1809" t="str">
        <f t="shared" si="11"/>
        <v>物业管理</v>
      </c>
      <c r="R38" s="774" t="s">
        <v>21</v>
      </c>
      <c r="S38" s="775">
        <f t="shared" si="12"/>
        <v>100</v>
      </c>
      <c r="T38" s="774" t="s">
        <v>21</v>
      </c>
      <c r="U38" s="775">
        <f t="shared" si="13"/>
        <v>100</v>
      </c>
      <c r="V38" s="774" t="s">
        <v>21</v>
      </c>
      <c r="W38" s="775">
        <f t="shared" si="14"/>
        <v>100</v>
      </c>
      <c r="X38" s="1812"/>
      <c r="Y38" s="3190" t="s">
        <v>2556</v>
      </c>
      <c r="Z38" s="1813" t="str">
        <f t="shared" si="18"/>
        <v>物业管理</v>
      </c>
      <c r="AA38" s="1810">
        <f t="shared" si="15"/>
        <v>1</v>
      </c>
      <c r="AB38" s="1810">
        <f t="shared" si="16"/>
        <v>1</v>
      </c>
      <c r="AC38" s="1810">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1"/>
      <c r="Q39" s="1809" t="str">
        <f t="shared" si="11"/>
        <v>市政基础设施</v>
      </c>
      <c r="R39" s="774" t="s">
        <v>21</v>
      </c>
      <c r="S39" s="775">
        <f t="shared" si="12"/>
        <v>100</v>
      </c>
      <c r="T39" s="774" t="s">
        <v>21</v>
      </c>
      <c r="U39" s="775">
        <f t="shared" si="13"/>
        <v>100</v>
      </c>
      <c r="V39" s="774" t="s">
        <v>21</v>
      </c>
      <c r="W39" s="775">
        <f t="shared" si="14"/>
        <v>100</v>
      </c>
      <c r="X39" s="1812"/>
      <c r="Y39" s="3190"/>
      <c r="Z39" s="1813" t="str">
        <f t="shared" si="18"/>
        <v>市政基础设施</v>
      </c>
      <c r="AA39" s="1810">
        <f t="shared" si="15"/>
        <v>1</v>
      </c>
      <c r="AB39" s="1810">
        <f t="shared" si="16"/>
        <v>1</v>
      </c>
      <c r="AC39" s="1810">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1"/>
      <c r="Q40" s="1809" t="str">
        <f t="shared" si="11"/>
        <v>房型</v>
      </c>
      <c r="R40" s="774" t="s">
        <v>21</v>
      </c>
      <c r="S40" s="775">
        <f t="shared" si="12"/>
        <v>100</v>
      </c>
      <c r="T40" s="774" t="s">
        <v>21</v>
      </c>
      <c r="U40" s="775">
        <f t="shared" si="13"/>
        <v>100</v>
      </c>
      <c r="V40" s="774" t="s">
        <v>21</v>
      </c>
      <c r="W40" s="775">
        <f t="shared" si="14"/>
        <v>100</v>
      </c>
      <c r="X40" s="1812"/>
      <c r="Y40" s="3190"/>
      <c r="Z40" s="1813" t="str">
        <f t="shared" si="18"/>
        <v>房型</v>
      </c>
      <c r="AA40" s="1810">
        <f t="shared" si="15"/>
        <v>1</v>
      </c>
      <c r="AB40" s="1810">
        <f t="shared" si="16"/>
        <v>1</v>
      </c>
      <c r="AC40" s="1810">
        <f t="shared" si="17"/>
        <v>1</v>
      </c>
    </row>
    <row r="41" spans="1:29" s="471" customFormat="1" ht="28.8">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1"/>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0">
        <f t="shared" si="15"/>
        <v>1</v>
      </c>
      <c r="AB41" s="1810">
        <f t="shared" si="16"/>
        <v>1</v>
      </c>
      <c r="AC41" s="1810">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1"/>
      <c r="Q42" s="1809" t="str">
        <f t="shared" si="11"/>
        <v>内部装修</v>
      </c>
      <c r="R42" s="774" t="s">
        <v>21</v>
      </c>
      <c r="S42" s="775">
        <f t="shared" si="12"/>
        <v>100</v>
      </c>
      <c r="T42" s="774" t="s">
        <v>21</v>
      </c>
      <c r="U42" s="775">
        <f t="shared" si="13"/>
        <v>100</v>
      </c>
      <c r="V42" s="774" t="s">
        <v>21</v>
      </c>
      <c r="W42" s="775">
        <f t="shared" si="14"/>
        <v>100</v>
      </c>
      <c r="X42" s="1812"/>
      <c r="Y42" s="3190"/>
      <c r="Z42" s="1813" t="str">
        <f t="shared" si="18"/>
        <v>内部装修</v>
      </c>
      <c r="AA42" s="1810">
        <f t="shared" si="15"/>
        <v>1</v>
      </c>
      <c r="AB42" s="1810">
        <f t="shared" si="16"/>
        <v>1</v>
      </c>
      <c r="AC42" s="1810">
        <f t="shared" si="17"/>
        <v>1</v>
      </c>
    </row>
    <row r="43" spans="1:29" ht="28.8">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1"/>
      <c r="Q43" s="1809" t="str">
        <f t="shared" si="11"/>
        <v>内部装修维护情况</v>
      </c>
      <c r="R43" s="774" t="s">
        <v>21</v>
      </c>
      <c r="S43" s="775">
        <f t="shared" si="12"/>
        <v>100</v>
      </c>
      <c r="T43" s="774" t="s">
        <v>21</v>
      </c>
      <c r="U43" s="775">
        <f t="shared" si="13"/>
        <v>100</v>
      </c>
      <c r="V43" s="774" t="s">
        <v>21</v>
      </c>
      <c r="W43" s="775">
        <f t="shared" si="14"/>
        <v>100</v>
      </c>
      <c r="X43" s="1812"/>
      <c r="Y43" s="319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1"/>
      <c r="Q44" s="1794">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1"/>
      <c r="Q45" s="1809">
        <f t="shared" si="11"/>
        <v>111</v>
      </c>
      <c r="R45" s="774" t="s">
        <v>21</v>
      </c>
      <c r="S45" s="775">
        <f t="shared" si="12"/>
        <v>100</v>
      </c>
      <c r="T45" s="774" t="s">
        <v>21</v>
      </c>
      <c r="U45" s="775">
        <f t="shared" si="13"/>
        <v>100</v>
      </c>
      <c r="V45" s="774" t="s">
        <v>21</v>
      </c>
      <c r="W45" s="775">
        <f t="shared" si="14"/>
        <v>100</v>
      </c>
      <c r="X45" s="1812"/>
      <c r="Y45" s="3190"/>
      <c r="Z45" s="1813">
        <f t="shared" si="18"/>
        <v>111</v>
      </c>
      <c r="AA45" s="1810">
        <f t="shared" si="15"/>
        <v>1</v>
      </c>
      <c r="AB45" s="1810">
        <f t="shared" si="16"/>
        <v>1</v>
      </c>
      <c r="AC45" s="1810">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2"/>
      <c r="Q46" s="1809">
        <f t="shared" si="11"/>
        <v>111</v>
      </c>
      <c r="R46" s="774" t="s">
        <v>20</v>
      </c>
      <c r="S46" s="775">
        <f t="shared" si="12"/>
        <v>100</v>
      </c>
      <c r="T46" s="774" t="s">
        <v>20</v>
      </c>
      <c r="U46" s="775">
        <f t="shared" si="13"/>
        <v>100</v>
      </c>
      <c r="V46" s="774" t="s">
        <v>20</v>
      </c>
      <c r="W46" s="775">
        <f t="shared" si="14"/>
        <v>100</v>
      </c>
      <c r="X46" s="1812"/>
      <c r="Y46" s="3253"/>
      <c r="Z46" s="1813">
        <f t="shared" si="18"/>
        <v>111</v>
      </c>
      <c r="AA46" s="1810">
        <f t="shared" si="15"/>
        <v>1</v>
      </c>
      <c r="AB46" s="1810">
        <f t="shared" si="16"/>
        <v>1</v>
      </c>
      <c r="AC46" s="1810">
        <f t="shared" si="17"/>
        <v>1</v>
      </c>
    </row>
    <row r="47" spans="1:29" ht="14.4">
      <c r="A47" s="479" t="s">
        <v>2568</v>
      </c>
      <c r="B47" s="480"/>
      <c r="C47" s="1407" t="s">
        <v>19</v>
      </c>
      <c r="D47" s="1408"/>
      <c r="E47" s="1409"/>
      <c r="F47" s="1410"/>
      <c r="G47" s="1411"/>
      <c r="H47" s="1412"/>
      <c r="I47" s="1409"/>
      <c r="J47" s="1412"/>
      <c r="K47" s="2619"/>
      <c r="L47" s="1143"/>
      <c r="M47" s="1144"/>
      <c r="N47" s="1131"/>
      <c r="O47" s="1144"/>
      <c r="P47" s="3185" t="str">
        <f>A47</f>
        <v>成交单价（元/平方米）</v>
      </c>
      <c r="Q47" s="3185"/>
      <c r="R47" s="3249">
        <f>E47</f>
        <v>0</v>
      </c>
      <c r="S47" s="3249"/>
      <c r="T47" s="3249">
        <f>G47</f>
        <v>0</v>
      </c>
      <c r="U47" s="3249"/>
      <c r="V47" s="3249">
        <f>I47</f>
        <v>0</v>
      </c>
      <c r="W47" s="3249"/>
      <c r="X47" s="759"/>
      <c r="Y47" s="781"/>
      <c r="Z47" s="759"/>
      <c r="AA47" s="759"/>
      <c r="AB47" s="759"/>
      <c r="AC47" s="759"/>
    </row>
    <row r="48" spans="1:29" ht="1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185" t="str">
        <f>A48</f>
        <v>比较价值（元/平方米）</v>
      </c>
      <c r="Q48" s="318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 thickBot="1">
      <c r="A49" s="492" t="s">
        <v>2570</v>
      </c>
      <c r="B49" s="493"/>
      <c r="C49" s="1416" t="e">
        <f>R49</f>
        <v>#DIV/0!</v>
      </c>
      <c r="D49" s="1417"/>
      <c r="E49" s="1417"/>
      <c r="F49" s="1417"/>
      <c r="G49" s="1417"/>
      <c r="H49" s="1417"/>
      <c r="I49" s="1417"/>
      <c r="J49" s="1417"/>
      <c r="K49" s="2621"/>
      <c r="L49" s="1143"/>
      <c r="M49" s="1144"/>
      <c r="N49" s="1144"/>
      <c r="O49" s="1144"/>
      <c r="P49" s="3179" t="str">
        <f>A49</f>
        <v>估价对象XX用房的比较价值（楼面单价，元/平方米）</v>
      </c>
      <c r="Q49" s="3180"/>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2574</v>
      </c>
      <c r="B57" s="759"/>
      <c r="C57" s="764"/>
      <c r="D57" s="764"/>
      <c r="E57" s="764"/>
      <c r="F57" s="765"/>
      <c r="G57" s="765"/>
      <c r="H57" s="764"/>
      <c r="I57" s="764"/>
      <c r="J57" s="764"/>
      <c r="K57" s="1160"/>
      <c r="L57" s="1161"/>
      <c r="M57" s="1159"/>
      <c r="N57" s="1159"/>
      <c r="O57" s="1159"/>
      <c r="P57" s="2624"/>
      <c r="Q57" s="504"/>
    </row>
    <row r="58" spans="1:29" s="508" customFormat="1" ht="14.4">
      <c r="A58" s="505" t="s">
        <v>2575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c r="A59" s="509"/>
      <c r="B59" s="2625"/>
      <c r="C59" s="1572">
        <v>100</v>
      </c>
      <c r="D59" s="511"/>
      <c r="E59" s="512"/>
      <c r="F59" s="512"/>
      <c r="G59" s="512"/>
      <c r="H59" s="512"/>
      <c r="I59" s="512"/>
      <c r="J59" s="512"/>
      <c r="K59" s="512"/>
      <c r="L59" s="512"/>
      <c r="M59" s="513"/>
      <c r="N59" s="512"/>
      <c r="O59" s="513"/>
      <c r="P59" s="2626"/>
    </row>
    <row r="60" spans="1:29" s="117" customFormat="1" ht="15" thickBot="1">
      <c r="A60" s="515" t="s">
        <v>2576</v>
      </c>
      <c r="B60" s="516"/>
      <c r="C60" s="517"/>
      <c r="D60" s="518"/>
      <c r="E60" s="518"/>
      <c r="F60" s="518"/>
      <c r="G60" s="518"/>
      <c r="H60" s="518"/>
      <c r="I60" s="518"/>
      <c r="J60" s="518"/>
      <c r="K60" s="518"/>
      <c r="L60" s="518"/>
      <c r="M60" s="519"/>
      <c r="N60" s="518"/>
      <c r="O60" s="519"/>
      <c r="P60" s="2626"/>
      <c r="Q60" s="504"/>
    </row>
    <row r="61" spans="1:29" s="117" customFormat="1" ht="14.4">
      <c r="A61" s="521" t="s">
        <v>2577</v>
      </c>
      <c r="B61" s="510"/>
      <c r="C61" s="522" t="s">
        <v>2578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2579</v>
      </c>
      <c r="B63" s="528" t="s">
        <v>2545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2089</v>
      </c>
      <c r="C82" s="539" t="s">
        <v>2595</v>
      </c>
      <c r="D82" s="539" t="s">
        <v>2596</v>
      </c>
      <c r="E82" s="539" t="s">
        <v>2597</v>
      </c>
      <c r="F82" s="539" t="s">
        <v>2598</v>
      </c>
      <c r="G82" s="539" t="s">
        <v>2599</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2601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2602</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2554</v>
      </c>
      <c r="B100" s="528" t="s">
        <v>2603</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6.2"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ht="14.4">
      <c r="B147" s="2635" t="s">
        <v>2631</v>
      </c>
    </row>
    <row r="148" spans="2:11" ht="14.4">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2636</v>
      </c>
      <c r="B4" s="402"/>
      <c r="C4" s="3182" t="s">
        <v>2637</v>
      </c>
      <c r="D4" s="3195"/>
      <c r="E4" s="3196" t="s">
        <v>2638</v>
      </c>
      <c r="F4" s="3197"/>
      <c r="G4" s="3182" t="s">
        <v>2639</v>
      </c>
      <c r="H4" s="3195"/>
      <c r="I4" s="3182" t="s">
        <v>2640</v>
      </c>
      <c r="J4" s="3195"/>
      <c r="K4" s="610" t="s">
        <v>2641</v>
      </c>
      <c r="L4" s="1130"/>
      <c r="M4" s="1131"/>
      <c r="N4" s="1131"/>
      <c r="O4" s="1131"/>
      <c r="P4" s="3198" t="s">
        <v>2642</v>
      </c>
      <c r="Q4" s="3199"/>
      <c r="R4" s="3204" t="s">
        <v>2638</v>
      </c>
      <c r="S4" s="3205"/>
      <c r="T4" s="3204" t="s">
        <v>2639</v>
      </c>
      <c r="U4" s="3205"/>
      <c r="V4" s="3191" t="s">
        <v>2640</v>
      </c>
      <c r="W4" s="3191"/>
      <c r="X4" s="1812"/>
      <c r="Y4" s="3204" t="s">
        <v>2642</v>
      </c>
      <c r="Z4" s="3205"/>
      <c r="AA4" s="3192" t="s">
        <v>2638</v>
      </c>
      <c r="AB4" s="3191" t="s">
        <v>2639</v>
      </c>
      <c r="AC4" s="3192" t="s">
        <v>2640</v>
      </c>
    </row>
    <row r="5" spans="1:29">
      <c r="A5" s="404"/>
      <c r="B5" s="405"/>
      <c r="C5" s="3212" t="s">
        <v>2533</v>
      </c>
      <c r="D5" s="3213"/>
      <c r="E5" s="3219" t="s">
        <v>2534</v>
      </c>
      <c r="F5" s="3220"/>
      <c r="G5" s="3212" t="s">
        <v>2535</v>
      </c>
      <c r="H5" s="3213"/>
      <c r="I5" s="3212" t="s">
        <v>2536</v>
      </c>
      <c r="J5" s="3213"/>
      <c r="K5" s="610"/>
      <c r="L5" s="1130"/>
      <c r="M5" s="1131"/>
      <c r="N5" s="1131"/>
      <c r="O5" s="1131"/>
      <c r="P5" s="3200"/>
      <c r="Q5" s="3201"/>
      <c r="R5" s="3206"/>
      <c r="S5" s="3207"/>
      <c r="T5" s="3206"/>
      <c r="U5" s="3207"/>
      <c r="V5" s="3191"/>
      <c r="W5" s="3191"/>
      <c r="X5" s="1812"/>
      <c r="Y5" s="3206"/>
      <c r="Z5" s="3207"/>
      <c r="AA5" s="3193"/>
      <c r="AB5" s="3191"/>
      <c r="AC5" s="3193"/>
    </row>
    <row r="6" spans="1:29" ht="15" thickBot="1">
      <c r="A6" s="406"/>
      <c r="B6" s="407"/>
      <c r="C6" s="3210" t="s">
        <v>2537</v>
      </c>
      <c r="D6" s="3211"/>
      <c r="E6" s="3217" t="s">
        <v>2537</v>
      </c>
      <c r="F6" s="3218"/>
      <c r="G6" s="3210" t="s">
        <v>2537</v>
      </c>
      <c r="H6" s="3211"/>
      <c r="I6" s="3210" t="s">
        <v>2537</v>
      </c>
      <c r="J6" s="3211"/>
      <c r="K6" s="610" t="s">
        <v>2538</v>
      </c>
      <c r="L6" s="1130"/>
      <c r="M6" s="1131"/>
      <c r="N6" s="1131"/>
      <c r="O6" s="1131"/>
      <c r="P6" s="3202"/>
      <c r="Q6" s="3203"/>
      <c r="R6" s="3206"/>
      <c r="S6" s="3207"/>
      <c r="T6" s="3208"/>
      <c r="U6" s="3209"/>
      <c r="V6" s="3191"/>
      <c r="W6" s="3191"/>
      <c r="X6" s="1812"/>
      <c r="Y6" s="3208"/>
      <c r="Z6" s="3209"/>
      <c r="AA6" s="3194"/>
      <c r="AB6" s="3191"/>
      <c r="AC6" s="3194"/>
    </row>
    <row r="7" spans="1:29" s="117" customFormat="1" ht="1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2540</v>
      </c>
      <c r="Q7" s="3216"/>
      <c r="R7" s="770" t="s">
        <v>17</v>
      </c>
      <c r="S7" s="771">
        <f t="shared" ref="S7:S15" si="0">F7</f>
        <v>0</v>
      </c>
      <c r="T7" s="770" t="s">
        <v>17</v>
      </c>
      <c r="U7" s="771">
        <f t="shared" ref="U7:U15" si="1">H7</f>
        <v>0</v>
      </c>
      <c r="V7" s="770" t="s">
        <v>17</v>
      </c>
      <c r="W7" s="771">
        <f t="shared" ref="W7:W15" si="2">J7</f>
        <v>0</v>
      </c>
      <c r="X7" s="772"/>
      <c r="Y7" s="3214" t="s">
        <v>2540</v>
      </c>
      <c r="Z7" s="3215"/>
      <c r="AA7" s="773" t="e">
        <f>D7/F7</f>
        <v>#DIV/0!</v>
      </c>
      <c r="AB7" s="773" t="e">
        <f>D7/H7</f>
        <v>#DIV/0!</v>
      </c>
      <c r="AC7" s="773" t="e">
        <f>D7/J7</f>
        <v>#DIV/0!</v>
      </c>
    </row>
    <row r="8" spans="1:29" s="117" customFormat="1" ht="1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2543</v>
      </c>
      <c r="Q8" s="3215"/>
      <c r="R8" s="770" t="s">
        <v>17</v>
      </c>
      <c r="S8" s="771">
        <f t="shared" si="0"/>
        <v>0</v>
      </c>
      <c r="T8" s="770" t="s">
        <v>17</v>
      </c>
      <c r="U8" s="771">
        <f t="shared" si="1"/>
        <v>0</v>
      </c>
      <c r="V8" s="770" t="s">
        <v>17</v>
      </c>
      <c r="W8" s="771">
        <f t="shared" si="2"/>
        <v>0</v>
      </c>
      <c r="X8" s="772"/>
      <c r="Y8" s="3214" t="s">
        <v>2543</v>
      </c>
      <c r="Z8" s="3215"/>
      <c r="AA8" s="773" t="e">
        <f t="shared" ref="AA8:AA46" si="3">D8/F8</f>
        <v>#DIV/0!</v>
      </c>
      <c r="AB8" s="773" t="e">
        <f t="shared" ref="AB8:AB46" si="4">D8/H8</f>
        <v>#DIV/0!</v>
      </c>
      <c r="AC8" s="773" t="e">
        <f t="shared" ref="AC8:AC46" si="5">D8/J8</f>
        <v>#DIV/0!</v>
      </c>
    </row>
    <row r="9" spans="1:29" s="117" customFormat="1" ht="14.4">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2546</v>
      </c>
      <c r="Q9" s="1794"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2550</v>
      </c>
      <c r="B15" s="69" t="s">
        <v>2644</v>
      </c>
      <c r="C15" s="2601"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4" t="s">
        <v>2551</v>
      </c>
      <c r="Q15" s="1809" t="str">
        <f t="shared" si="6"/>
        <v>商业繁华度</v>
      </c>
      <c r="R15" s="774" t="s">
        <v>17</v>
      </c>
      <c r="S15" s="775">
        <f t="shared" si="0"/>
        <v>100</v>
      </c>
      <c r="T15" s="774" t="s">
        <v>17</v>
      </c>
      <c r="U15" s="775">
        <f t="shared" si="1"/>
        <v>100</v>
      </c>
      <c r="V15" s="774" t="s">
        <v>17</v>
      </c>
      <c r="W15" s="775">
        <f t="shared" si="2"/>
        <v>100</v>
      </c>
      <c r="X15" s="1812"/>
      <c r="Y15" s="3187"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5"/>
      <c r="Q16" s="1809"/>
      <c r="R16" s="774"/>
      <c r="S16" s="775"/>
      <c r="T16" s="774"/>
      <c r="U16" s="775"/>
      <c r="V16" s="774"/>
      <c r="W16" s="775"/>
      <c r="X16" s="1812"/>
      <c r="Y16" s="3188"/>
      <c r="Z16" s="1813"/>
      <c r="AA16" s="1810">
        <v>1</v>
      </c>
      <c r="AB16" s="1810">
        <v>1</v>
      </c>
      <c r="AC16" s="1810">
        <v>1</v>
      </c>
    </row>
    <row r="17" spans="1:29" ht="15">
      <c r="A17" s="428"/>
      <c r="B17" s="451" t="s">
        <v>2088</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55"/>
      <c r="Q18" s="1809"/>
      <c r="R18" s="774"/>
      <c r="S18" s="775"/>
      <c r="T18" s="774"/>
      <c r="U18" s="775"/>
      <c r="V18" s="774"/>
      <c r="W18" s="775"/>
      <c r="X18" s="1812"/>
      <c r="Y18" s="3188"/>
      <c r="Z18" s="1813"/>
      <c r="AA18" s="1810">
        <v>1</v>
      </c>
      <c r="AB18" s="1810">
        <v>1</v>
      </c>
      <c r="AC18" s="1810">
        <v>1</v>
      </c>
    </row>
    <row r="19" spans="1:29" ht="15">
      <c r="A19" s="428"/>
      <c r="B19" s="451" t="s">
        <v>2645</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55"/>
      <c r="Q20" s="1809"/>
      <c r="R20" s="774"/>
      <c r="S20" s="775"/>
      <c r="T20" s="774"/>
      <c r="U20" s="775"/>
      <c r="V20" s="774"/>
      <c r="W20" s="775"/>
      <c r="X20" s="1812"/>
      <c r="Y20" s="3188"/>
      <c r="Z20" s="1813"/>
      <c r="AA20" s="1810">
        <v>1</v>
      </c>
      <c r="AB20" s="1810">
        <v>1</v>
      </c>
      <c r="AC20" s="1810">
        <v>1</v>
      </c>
    </row>
    <row r="21" spans="1:29" ht="15">
      <c r="A21" s="428"/>
      <c r="B21" s="1384" t="s">
        <v>2646</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55"/>
      <c r="Q22" s="1809"/>
      <c r="R22" s="774"/>
      <c r="S22" s="775"/>
      <c r="T22" s="774"/>
      <c r="U22" s="775"/>
      <c r="V22" s="774"/>
      <c r="W22" s="775"/>
      <c r="X22" s="1812"/>
      <c r="Y22" s="3188"/>
      <c r="Z22" s="1813"/>
      <c r="AA22" s="1810">
        <v>1</v>
      </c>
      <c r="AB22" s="1810">
        <v>1</v>
      </c>
      <c r="AC22" s="1810">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5"/>
      <c r="Q23" s="1809" t="str">
        <f>B23</f>
        <v>自然及人文环境</v>
      </c>
      <c r="R23" s="774" t="s">
        <v>17</v>
      </c>
      <c r="S23" s="775">
        <f>F23</f>
        <v>100</v>
      </c>
      <c r="T23" s="774" t="s">
        <v>17</v>
      </c>
      <c r="U23" s="775">
        <f>H23</f>
        <v>100</v>
      </c>
      <c r="V23" s="774" t="s">
        <v>17</v>
      </c>
      <c r="W23" s="775">
        <f>J23</f>
        <v>100</v>
      </c>
      <c r="X23" s="1812"/>
      <c r="Y23" s="3188"/>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55"/>
      <c r="Q24" s="1809"/>
      <c r="R24" s="774"/>
      <c r="S24" s="775"/>
      <c r="T24" s="774"/>
      <c r="U24" s="775"/>
      <c r="V24" s="774"/>
      <c r="W24" s="775"/>
      <c r="X24" s="1812"/>
      <c r="Y24" s="3188"/>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5"/>
      <c r="Q25" s="1809" t="str">
        <f t="shared" ref="Q25:Q46" si="11">B25</f>
        <v>临街状况</v>
      </c>
      <c r="R25" s="774" t="s">
        <v>17</v>
      </c>
      <c r="S25" s="775">
        <f>F25</f>
        <v>100</v>
      </c>
      <c r="T25" s="774" t="s">
        <v>17</v>
      </c>
      <c r="U25" s="775">
        <f>H25</f>
        <v>100</v>
      </c>
      <c r="V25" s="774" t="s">
        <v>17</v>
      </c>
      <c r="W25" s="775">
        <f>J25</f>
        <v>100</v>
      </c>
      <c r="X25" s="1812"/>
      <c r="Y25" s="3188"/>
      <c r="Z25" s="1813" t="str">
        <f>Q25</f>
        <v>临街状况</v>
      </c>
      <c r="AA25" s="1810">
        <f t="shared" si="3"/>
        <v>1</v>
      </c>
      <c r="AB25" s="1810">
        <f t="shared" si="4"/>
        <v>1</v>
      </c>
      <c r="AC25" s="1810">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5"/>
      <c r="Q26" s="1809" t="str">
        <f t="shared" si="11"/>
        <v>平面位置/可视性</v>
      </c>
      <c r="R26" s="774" t="s">
        <v>17</v>
      </c>
      <c r="S26" s="775">
        <f>F26</f>
        <v>100</v>
      </c>
      <c r="T26" s="774" t="s">
        <v>17</v>
      </c>
      <c r="U26" s="775">
        <f>H26</f>
        <v>100</v>
      </c>
      <c r="V26" s="774" t="s">
        <v>17</v>
      </c>
      <c r="W26" s="775">
        <f>J26</f>
        <v>100</v>
      </c>
      <c r="X26" s="1812"/>
      <c r="Y26" s="3188"/>
      <c r="Z26" s="1813" t="str">
        <f>Q26</f>
        <v>平面位置/可视性</v>
      </c>
      <c r="AA26" s="1810">
        <f t="shared" si="3"/>
        <v>1</v>
      </c>
      <c r="AB26" s="1810">
        <f t="shared" si="4"/>
        <v>1</v>
      </c>
      <c r="AC26" s="1810">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5"/>
      <c r="Q27" s="1794" t="str">
        <f t="shared" si="11"/>
        <v>人流量</v>
      </c>
      <c r="R27" s="770" t="s">
        <v>17</v>
      </c>
      <c r="S27" s="771">
        <f>F27</f>
        <v>100</v>
      </c>
      <c r="T27" s="770" t="s">
        <v>17</v>
      </c>
      <c r="U27" s="771">
        <f>H27</f>
        <v>100</v>
      </c>
      <c r="V27" s="770" t="s">
        <v>17</v>
      </c>
      <c r="W27" s="771">
        <f>J27</f>
        <v>100</v>
      </c>
      <c r="X27" s="772"/>
      <c r="Y27" s="3188"/>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09">
        <f t="shared" si="11"/>
        <v>111</v>
      </c>
      <c r="R29" s="774" t="s">
        <v>17</v>
      </c>
      <c r="S29" s="775">
        <f t="shared" si="12"/>
        <v>100</v>
      </c>
      <c r="T29" s="774" t="s">
        <v>17</v>
      </c>
      <c r="U29" s="775">
        <f t="shared" si="13"/>
        <v>100</v>
      </c>
      <c r="V29" s="774" t="s">
        <v>17</v>
      </c>
      <c r="W29" s="775">
        <f t="shared" si="14"/>
        <v>100</v>
      </c>
      <c r="X29" s="1812"/>
      <c r="Y29" s="318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1810">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0" t="s">
        <v>2556</v>
      </c>
      <c r="Q32" s="1809" t="str">
        <f t="shared" si="11"/>
        <v>商业类型</v>
      </c>
      <c r="R32" s="774" t="s">
        <v>17</v>
      </c>
      <c r="S32" s="775">
        <f t="shared" si="12"/>
        <v>100</v>
      </c>
      <c r="T32" s="774" t="s">
        <v>17</v>
      </c>
      <c r="U32" s="775">
        <f t="shared" si="13"/>
        <v>100</v>
      </c>
      <c r="V32" s="774" t="s">
        <v>17</v>
      </c>
      <c r="W32" s="775">
        <f t="shared" si="14"/>
        <v>100</v>
      </c>
      <c r="X32" s="1812"/>
      <c r="Y32" s="3190"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1"/>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0" t="e">
        <f t="shared" si="3"/>
        <v>#N/A</v>
      </c>
      <c r="AB33" s="1810" t="e">
        <f t="shared" si="4"/>
        <v>#N/A</v>
      </c>
      <c r="AC33" s="1810"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1"/>
      <c r="Q34" s="1809" t="str">
        <f t="shared" si="11"/>
        <v>建筑结构</v>
      </c>
      <c r="R34" s="774" t="s">
        <v>17</v>
      </c>
      <c r="S34" s="775">
        <f t="shared" si="12"/>
        <v>100</v>
      </c>
      <c r="T34" s="774" t="s">
        <v>17</v>
      </c>
      <c r="U34" s="775">
        <f t="shared" si="13"/>
        <v>100</v>
      </c>
      <c r="V34" s="774" t="s">
        <v>17</v>
      </c>
      <c r="W34" s="775">
        <f t="shared" si="14"/>
        <v>100</v>
      </c>
      <c r="X34" s="1812"/>
      <c r="Y34" s="3190"/>
      <c r="Z34" s="1813" t="str">
        <f t="shared" si="15"/>
        <v>建筑结构</v>
      </c>
      <c r="AA34" s="1810">
        <f t="shared" si="3"/>
        <v>1</v>
      </c>
      <c r="AB34" s="1810">
        <f t="shared" si="4"/>
        <v>1</v>
      </c>
      <c r="AC34" s="1810">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1"/>
      <c r="Q35" s="1809" t="str">
        <f t="shared" si="11"/>
        <v>公共部分装修</v>
      </c>
      <c r="R35" s="774" t="s">
        <v>17</v>
      </c>
      <c r="S35" s="775">
        <f t="shared" si="12"/>
        <v>100</v>
      </c>
      <c r="T35" s="774" t="s">
        <v>17</v>
      </c>
      <c r="U35" s="775">
        <f t="shared" si="13"/>
        <v>100</v>
      </c>
      <c r="V35" s="774" t="s">
        <v>17</v>
      </c>
      <c r="W35" s="775">
        <f t="shared" si="14"/>
        <v>100</v>
      </c>
      <c r="X35" s="1812"/>
      <c r="Y35" s="3190"/>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1"/>
      <c r="Q36" s="1809" t="str">
        <f t="shared" si="11"/>
        <v>成新度</v>
      </c>
      <c r="R36" s="774" t="s">
        <v>17</v>
      </c>
      <c r="S36" s="775" t="e">
        <f t="shared" si="12"/>
        <v>#N/A</v>
      </c>
      <c r="T36" s="774" t="s">
        <v>17</v>
      </c>
      <c r="U36" s="775" t="e">
        <f t="shared" si="13"/>
        <v>#N/A</v>
      </c>
      <c r="V36" s="774" t="s">
        <v>17</v>
      </c>
      <c r="W36" s="775" t="e">
        <f t="shared" si="14"/>
        <v>#N/A</v>
      </c>
      <c r="X36" s="1812"/>
      <c r="Y36" s="3190"/>
      <c r="Z36" s="1813" t="str">
        <f t="shared" si="15"/>
        <v>成新度</v>
      </c>
      <c r="AA36" s="1810" t="e">
        <f t="shared" si="3"/>
        <v>#N/A</v>
      </c>
      <c r="AB36" s="1810" t="e">
        <f t="shared" si="4"/>
        <v>#N/A</v>
      </c>
      <c r="AC36" s="1810"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1"/>
      <c r="Q37" s="1794"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1" t="s">
        <v>2556</v>
      </c>
      <c r="Q38" s="1809" t="str">
        <f t="shared" si="11"/>
        <v>业态</v>
      </c>
      <c r="R38" s="774" t="s">
        <v>17</v>
      </c>
      <c r="S38" s="775">
        <f t="shared" si="12"/>
        <v>100</v>
      </c>
      <c r="T38" s="774" t="s">
        <v>17</v>
      </c>
      <c r="U38" s="775">
        <f t="shared" si="13"/>
        <v>100</v>
      </c>
      <c r="V38" s="774" t="s">
        <v>17</v>
      </c>
      <c r="W38" s="775">
        <f t="shared" si="14"/>
        <v>100</v>
      </c>
      <c r="X38" s="1812"/>
      <c r="Y38" s="3190" t="s">
        <v>2556</v>
      </c>
      <c r="Z38" s="1813" t="str">
        <f t="shared" si="15"/>
        <v>业态</v>
      </c>
      <c r="AA38" s="1810">
        <f t="shared" si="3"/>
        <v>1</v>
      </c>
      <c r="AB38" s="1810">
        <f t="shared" si="4"/>
        <v>1</v>
      </c>
      <c r="AC38" s="1810">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1"/>
      <c r="Q39" s="1809" t="str">
        <f t="shared" si="11"/>
        <v>层高</v>
      </c>
      <c r="R39" s="774" t="s">
        <v>17</v>
      </c>
      <c r="S39" s="775">
        <f t="shared" si="12"/>
        <v>100</v>
      </c>
      <c r="T39" s="774" t="s">
        <v>17</v>
      </c>
      <c r="U39" s="775">
        <f t="shared" si="13"/>
        <v>100</v>
      </c>
      <c r="V39" s="774" t="s">
        <v>17</v>
      </c>
      <c r="W39" s="775">
        <f t="shared" si="14"/>
        <v>100</v>
      </c>
      <c r="X39" s="1812"/>
      <c r="Y39" s="3190"/>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1"/>
      <c r="Q40" s="1809" t="str">
        <f t="shared" si="11"/>
        <v>单套建筑面积</v>
      </c>
      <c r="R40" s="774" t="s">
        <v>17</v>
      </c>
      <c r="S40" s="775">
        <f t="shared" si="12"/>
        <v>100</v>
      </c>
      <c r="T40" s="774" t="s">
        <v>17</v>
      </c>
      <c r="U40" s="775">
        <f t="shared" si="13"/>
        <v>100</v>
      </c>
      <c r="V40" s="774" t="s">
        <v>17</v>
      </c>
      <c r="W40" s="775">
        <f t="shared" si="14"/>
        <v>100</v>
      </c>
      <c r="X40" s="1812"/>
      <c r="Y40" s="3190"/>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1"/>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0">
        <f t="shared" si="3"/>
        <v>1</v>
      </c>
      <c r="AB41" s="1810">
        <f t="shared" si="4"/>
        <v>1</v>
      </c>
      <c r="AC41" s="1810">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1"/>
      <c r="Q42" s="1809" t="str">
        <f t="shared" si="11"/>
        <v>内部装修</v>
      </c>
      <c r="R42" s="774" t="s">
        <v>17</v>
      </c>
      <c r="S42" s="775">
        <f t="shared" si="12"/>
        <v>100</v>
      </c>
      <c r="T42" s="774" t="s">
        <v>17</v>
      </c>
      <c r="U42" s="775">
        <f t="shared" si="13"/>
        <v>100</v>
      </c>
      <c r="V42" s="774" t="s">
        <v>17</v>
      </c>
      <c r="W42" s="775">
        <f t="shared" si="14"/>
        <v>100</v>
      </c>
      <c r="X42" s="1812"/>
      <c r="Y42" s="3190"/>
      <c r="Z42" s="1813" t="str">
        <f t="shared" si="15"/>
        <v>内部装修</v>
      </c>
      <c r="AA42" s="1810">
        <f t="shared" si="3"/>
        <v>1</v>
      </c>
      <c r="AB42" s="1810">
        <f t="shared" si="4"/>
        <v>1</v>
      </c>
      <c r="AC42" s="1810">
        <f t="shared" si="5"/>
        <v>1</v>
      </c>
    </row>
    <row r="43" spans="1:29" ht="28.8">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1"/>
      <c r="Q43" s="1809" t="str">
        <f t="shared" si="11"/>
        <v>内部装修维护情况</v>
      </c>
      <c r="R43" s="774" t="s">
        <v>17</v>
      </c>
      <c r="S43" s="775">
        <f t="shared" si="12"/>
        <v>100</v>
      </c>
      <c r="T43" s="774" t="s">
        <v>17</v>
      </c>
      <c r="U43" s="775">
        <f t="shared" si="13"/>
        <v>100</v>
      </c>
      <c r="V43" s="774" t="s">
        <v>17</v>
      </c>
      <c r="W43" s="775">
        <f t="shared" si="14"/>
        <v>100</v>
      </c>
      <c r="X43" s="1812"/>
      <c r="Y43" s="319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1"/>
      <c r="Q44" s="1794">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1"/>
      <c r="Q45" s="1809">
        <f t="shared" si="11"/>
        <v>111</v>
      </c>
      <c r="R45" s="774" t="s">
        <v>17</v>
      </c>
      <c r="S45" s="775">
        <f t="shared" si="12"/>
        <v>100</v>
      </c>
      <c r="T45" s="774" t="s">
        <v>17</v>
      </c>
      <c r="U45" s="775">
        <f t="shared" si="13"/>
        <v>100</v>
      </c>
      <c r="V45" s="774" t="s">
        <v>17</v>
      </c>
      <c r="W45" s="775">
        <f t="shared" si="14"/>
        <v>100</v>
      </c>
      <c r="X45" s="1812"/>
      <c r="Y45" s="3190"/>
      <c r="Z45" s="1813">
        <f t="shared" si="15"/>
        <v>111</v>
      </c>
      <c r="AA45" s="1810">
        <f t="shared" si="3"/>
        <v>1</v>
      </c>
      <c r="AB45" s="1810">
        <f t="shared" si="4"/>
        <v>1</v>
      </c>
      <c r="AC45" s="1810">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2"/>
      <c r="Q46" s="1809">
        <f t="shared" si="11"/>
        <v>111</v>
      </c>
      <c r="R46" s="774" t="s">
        <v>17</v>
      </c>
      <c r="S46" s="775">
        <f t="shared" si="12"/>
        <v>100</v>
      </c>
      <c r="T46" s="774" t="s">
        <v>17</v>
      </c>
      <c r="U46" s="775">
        <f t="shared" si="13"/>
        <v>100</v>
      </c>
      <c r="V46" s="774" t="s">
        <v>17</v>
      </c>
      <c r="W46" s="775">
        <f t="shared" si="14"/>
        <v>100</v>
      </c>
      <c r="X46" s="1812"/>
      <c r="Y46" s="3253"/>
      <c r="Z46" s="1813">
        <f t="shared" si="15"/>
        <v>111</v>
      </c>
      <c r="AA46" s="1810">
        <f t="shared" si="3"/>
        <v>1</v>
      </c>
      <c r="AB46" s="1810">
        <f t="shared" si="4"/>
        <v>1</v>
      </c>
      <c r="AC46" s="1810">
        <f t="shared" si="5"/>
        <v>1</v>
      </c>
    </row>
    <row r="47" spans="1:29" ht="14.4">
      <c r="A47" s="479" t="s">
        <v>2568</v>
      </c>
      <c r="B47" s="480"/>
      <c r="C47" s="1407" t="s">
        <v>1</v>
      </c>
      <c r="D47" s="1408"/>
      <c r="E47" s="1409"/>
      <c r="F47" s="1410"/>
      <c r="G47" s="1411"/>
      <c r="H47" s="1412"/>
      <c r="I47" s="1409"/>
      <c r="J47" s="1412"/>
      <c r="K47" s="783"/>
      <c r="L47" s="1143"/>
      <c r="M47" s="1144"/>
      <c r="N47" s="1131"/>
      <c r="O47" s="1144"/>
      <c r="P47" s="3185" t="str">
        <f>A47</f>
        <v>成交单价（元/平方米）</v>
      </c>
      <c r="Q47" s="3185"/>
      <c r="R47" s="3191">
        <f>E47</f>
        <v>0</v>
      </c>
      <c r="S47" s="3191"/>
      <c r="T47" s="3191">
        <f>G47</f>
        <v>0</v>
      </c>
      <c r="U47" s="3191"/>
      <c r="V47" s="3191">
        <f>I47</f>
        <v>0</v>
      </c>
      <c r="W47" s="3191"/>
      <c r="X47" s="759"/>
      <c r="Y47" s="781"/>
      <c r="Z47" s="759"/>
      <c r="AA47" s="759"/>
      <c r="AB47" s="759"/>
      <c r="AC47" s="759"/>
    </row>
    <row r="48" spans="1:29" ht="1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185" t="str">
        <f>A48</f>
        <v>比较价值（元/平方米）</v>
      </c>
      <c r="Q48" s="318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 thickBot="1">
      <c r="A49" s="492" t="s">
        <v>2661</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2539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2576</v>
      </c>
      <c r="B60" s="516"/>
      <c r="C60" s="517"/>
      <c r="D60" s="518"/>
      <c r="E60" s="518"/>
      <c r="F60" s="518"/>
      <c r="G60" s="518"/>
      <c r="H60" s="518"/>
      <c r="I60" s="518"/>
      <c r="J60" s="518"/>
      <c r="K60" s="518"/>
      <c r="L60" s="518"/>
      <c r="M60" s="519"/>
      <c r="N60" s="518"/>
      <c r="O60" s="519"/>
      <c r="P60" s="2626"/>
      <c r="Q60" s="504"/>
    </row>
    <row r="61" spans="1:29" s="117" customFormat="1" ht="14.4">
      <c r="A61" s="521" t="s">
        <v>2541</v>
      </c>
      <c r="B61" s="510"/>
      <c r="C61" s="522" t="s">
        <v>2643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2579</v>
      </c>
      <c r="B63" s="528" t="s">
        <v>2545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2554</v>
      </c>
      <c r="B100" s="528" t="s">
        <v>2672</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1604</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受贵公司委托，我公司对北京市大兴区永兴路7号院1号楼-3层至4层101号房地产抵押价值进行了预评估。</v>
      </c>
    </row>
    <row r="5" spans="1:1" ht="17.399999999999999">
      <c r="A5" s="1947" t="s">
        <v>1605</v>
      </c>
    </row>
    <row r="6" spans="1:1" ht="17.399999999999999">
      <c r="A6" s="1948" t="s">
        <v>1606</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估价对象为北京市大兴区永兴路7号院1号楼-3层至4层101号房地产，为所有。根据，估价对象（分摊）出让国有建设用地使用权面积为0平方米，建筑面积为9152.04平方米。</v>
      </c>
    </row>
    <row r="8" spans="1:1" ht="54.6">
      <c r="A8" s="1949" t="s">
        <v>1607</v>
      </c>
    </row>
    <row r="9" spans="1:1" ht="17.399999999999999">
      <c r="A9" s="1948" t="s">
        <v>1608</v>
      </c>
    </row>
    <row r="10" spans="1:1" ht="52.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估价对象为北京市大兴区永兴路7号院1号楼-3层至4层101号房地产,属开发建设的，该项目尚在开发建设中。根据，估价对象（分摊）出让国有建设用地使用权面积为0平方米，规划建筑面积为9152.04平方米。</v>
      </c>
    </row>
    <row r="11" spans="1:1" ht="72">
      <c r="A11" s="1949" t="s">
        <v>1609</v>
      </c>
    </row>
    <row r="12" spans="1:1" ht="17.399999999999999">
      <c r="A12" s="1947" t="s">
        <v>1610</v>
      </c>
    </row>
    <row r="13" spans="1:1" ht="38.25" customHeight="1">
      <c r="A13" s="1950" t="str">
        <f>IF(项目基本情况!B8="抵押",IF(项目基本情况!B5=项目基本情况!B6,定义!C51,定义!B51),定义!D51)</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1611</v>
      </c>
    </row>
    <row r="15" spans="1:1" ht="17.399999999999999">
      <c r="A15" s="1952" t="str">
        <f>TEXT(项目基本情况!D3,"yyyy年m月d日;;")&amp;IF(项目基本情况!D3=项目基本情况!B3,"（评估专业人员实地查勘之日）","")</f>
        <v>2020年6月18日</v>
      </c>
    </row>
    <row r="16" spans="1:1" ht="17.399999999999999">
      <c r="A16" s="1951" t="s">
        <v>1612</v>
      </c>
    </row>
    <row r="17" spans="1:1" ht="69.599999999999994">
      <c r="A17" s="1946" t="s">
        <v>1613</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1602</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667" t="s">
        <v>2677</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2636</v>
      </c>
      <c r="B4" s="402"/>
      <c r="C4" s="3182" t="s">
        <v>2637</v>
      </c>
      <c r="D4" s="3195"/>
      <c r="E4" s="3196" t="s">
        <v>2638</v>
      </c>
      <c r="F4" s="3197"/>
      <c r="G4" s="3182" t="s">
        <v>2639</v>
      </c>
      <c r="H4" s="3195"/>
      <c r="I4" s="3182" t="s">
        <v>2640</v>
      </c>
      <c r="J4" s="3195"/>
      <c r="K4" s="610" t="s">
        <v>2641</v>
      </c>
      <c r="L4" s="1130"/>
      <c r="M4" s="1131"/>
      <c r="N4" s="1131"/>
      <c r="O4" s="1131"/>
      <c r="P4" s="3262" t="s">
        <v>2642</v>
      </c>
      <c r="Q4" s="3263"/>
      <c r="R4" s="3266" t="s">
        <v>2638</v>
      </c>
      <c r="S4" s="3267"/>
      <c r="T4" s="3266" t="s">
        <v>2639</v>
      </c>
      <c r="U4" s="3267"/>
      <c r="V4" s="3268" t="s">
        <v>2640</v>
      </c>
      <c r="W4" s="3268"/>
      <c r="X4" s="2668"/>
      <c r="Y4" s="3266" t="s">
        <v>2642</v>
      </c>
      <c r="Z4" s="3267"/>
      <c r="AA4" s="3270" t="s">
        <v>2638</v>
      </c>
      <c r="AB4" s="3270" t="s">
        <v>2639</v>
      </c>
      <c r="AC4" s="3259" t="s">
        <v>2640</v>
      </c>
    </row>
    <row r="5" spans="1:29">
      <c r="A5" s="404"/>
      <c r="B5" s="405"/>
      <c r="C5" s="3212" t="s">
        <v>2533</v>
      </c>
      <c r="D5" s="3213"/>
      <c r="E5" s="3219" t="s">
        <v>2534</v>
      </c>
      <c r="F5" s="3220"/>
      <c r="G5" s="3212" t="s">
        <v>2535</v>
      </c>
      <c r="H5" s="3213"/>
      <c r="I5" s="3212" t="s">
        <v>2536</v>
      </c>
      <c r="J5" s="3213"/>
      <c r="K5" s="610"/>
      <c r="L5" s="1130"/>
      <c r="M5" s="1131"/>
      <c r="N5" s="1131"/>
      <c r="O5" s="1131"/>
      <c r="P5" s="3264"/>
      <c r="Q5" s="3201"/>
      <c r="R5" s="3206"/>
      <c r="S5" s="3207"/>
      <c r="T5" s="3206"/>
      <c r="U5" s="3207"/>
      <c r="V5" s="3191"/>
      <c r="W5" s="3191"/>
      <c r="X5" s="1812"/>
      <c r="Y5" s="3206"/>
      <c r="Z5" s="3207"/>
      <c r="AA5" s="3193"/>
      <c r="AB5" s="3193"/>
      <c r="AC5" s="3260"/>
    </row>
    <row r="6" spans="1:29" ht="15" thickBot="1">
      <c r="A6" s="406"/>
      <c r="B6" s="407"/>
      <c r="C6" s="3210" t="s">
        <v>2537</v>
      </c>
      <c r="D6" s="3211"/>
      <c r="E6" s="3217" t="s">
        <v>2537</v>
      </c>
      <c r="F6" s="3218"/>
      <c r="G6" s="3210" t="s">
        <v>2537</v>
      </c>
      <c r="H6" s="3211"/>
      <c r="I6" s="3210" t="s">
        <v>2537</v>
      </c>
      <c r="J6" s="3211"/>
      <c r="K6" s="610" t="s">
        <v>2538</v>
      </c>
      <c r="L6" s="1130"/>
      <c r="M6" s="1131"/>
      <c r="N6" s="1131"/>
      <c r="O6" s="1131"/>
      <c r="P6" s="3265"/>
      <c r="Q6" s="3203"/>
      <c r="R6" s="3206"/>
      <c r="S6" s="3207"/>
      <c r="T6" s="3208"/>
      <c r="U6" s="3209"/>
      <c r="V6" s="3191"/>
      <c r="W6" s="3191"/>
      <c r="X6" s="1812"/>
      <c r="Y6" s="3208"/>
      <c r="Z6" s="3209"/>
      <c r="AA6" s="3194"/>
      <c r="AB6" s="3194"/>
      <c r="AC6" s="3261"/>
    </row>
    <row r="7" spans="1:29" s="117" customFormat="1" ht="15" thickBot="1">
      <c r="A7" s="408" t="s">
        <v>2539</v>
      </c>
      <c r="B7" s="409"/>
      <c r="C7" s="410">
        <f>'数据-取费表'!B2</f>
        <v>44000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9" t="s">
        <v>2540</v>
      </c>
      <c r="Q7" s="3216"/>
      <c r="R7" s="770" t="s">
        <v>17</v>
      </c>
      <c r="S7" s="771">
        <f t="shared" ref="S7:S15" si="0">F7</f>
        <v>0</v>
      </c>
      <c r="T7" s="770" t="s">
        <v>17</v>
      </c>
      <c r="U7" s="771">
        <f t="shared" ref="U7:U15" si="1">H7</f>
        <v>0</v>
      </c>
      <c r="V7" s="770" t="s">
        <v>17</v>
      </c>
      <c r="W7" s="771">
        <f t="shared" ref="W7:W15" si="2">J7</f>
        <v>0</v>
      </c>
      <c r="X7" s="772"/>
      <c r="Y7" s="3214" t="s">
        <v>2540</v>
      </c>
      <c r="Z7" s="3215"/>
      <c r="AA7" s="773" t="e">
        <f>D7/F7</f>
        <v>#DIV/0!</v>
      </c>
      <c r="AB7" s="773" t="e">
        <f>D7/H7</f>
        <v>#DIV/0!</v>
      </c>
      <c r="AC7" s="2669" t="e">
        <f>D7/J7</f>
        <v>#DIV/0!</v>
      </c>
    </row>
    <row r="8" spans="1:29" s="117" customFormat="1" ht="1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9" t="s">
        <v>2543</v>
      </c>
      <c r="Q8" s="3215"/>
      <c r="R8" s="770" t="s">
        <v>17</v>
      </c>
      <c r="S8" s="771">
        <f t="shared" si="0"/>
        <v>0</v>
      </c>
      <c r="T8" s="770" t="s">
        <v>17</v>
      </c>
      <c r="U8" s="771">
        <f t="shared" si="1"/>
        <v>0</v>
      </c>
      <c r="V8" s="770" t="s">
        <v>17</v>
      </c>
      <c r="W8" s="771">
        <f t="shared" si="2"/>
        <v>0</v>
      </c>
      <c r="X8" s="772"/>
      <c r="Y8" s="3214" t="s">
        <v>2543</v>
      </c>
      <c r="Z8" s="3215"/>
      <c r="AA8" s="773" t="e">
        <f t="shared" ref="AA8:AA47" si="3">D8/F8</f>
        <v>#DIV/0!</v>
      </c>
      <c r="AB8" s="773" t="e">
        <f t="shared" ref="AB8:AB47" si="4">D8/H8</f>
        <v>#DIV/0!</v>
      </c>
      <c r="AC8" s="2669" t="e">
        <f t="shared" ref="AC8:AC47" si="5">D8/J8</f>
        <v>#DIV/0!</v>
      </c>
    </row>
    <row r="9" spans="1:29" s="117" customFormat="1" ht="14.4">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2546</v>
      </c>
      <c r="Q9" s="1794"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2669">
        <f t="shared" si="5"/>
        <v>1</v>
      </c>
    </row>
    <row r="10" spans="1:29" s="427" customFormat="1" ht="28.8">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4" t="s">
        <v>2551</v>
      </c>
      <c r="Q15" s="1809" t="str">
        <f t="shared" si="6"/>
        <v>办公集聚程度</v>
      </c>
      <c r="R15" s="774" t="s">
        <v>17</v>
      </c>
      <c r="S15" s="775">
        <f t="shared" si="0"/>
        <v>100</v>
      </c>
      <c r="T15" s="774" t="s">
        <v>17</v>
      </c>
      <c r="U15" s="775">
        <f t="shared" si="1"/>
        <v>100</v>
      </c>
      <c r="V15" s="774" t="s">
        <v>17</v>
      </c>
      <c r="W15" s="775">
        <f t="shared" si="2"/>
        <v>100</v>
      </c>
      <c r="X15" s="1812"/>
      <c r="Y15" s="3187" t="s">
        <v>2551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55"/>
      <c r="Q16" s="1809"/>
      <c r="R16" s="774"/>
      <c r="S16" s="775"/>
      <c r="T16" s="774"/>
      <c r="U16" s="775"/>
      <c r="V16" s="774"/>
      <c r="W16" s="775"/>
      <c r="X16" s="1812"/>
      <c r="Y16" s="3188"/>
      <c r="Z16" s="1813"/>
      <c r="AA16" s="1810">
        <v>1</v>
      </c>
      <c r="AB16" s="1810">
        <v>1</v>
      </c>
      <c r="AC16" s="2672">
        <v>1</v>
      </c>
    </row>
    <row r="17" spans="1:29" ht="15">
      <c r="A17" s="428"/>
      <c r="B17" s="631" t="s">
        <v>2088</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55"/>
      <c r="Q18" s="1809"/>
      <c r="R18" s="774"/>
      <c r="S18" s="775"/>
      <c r="T18" s="774"/>
      <c r="U18" s="775"/>
      <c r="V18" s="774"/>
      <c r="W18" s="775"/>
      <c r="X18" s="1812"/>
      <c r="Y18" s="3188"/>
      <c r="Z18" s="1813"/>
      <c r="AA18" s="1810">
        <v>1</v>
      </c>
      <c r="AB18" s="1810">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55"/>
      <c r="Q20" s="1809"/>
      <c r="R20" s="774"/>
      <c r="S20" s="775"/>
      <c r="T20" s="774"/>
      <c r="U20" s="775"/>
      <c r="V20" s="774"/>
      <c r="W20" s="775"/>
      <c r="X20" s="1812"/>
      <c r="Y20" s="3188"/>
      <c r="Z20" s="1813"/>
      <c r="AA20" s="1810">
        <v>1</v>
      </c>
      <c r="AB20" s="1810">
        <v>1</v>
      </c>
      <c r="AC20" s="2672">
        <v>1</v>
      </c>
    </row>
    <row r="21" spans="1:29" ht="15">
      <c r="A21" s="428"/>
      <c r="B21" s="633" t="s">
        <v>2680</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55"/>
      <c r="Q22" s="1809"/>
      <c r="R22" s="774"/>
      <c r="S22" s="775"/>
      <c r="T22" s="774"/>
      <c r="U22" s="775"/>
      <c r="V22" s="774"/>
      <c r="W22" s="775"/>
      <c r="X22" s="1812"/>
      <c r="Y22" s="3188"/>
      <c r="Z22" s="1813"/>
      <c r="AA22" s="1810">
        <v>1</v>
      </c>
      <c r="AB22" s="1810">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5"/>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55"/>
      <c r="Q24" s="1809"/>
      <c r="R24" s="774"/>
      <c r="S24" s="775"/>
      <c r="T24" s="774"/>
      <c r="U24" s="775"/>
      <c r="V24" s="774"/>
      <c r="W24" s="775"/>
      <c r="X24" s="1812"/>
      <c r="Y24" s="3188"/>
      <c r="Z24" s="1813"/>
      <c r="AA24" s="1810">
        <v>1</v>
      </c>
      <c r="AB24" s="1810">
        <v>1</v>
      </c>
      <c r="AC24" s="2672">
        <v>1</v>
      </c>
    </row>
    <row r="25" spans="1:29" ht="28.8">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55"/>
      <c r="Q25" s="1809" t="str">
        <f>B25</f>
        <v>毗邻道路的类型与等级</v>
      </c>
      <c r="R25" s="774" t="s">
        <v>17</v>
      </c>
      <c r="S25" s="775">
        <f>F25</f>
        <v>100</v>
      </c>
      <c r="T25" s="774" t="s">
        <v>17</v>
      </c>
      <c r="U25" s="775">
        <f>H25</f>
        <v>100</v>
      </c>
      <c r="V25" s="774" t="s">
        <v>17</v>
      </c>
      <c r="W25" s="775">
        <f>J25</f>
        <v>100</v>
      </c>
      <c r="X25" s="1812"/>
      <c r="Y25" s="3188"/>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55"/>
      <c r="Q26" s="1809"/>
      <c r="R26" s="774"/>
      <c r="S26" s="775"/>
      <c r="T26" s="774"/>
      <c r="U26" s="775"/>
      <c r="V26" s="774"/>
      <c r="W26" s="775"/>
      <c r="X26" s="1812"/>
      <c r="Y26" s="3188"/>
      <c r="Z26" s="1813"/>
      <c r="AA26" s="1810">
        <v>1</v>
      </c>
      <c r="AB26" s="1810">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5"/>
      <c r="Q27" s="1809" t="str">
        <f t="shared" ref="Q27:Q47" si="11">B27</f>
        <v>楼层</v>
      </c>
      <c r="R27" s="774" t="s">
        <v>17</v>
      </c>
      <c r="S27" s="775">
        <f>F27</f>
        <v>100</v>
      </c>
      <c r="T27" s="774" t="s">
        <v>17</v>
      </c>
      <c r="U27" s="775">
        <f>H27</f>
        <v>100</v>
      </c>
      <c r="V27" s="774" t="s">
        <v>17</v>
      </c>
      <c r="W27" s="775">
        <f>J27</f>
        <v>100</v>
      </c>
      <c r="X27" s="1812"/>
      <c r="Y27" s="3188"/>
      <c r="Z27" s="1813" t="str">
        <f>Q27</f>
        <v>楼层</v>
      </c>
      <c r="AA27" s="1810">
        <f t="shared" si="3"/>
        <v>1</v>
      </c>
      <c r="AB27" s="1810">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5"/>
      <c r="Q28" s="1794" t="str">
        <f t="shared" si="11"/>
        <v>朝向</v>
      </c>
      <c r="R28" s="770" t="s">
        <v>17</v>
      </c>
      <c r="S28" s="771">
        <f>F28</f>
        <v>100</v>
      </c>
      <c r="T28" s="770" t="s">
        <v>17</v>
      </c>
      <c r="U28" s="771">
        <f>H28</f>
        <v>100</v>
      </c>
      <c r="V28" s="770" t="s">
        <v>17</v>
      </c>
      <c r="W28" s="771">
        <f>J28</f>
        <v>100</v>
      </c>
      <c r="X28" s="772"/>
      <c r="Y28" s="3188"/>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5"/>
      <c r="Q29" s="1809">
        <f t="shared" si="11"/>
        <v>111</v>
      </c>
      <c r="R29" s="774" t="s">
        <v>17</v>
      </c>
      <c r="S29" s="775">
        <f t="shared" ref="S29:S47" si="12">F29</f>
        <v>100</v>
      </c>
      <c r="T29" s="774" t="s">
        <v>17</v>
      </c>
      <c r="U29" s="775">
        <f t="shared" ref="U29:U47" si="13">H29</f>
        <v>100</v>
      </c>
      <c r="V29" s="774" t="s">
        <v>17</v>
      </c>
      <c r="W29" s="775">
        <f t="shared" ref="W29:W47" si="14">J29</f>
        <v>100</v>
      </c>
      <c r="X29" s="1812"/>
      <c r="Y29" s="3188"/>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188"/>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188"/>
      <c r="Z31" s="1813">
        <f t="shared" si="15"/>
        <v>111</v>
      </c>
      <c r="AA31" s="1810">
        <f t="shared" si="3"/>
        <v>1</v>
      </c>
      <c r="AB31" s="1810">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55"/>
      <c r="Q32" s="1809">
        <f t="shared" si="11"/>
        <v>111</v>
      </c>
      <c r="R32" s="774" t="s">
        <v>17</v>
      </c>
      <c r="S32" s="775">
        <f t="shared" si="12"/>
        <v>100</v>
      </c>
      <c r="T32" s="774" t="s">
        <v>17</v>
      </c>
      <c r="U32" s="775">
        <f t="shared" si="13"/>
        <v>100</v>
      </c>
      <c r="V32" s="774" t="s">
        <v>17</v>
      </c>
      <c r="W32" s="775">
        <f t="shared" si="14"/>
        <v>100</v>
      </c>
      <c r="X32" s="1812"/>
      <c r="Y32" s="3188"/>
      <c r="Z32" s="1813">
        <f t="shared" si="15"/>
        <v>111</v>
      </c>
      <c r="AA32" s="1810">
        <f t="shared" si="3"/>
        <v>1</v>
      </c>
      <c r="AB32" s="1810">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0" t="s">
        <v>2556</v>
      </c>
      <c r="Q33" s="1809" t="str">
        <f t="shared" si="11"/>
        <v>建筑类型</v>
      </c>
      <c r="R33" s="774" t="s">
        <v>17</v>
      </c>
      <c r="S33" s="775">
        <f t="shared" si="12"/>
        <v>100</v>
      </c>
      <c r="T33" s="774" t="s">
        <v>17</v>
      </c>
      <c r="U33" s="775">
        <f t="shared" si="13"/>
        <v>100</v>
      </c>
      <c r="V33" s="774" t="s">
        <v>17</v>
      </c>
      <c r="W33" s="775">
        <f t="shared" si="14"/>
        <v>100</v>
      </c>
      <c r="X33" s="1812"/>
      <c r="Y33" s="3190" t="s">
        <v>2556</v>
      </c>
      <c r="Z33" s="1813" t="str">
        <f t="shared" si="15"/>
        <v>建筑类型</v>
      </c>
      <c r="AA33" s="1810">
        <f t="shared" si="3"/>
        <v>1</v>
      </c>
      <c r="AB33" s="1810">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1"/>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0" t="e">
        <f t="shared" si="3"/>
        <v>#N/A</v>
      </c>
      <c r="AB34" s="1810"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1"/>
      <c r="Q35" s="1809" t="str">
        <f t="shared" si="11"/>
        <v>建筑结构</v>
      </c>
      <c r="R35" s="774" t="s">
        <v>17</v>
      </c>
      <c r="S35" s="775">
        <f t="shared" si="12"/>
        <v>100</v>
      </c>
      <c r="T35" s="774" t="s">
        <v>17</v>
      </c>
      <c r="U35" s="775">
        <f t="shared" si="13"/>
        <v>100</v>
      </c>
      <c r="V35" s="774" t="s">
        <v>17</v>
      </c>
      <c r="W35" s="775">
        <f t="shared" si="14"/>
        <v>100</v>
      </c>
      <c r="X35" s="1812"/>
      <c r="Y35" s="3190"/>
      <c r="Z35" s="1813" t="str">
        <f t="shared" si="15"/>
        <v>建筑结构</v>
      </c>
      <c r="AA35" s="1810">
        <f t="shared" si="3"/>
        <v>1</v>
      </c>
      <c r="AB35" s="1810">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1"/>
      <c r="Q36" s="1809" t="str">
        <f t="shared" si="11"/>
        <v>公共部分装修</v>
      </c>
      <c r="R36" s="774" t="s">
        <v>17</v>
      </c>
      <c r="S36" s="775">
        <f t="shared" si="12"/>
        <v>100</v>
      </c>
      <c r="T36" s="774" t="s">
        <v>17</v>
      </c>
      <c r="U36" s="775">
        <f t="shared" si="13"/>
        <v>100</v>
      </c>
      <c r="V36" s="774" t="s">
        <v>17</v>
      </c>
      <c r="W36" s="775">
        <f t="shared" si="14"/>
        <v>100</v>
      </c>
      <c r="X36" s="1812"/>
      <c r="Y36" s="3190"/>
      <c r="Z36" s="1813" t="str">
        <f t="shared" si="15"/>
        <v>公共部分装修</v>
      </c>
      <c r="AA36" s="1810">
        <f t="shared" si="3"/>
        <v>1</v>
      </c>
      <c r="AB36" s="1810">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1"/>
      <c r="Q37" s="1809" t="str">
        <f t="shared" si="11"/>
        <v>成新度</v>
      </c>
      <c r="R37" s="774" t="s">
        <v>17</v>
      </c>
      <c r="S37" s="775" t="e">
        <f t="shared" si="12"/>
        <v>#N/A</v>
      </c>
      <c r="T37" s="774" t="s">
        <v>17</v>
      </c>
      <c r="U37" s="775" t="e">
        <f t="shared" si="13"/>
        <v>#N/A</v>
      </c>
      <c r="V37" s="774" t="s">
        <v>17</v>
      </c>
      <c r="W37" s="775" t="e">
        <f t="shared" si="14"/>
        <v>#N/A</v>
      </c>
      <c r="X37" s="1812"/>
      <c r="Y37" s="3190"/>
      <c r="Z37" s="1813" t="str">
        <f t="shared" si="15"/>
        <v>成新度</v>
      </c>
      <c r="AA37" s="1810" t="e">
        <f t="shared" si="3"/>
        <v>#N/A</v>
      </c>
      <c r="AB37" s="1810"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1"/>
      <c r="Q38" s="1794"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1" t="s">
        <v>2556</v>
      </c>
      <c r="Q39" s="1809" t="str">
        <f t="shared" si="11"/>
        <v>物业管理</v>
      </c>
      <c r="R39" s="774" t="s">
        <v>17</v>
      </c>
      <c r="S39" s="775">
        <f t="shared" si="12"/>
        <v>100</v>
      </c>
      <c r="T39" s="774" t="s">
        <v>17</v>
      </c>
      <c r="U39" s="775">
        <f t="shared" si="13"/>
        <v>100</v>
      </c>
      <c r="V39" s="774" t="s">
        <v>17</v>
      </c>
      <c r="W39" s="775">
        <f t="shared" si="14"/>
        <v>100</v>
      </c>
      <c r="X39" s="1812"/>
      <c r="Y39" s="3190" t="s">
        <v>2556</v>
      </c>
      <c r="Z39" s="1813" t="str">
        <f t="shared" si="15"/>
        <v>物业管理</v>
      </c>
      <c r="AA39" s="1810">
        <f t="shared" si="3"/>
        <v>1</v>
      </c>
      <c r="AB39" s="1810">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1"/>
      <c r="Q40" s="1809" t="str">
        <f t="shared" si="11"/>
        <v>市政基础设施</v>
      </c>
      <c r="R40" s="774" t="s">
        <v>17</v>
      </c>
      <c r="S40" s="775">
        <f t="shared" si="12"/>
        <v>100</v>
      </c>
      <c r="T40" s="774" t="s">
        <v>17</v>
      </c>
      <c r="U40" s="775">
        <f t="shared" si="13"/>
        <v>100</v>
      </c>
      <c r="V40" s="774" t="s">
        <v>17</v>
      </c>
      <c r="W40" s="775">
        <f t="shared" si="14"/>
        <v>100</v>
      </c>
      <c r="X40" s="1812"/>
      <c r="Y40" s="3190"/>
      <c r="Z40" s="1813" t="str">
        <f t="shared" si="15"/>
        <v>市政基础设施</v>
      </c>
      <c r="AA40" s="1810">
        <f t="shared" si="3"/>
        <v>1</v>
      </c>
      <c r="AB40" s="1810">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1"/>
      <c r="Q41" s="1809" t="str">
        <f t="shared" si="11"/>
        <v>层高</v>
      </c>
      <c r="R41" s="774" t="s">
        <v>17</v>
      </c>
      <c r="S41" s="775">
        <f t="shared" si="12"/>
        <v>100</v>
      </c>
      <c r="T41" s="774" t="s">
        <v>17</v>
      </c>
      <c r="U41" s="775">
        <f t="shared" si="13"/>
        <v>100</v>
      </c>
      <c r="V41" s="774" t="s">
        <v>17</v>
      </c>
      <c r="W41" s="775">
        <f t="shared" si="14"/>
        <v>100</v>
      </c>
      <c r="X41" s="1812"/>
      <c r="Y41" s="3190"/>
      <c r="Z41" s="1813" t="str">
        <f t="shared" si="15"/>
        <v>层高</v>
      </c>
      <c r="AA41" s="1810">
        <f t="shared" si="3"/>
        <v>1</v>
      </c>
      <c r="AB41" s="1810">
        <f t="shared" si="4"/>
        <v>1</v>
      </c>
      <c r="AC41" s="2672">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1"/>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0">
        <f t="shared" si="3"/>
        <v>1</v>
      </c>
      <c r="AB42" s="1810">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1"/>
      <c r="Q43" s="1809" t="str">
        <f t="shared" si="11"/>
        <v>内部装修</v>
      </c>
      <c r="R43" s="774" t="s">
        <v>17</v>
      </c>
      <c r="S43" s="775">
        <f t="shared" si="12"/>
        <v>100</v>
      </c>
      <c r="T43" s="774" t="s">
        <v>17</v>
      </c>
      <c r="U43" s="775">
        <f t="shared" si="13"/>
        <v>100</v>
      </c>
      <c r="V43" s="774" t="s">
        <v>17</v>
      </c>
      <c r="W43" s="775">
        <f t="shared" si="14"/>
        <v>100</v>
      </c>
      <c r="X43" s="1812"/>
      <c r="Y43" s="3190"/>
      <c r="Z43" s="1813" t="str">
        <f t="shared" si="15"/>
        <v>内部装修</v>
      </c>
      <c r="AA43" s="1810">
        <f t="shared" si="3"/>
        <v>1</v>
      </c>
      <c r="AB43" s="1810">
        <f t="shared" si="4"/>
        <v>1</v>
      </c>
      <c r="AC43" s="2672">
        <f t="shared" si="5"/>
        <v>1</v>
      </c>
    </row>
    <row r="44" spans="1:29" ht="28.8">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1"/>
      <c r="Q44" s="1809" t="str">
        <f t="shared" si="11"/>
        <v>内部装修维护情况</v>
      </c>
      <c r="R44" s="774" t="s">
        <v>17</v>
      </c>
      <c r="S44" s="775">
        <f t="shared" si="12"/>
        <v>100</v>
      </c>
      <c r="T44" s="774" t="s">
        <v>17</v>
      </c>
      <c r="U44" s="775">
        <f t="shared" si="13"/>
        <v>100</v>
      </c>
      <c r="V44" s="774" t="s">
        <v>17</v>
      </c>
      <c r="W44" s="775">
        <f t="shared" si="14"/>
        <v>100</v>
      </c>
      <c r="X44" s="1812"/>
      <c r="Y44" s="3190"/>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1"/>
      <c r="Q45" s="1794">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1"/>
      <c r="Q46" s="1809">
        <f t="shared" si="11"/>
        <v>111</v>
      </c>
      <c r="R46" s="774" t="s">
        <v>17</v>
      </c>
      <c r="S46" s="775">
        <f t="shared" si="12"/>
        <v>100</v>
      </c>
      <c r="T46" s="774" t="s">
        <v>17</v>
      </c>
      <c r="U46" s="775">
        <f t="shared" si="13"/>
        <v>100</v>
      </c>
      <c r="V46" s="774" t="s">
        <v>17</v>
      </c>
      <c r="W46" s="775">
        <f t="shared" si="14"/>
        <v>100</v>
      </c>
      <c r="X46" s="1812"/>
      <c r="Y46" s="3190"/>
      <c r="Z46" s="1813">
        <f t="shared" si="15"/>
        <v>111</v>
      </c>
      <c r="AA46" s="1810">
        <f t="shared" si="3"/>
        <v>1</v>
      </c>
      <c r="AB46" s="1810">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2"/>
      <c r="Q47" s="1809">
        <f t="shared" si="11"/>
        <v>111</v>
      </c>
      <c r="R47" s="774" t="s">
        <v>17</v>
      </c>
      <c r="S47" s="775">
        <f t="shared" si="12"/>
        <v>100</v>
      </c>
      <c r="T47" s="774" t="s">
        <v>17</v>
      </c>
      <c r="U47" s="775">
        <f t="shared" si="13"/>
        <v>100</v>
      </c>
      <c r="V47" s="774" t="s">
        <v>17</v>
      </c>
      <c r="W47" s="775">
        <f t="shared" si="14"/>
        <v>100</v>
      </c>
      <c r="X47" s="1812"/>
      <c r="Y47" s="3253"/>
      <c r="Z47" s="1813">
        <f t="shared" si="15"/>
        <v>111</v>
      </c>
      <c r="AA47" s="1810">
        <f t="shared" si="3"/>
        <v>1</v>
      </c>
      <c r="AB47" s="1810">
        <f t="shared" si="4"/>
        <v>1</v>
      </c>
      <c r="AC47" s="2672">
        <f t="shared" si="5"/>
        <v>1</v>
      </c>
    </row>
    <row r="48" spans="1:29" ht="14.4">
      <c r="A48" s="479" t="s">
        <v>2568</v>
      </c>
      <c r="B48" s="480"/>
      <c r="C48" s="1407" t="s">
        <v>1</v>
      </c>
      <c r="D48" s="1408"/>
      <c r="E48" s="1409"/>
      <c r="F48" s="1410"/>
      <c r="G48" s="1411"/>
      <c r="H48" s="1412"/>
      <c r="I48" s="1409"/>
      <c r="J48" s="485"/>
      <c r="K48" s="783"/>
      <c r="L48" s="1143"/>
      <c r="M48" s="1131"/>
      <c r="N48" s="1131"/>
      <c r="O48" s="1131"/>
      <c r="P48" s="3184" t="str">
        <f>A48</f>
        <v>成交单价（元/平方米）</v>
      </c>
      <c r="Q48" s="3185"/>
      <c r="R48" s="3249">
        <f>E48</f>
        <v>0</v>
      </c>
      <c r="S48" s="3249"/>
      <c r="T48" s="3249">
        <f>G48</f>
        <v>0</v>
      </c>
      <c r="U48" s="3249"/>
      <c r="V48" s="3249">
        <f>I48</f>
        <v>0</v>
      </c>
      <c r="W48" s="3249"/>
      <c r="X48" s="446"/>
      <c r="Y48" s="781"/>
      <c r="Z48" s="446"/>
      <c r="AA48" s="446"/>
      <c r="AB48" s="446"/>
      <c r="AC48" s="630"/>
    </row>
    <row r="49" spans="1:29" ht="1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85"/>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 thickBot="1">
      <c r="A50" s="492" t="s">
        <v>2661</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2665</v>
      </c>
      <c r="B58" s="759"/>
      <c r="C58" s="764"/>
      <c r="D58" s="764"/>
      <c r="E58" s="764"/>
      <c r="F58" s="765"/>
      <c r="G58" s="765"/>
      <c r="H58" s="764"/>
      <c r="I58" s="764"/>
      <c r="J58" s="764"/>
      <c r="K58" s="766"/>
      <c r="L58" s="1161"/>
      <c r="M58" s="1159"/>
      <c r="N58" s="1159"/>
      <c r="O58" s="1159"/>
      <c r="P58" s="2679"/>
      <c r="Q58" s="504"/>
    </row>
    <row r="59" spans="1:29" s="508" customFormat="1" ht="14.4">
      <c r="A59" s="505" t="s">
        <v>2539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c r="A60" s="509"/>
      <c r="B60" s="510"/>
      <c r="C60" s="1572">
        <v>100</v>
      </c>
      <c r="D60" s="512"/>
      <c r="E60" s="512"/>
      <c r="F60" s="512"/>
      <c r="G60" s="512"/>
      <c r="H60" s="512"/>
      <c r="I60" s="512"/>
      <c r="J60" s="512"/>
      <c r="K60" s="512"/>
      <c r="L60" s="512"/>
      <c r="M60" s="513"/>
      <c r="N60" s="512"/>
      <c r="O60" s="513"/>
      <c r="P60" s="2680"/>
    </row>
    <row r="61" spans="1:29" s="117" customFormat="1" ht="15" thickBot="1">
      <c r="A61" s="515" t="s">
        <v>2576</v>
      </c>
      <c r="B61" s="516"/>
      <c r="C61" s="517"/>
      <c r="D61" s="518"/>
      <c r="E61" s="518"/>
      <c r="F61" s="518"/>
      <c r="G61" s="518"/>
      <c r="H61" s="518"/>
      <c r="I61" s="518"/>
      <c r="J61" s="518"/>
      <c r="K61" s="518"/>
      <c r="L61" s="518"/>
      <c r="M61" s="519"/>
      <c r="N61" s="518"/>
      <c r="O61" s="519"/>
      <c r="P61" s="2680"/>
      <c r="Q61" s="504"/>
    </row>
    <row r="62" spans="1:29" s="117" customFormat="1" ht="14.4">
      <c r="A62" s="521" t="s">
        <v>2541</v>
      </c>
      <c r="B62" s="510"/>
      <c r="C62" s="522" t="s">
        <v>2643</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2579</v>
      </c>
      <c r="B64" s="528" t="s">
        <v>2545</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2690</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2554</v>
      </c>
      <c r="B101" s="528" t="s">
        <v>2603</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9152.0400000000009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2636</v>
      </c>
      <c r="B4" s="402"/>
      <c r="C4" s="3182" t="s">
        <v>2637</v>
      </c>
      <c r="D4" s="3195"/>
      <c r="E4" s="3196" t="s">
        <v>2638</v>
      </c>
      <c r="F4" s="3197"/>
      <c r="G4" s="3182" t="s">
        <v>2639</v>
      </c>
      <c r="H4" s="3195"/>
      <c r="I4" s="3182" t="s">
        <v>2640</v>
      </c>
      <c r="J4" s="3195"/>
      <c r="K4" s="610" t="s">
        <v>2641</v>
      </c>
      <c r="L4" s="1130"/>
      <c r="M4" s="1131"/>
      <c r="N4" s="1131"/>
      <c r="O4" s="1131"/>
      <c r="P4" s="3198" t="s">
        <v>2642</v>
      </c>
      <c r="Q4" s="3199"/>
      <c r="R4" s="3204" t="s">
        <v>2638</v>
      </c>
      <c r="S4" s="3205"/>
      <c r="T4" s="3204" t="s">
        <v>2639</v>
      </c>
      <c r="U4" s="3205"/>
      <c r="V4" s="3191" t="s">
        <v>2640</v>
      </c>
      <c r="W4" s="3191"/>
      <c r="X4" s="1812"/>
      <c r="Y4" s="3204" t="s">
        <v>2642</v>
      </c>
      <c r="Z4" s="3205"/>
      <c r="AA4" s="3192" t="s">
        <v>2638</v>
      </c>
      <c r="AB4" s="3193" t="s">
        <v>2639</v>
      </c>
      <c r="AC4" s="3192" t="s">
        <v>2640</v>
      </c>
    </row>
    <row r="5" spans="1:29">
      <c r="A5" s="404"/>
      <c r="B5" s="405"/>
      <c r="C5" s="3212" t="s">
        <v>2533</v>
      </c>
      <c r="D5" s="3213"/>
      <c r="E5" s="3219" t="s">
        <v>2534</v>
      </c>
      <c r="F5" s="3220"/>
      <c r="G5" s="3212" t="s">
        <v>2535</v>
      </c>
      <c r="H5" s="3213"/>
      <c r="I5" s="3212" t="s">
        <v>2536</v>
      </c>
      <c r="J5" s="3213"/>
      <c r="K5" s="610"/>
      <c r="L5" s="1130"/>
      <c r="M5" s="1131"/>
      <c r="N5" s="1131"/>
      <c r="O5" s="1131"/>
      <c r="P5" s="3200"/>
      <c r="Q5" s="3201"/>
      <c r="R5" s="3206"/>
      <c r="S5" s="3207"/>
      <c r="T5" s="3206"/>
      <c r="U5" s="3207"/>
      <c r="V5" s="3191"/>
      <c r="W5" s="3191"/>
      <c r="X5" s="1812"/>
      <c r="Y5" s="3206"/>
      <c r="Z5" s="3207"/>
      <c r="AA5" s="3193"/>
      <c r="AB5" s="3193"/>
      <c r="AC5" s="3193"/>
    </row>
    <row r="6" spans="1:29" ht="15" thickBot="1">
      <c r="A6" s="406"/>
      <c r="B6" s="407"/>
      <c r="C6" s="3210" t="s">
        <v>2537</v>
      </c>
      <c r="D6" s="3211"/>
      <c r="E6" s="3217" t="s">
        <v>2537</v>
      </c>
      <c r="F6" s="3218"/>
      <c r="G6" s="3210" t="s">
        <v>2537</v>
      </c>
      <c r="H6" s="3211"/>
      <c r="I6" s="3210" t="s">
        <v>2537</v>
      </c>
      <c r="J6" s="3211"/>
      <c r="K6" s="610" t="s">
        <v>2538</v>
      </c>
      <c r="L6" s="1130"/>
      <c r="M6" s="1131"/>
      <c r="N6" s="1131"/>
      <c r="O6" s="1131"/>
      <c r="P6" s="3202"/>
      <c r="Q6" s="3203"/>
      <c r="R6" s="3206"/>
      <c r="S6" s="3207"/>
      <c r="T6" s="3208"/>
      <c r="U6" s="3209"/>
      <c r="V6" s="3191"/>
      <c r="W6" s="3191"/>
      <c r="X6" s="1812"/>
      <c r="Y6" s="3208"/>
      <c r="Z6" s="3209"/>
      <c r="AA6" s="3194"/>
      <c r="AB6" s="3194"/>
      <c r="AC6" s="3194"/>
    </row>
    <row r="7" spans="1:29" s="117" customFormat="1" ht="15" thickBot="1">
      <c r="A7" s="408" t="s">
        <v>2539</v>
      </c>
      <c r="B7" s="409"/>
      <c r="C7" s="410">
        <f>'数据-取费表'!B2</f>
        <v>44000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2540</v>
      </c>
      <c r="Q7" s="3216"/>
      <c r="R7" s="770" t="s">
        <v>17</v>
      </c>
      <c r="S7" s="771">
        <f t="shared" ref="S7:S15" si="0">F7</f>
        <v>0</v>
      </c>
      <c r="T7" s="770" t="s">
        <v>17</v>
      </c>
      <c r="U7" s="771">
        <f t="shared" ref="U7:U15" si="1">H7</f>
        <v>0</v>
      </c>
      <c r="V7" s="770" t="s">
        <v>17</v>
      </c>
      <c r="W7" s="771">
        <f t="shared" ref="W7:W15" si="2">J7</f>
        <v>0</v>
      </c>
      <c r="X7" s="772"/>
      <c r="Y7" s="3214" t="s">
        <v>2540</v>
      </c>
      <c r="Z7" s="3215"/>
      <c r="AA7" s="773" t="e">
        <f>D7/F7</f>
        <v>#DIV/0!</v>
      </c>
      <c r="AB7" s="773" t="e">
        <f>D7/H7</f>
        <v>#DIV/0!</v>
      </c>
      <c r="AC7" s="773" t="e">
        <f>D7/J7</f>
        <v>#DIV/0!</v>
      </c>
    </row>
    <row r="8" spans="1:29" s="117" customFormat="1" ht="1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2543</v>
      </c>
      <c r="Q8" s="3215"/>
      <c r="R8" s="770" t="s">
        <v>17</v>
      </c>
      <c r="S8" s="771">
        <f t="shared" si="0"/>
        <v>0</v>
      </c>
      <c r="T8" s="770" t="s">
        <v>17</v>
      </c>
      <c r="U8" s="771">
        <f t="shared" si="1"/>
        <v>0</v>
      </c>
      <c r="V8" s="770" t="s">
        <v>17</v>
      </c>
      <c r="W8" s="771">
        <f t="shared" si="2"/>
        <v>0</v>
      </c>
      <c r="X8" s="772"/>
      <c r="Y8" s="3214" t="s">
        <v>2543</v>
      </c>
      <c r="Z8" s="3215"/>
      <c r="AA8" s="773" t="e">
        <f t="shared" ref="AA8:AA40" si="3">D8/F8</f>
        <v>#DIV/0!</v>
      </c>
      <c r="AB8" s="773" t="e">
        <f t="shared" ref="AB8:AB40" si="4">D8/H8</f>
        <v>#DIV/0!</v>
      </c>
      <c r="AC8" s="773" t="e">
        <f t="shared" ref="AC8:AC40" si="5">D8/J8</f>
        <v>#DIV/0!</v>
      </c>
    </row>
    <row r="9" spans="1:29" s="117" customFormat="1" ht="14.4">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5" t="s">
        <v>2546</v>
      </c>
      <c r="Q9" s="1794"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7" t="s">
        <v>2551</v>
      </c>
      <c r="Q15" s="1809" t="str">
        <f t="shared" si="6"/>
        <v>产业集聚程度</v>
      </c>
      <c r="R15" s="774" t="s">
        <v>17</v>
      </c>
      <c r="S15" s="775">
        <f t="shared" si="0"/>
        <v>100</v>
      </c>
      <c r="T15" s="774" t="s">
        <v>17</v>
      </c>
      <c r="U15" s="775">
        <f t="shared" si="1"/>
        <v>100</v>
      </c>
      <c r="V15" s="774" t="s">
        <v>17</v>
      </c>
      <c r="W15" s="775">
        <f t="shared" si="2"/>
        <v>100</v>
      </c>
      <c r="X15" s="1812"/>
      <c r="Y15" s="3187"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8"/>
      <c r="Q16" s="1809"/>
      <c r="R16" s="774"/>
      <c r="S16" s="775"/>
      <c r="T16" s="774"/>
      <c r="U16" s="775"/>
      <c r="V16" s="774"/>
      <c r="W16" s="775"/>
      <c r="X16" s="1812"/>
      <c r="Y16" s="3188"/>
      <c r="Z16" s="1813"/>
      <c r="AA16" s="1810">
        <v>1</v>
      </c>
      <c r="AB16" s="1810">
        <v>1</v>
      </c>
      <c r="AC16" s="1810">
        <v>1</v>
      </c>
    </row>
    <row r="17" spans="1:29" ht="96.6">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88"/>
      <c r="Q18" s="1809"/>
      <c r="R18" s="774"/>
      <c r="S18" s="775"/>
      <c r="T18" s="774"/>
      <c r="U18" s="775"/>
      <c r="V18" s="774"/>
      <c r="W18" s="775"/>
      <c r="X18" s="1812"/>
      <c r="Y18" s="3188"/>
      <c r="Z18" s="1813"/>
      <c r="AA18" s="1810">
        <v>1</v>
      </c>
      <c r="AB18" s="1810">
        <v>1</v>
      </c>
      <c r="AC18" s="1810">
        <v>1</v>
      </c>
    </row>
    <row r="19" spans="1:29" ht="41.4">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8"/>
      <c r="Q19" s="1809" t="str">
        <f>B19</f>
        <v>公共配套设施</v>
      </c>
      <c r="R19" s="774" t="s">
        <v>17</v>
      </c>
      <c r="S19" s="775">
        <f>F19</f>
        <v>100</v>
      </c>
      <c r="T19" s="774" t="s">
        <v>17</v>
      </c>
      <c r="U19" s="775">
        <f>H19</f>
        <v>100</v>
      </c>
      <c r="V19" s="774" t="s">
        <v>17</v>
      </c>
      <c r="W19" s="775">
        <f>J19</f>
        <v>100</v>
      </c>
      <c r="X19" s="1812"/>
      <c r="Y19" s="3188"/>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88"/>
      <c r="Q20" s="1809"/>
      <c r="R20" s="774"/>
      <c r="S20" s="775"/>
      <c r="T20" s="774"/>
      <c r="U20" s="775"/>
      <c r="V20" s="774"/>
      <c r="W20" s="775"/>
      <c r="X20" s="1812"/>
      <c r="Y20" s="3188"/>
      <c r="Z20" s="1813"/>
      <c r="AA20" s="1810">
        <v>1</v>
      </c>
      <c r="AB20" s="1810">
        <v>1</v>
      </c>
      <c r="AC20" s="1810">
        <v>1</v>
      </c>
    </row>
    <row r="21" spans="1:29" ht="41.4">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8"/>
      <c r="Q21" s="1809" t="str">
        <f>B21</f>
        <v>基础设施水平</v>
      </c>
      <c r="R21" s="774" t="s">
        <v>17</v>
      </c>
      <c r="S21" s="775">
        <f>F21</f>
        <v>100</v>
      </c>
      <c r="T21" s="774" t="s">
        <v>17</v>
      </c>
      <c r="U21" s="775">
        <f>H21</f>
        <v>100</v>
      </c>
      <c r="V21" s="774" t="s">
        <v>17</v>
      </c>
      <c r="W21" s="775">
        <f>J21</f>
        <v>100</v>
      </c>
      <c r="X21" s="1812"/>
      <c r="Y21" s="3188"/>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88"/>
      <c r="Q22" s="1809"/>
      <c r="R22" s="774"/>
      <c r="S22" s="775"/>
      <c r="T22" s="774"/>
      <c r="U22" s="775"/>
      <c r="V22" s="774"/>
      <c r="W22" s="775"/>
      <c r="X22" s="1812"/>
      <c r="Y22" s="3188"/>
      <c r="Z22" s="1813"/>
      <c r="AA22" s="1810">
        <v>1</v>
      </c>
      <c r="AB22" s="1810">
        <v>1</v>
      </c>
      <c r="AC22" s="1810">
        <v>1</v>
      </c>
    </row>
    <row r="23" spans="1:29" ht="82.8">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8"/>
      <c r="Q23" s="1809" t="str">
        <f>B23</f>
        <v>环境质量</v>
      </c>
      <c r="R23" s="774" t="s">
        <v>17</v>
      </c>
      <c r="S23" s="775">
        <f>F23</f>
        <v>100</v>
      </c>
      <c r="T23" s="774" t="s">
        <v>17</v>
      </c>
      <c r="U23" s="775">
        <f>H23</f>
        <v>100</v>
      </c>
      <c r="V23" s="774" t="s">
        <v>17</v>
      </c>
      <c r="W23" s="775">
        <f>J23</f>
        <v>100</v>
      </c>
      <c r="X23" s="1812"/>
      <c r="Y23" s="3188"/>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88"/>
      <c r="Q24" s="1809"/>
      <c r="R24" s="774"/>
      <c r="S24" s="775"/>
      <c r="T24" s="774"/>
      <c r="U24" s="775"/>
      <c r="V24" s="774"/>
      <c r="W24" s="775"/>
      <c r="X24" s="1812"/>
      <c r="Y24" s="318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8"/>
      <c r="Q25" s="1809">
        <f>B25</f>
        <v>111</v>
      </c>
      <c r="R25" s="774" t="s">
        <v>17</v>
      </c>
      <c r="S25" s="775">
        <f>F25</f>
        <v>100</v>
      </c>
      <c r="T25" s="774" t="s">
        <v>17</v>
      </c>
      <c r="U25" s="775">
        <f>H25</f>
        <v>100</v>
      </c>
      <c r="V25" s="774" t="s">
        <v>17</v>
      </c>
      <c r="W25" s="775">
        <f>J25</f>
        <v>100</v>
      </c>
      <c r="X25" s="1812"/>
      <c r="Y25" s="318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8"/>
      <c r="Q26" s="1809">
        <f t="shared" ref="Q26:Q40" si="11">B26</f>
        <v>111</v>
      </c>
      <c r="R26" s="774" t="s">
        <v>17</v>
      </c>
      <c r="S26" s="775">
        <f>F26</f>
        <v>100</v>
      </c>
      <c r="T26" s="774" t="s">
        <v>17</v>
      </c>
      <c r="U26" s="775">
        <f>H26</f>
        <v>100</v>
      </c>
      <c r="V26" s="774" t="s">
        <v>17</v>
      </c>
      <c r="W26" s="775">
        <f>J26</f>
        <v>100</v>
      </c>
      <c r="X26" s="1812"/>
      <c r="Y26" s="318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8"/>
      <c r="Q27" s="1794">
        <f t="shared" si="11"/>
        <v>111</v>
      </c>
      <c r="R27" s="770" t="s">
        <v>17</v>
      </c>
      <c r="S27" s="771">
        <f>F27</f>
        <v>100</v>
      </c>
      <c r="T27" s="770" t="s">
        <v>17</v>
      </c>
      <c r="U27" s="771">
        <f>H27</f>
        <v>100</v>
      </c>
      <c r="V27" s="770" t="s">
        <v>17</v>
      </c>
      <c r="W27" s="771">
        <f>J27</f>
        <v>100</v>
      </c>
      <c r="X27" s="772"/>
      <c r="Y27" s="3188"/>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8"/>
      <c r="Q28" s="1809">
        <f t="shared" si="11"/>
        <v>111</v>
      </c>
      <c r="R28" s="774" t="s">
        <v>17</v>
      </c>
      <c r="S28" s="775">
        <f t="shared" ref="S28:S40" si="12">F28</f>
        <v>100</v>
      </c>
      <c r="T28" s="774" t="s">
        <v>17</v>
      </c>
      <c r="U28" s="775">
        <f t="shared" ref="U28:U40" si="13">H28</f>
        <v>100</v>
      </c>
      <c r="V28" s="774" t="s">
        <v>17</v>
      </c>
      <c r="W28" s="775">
        <f t="shared" ref="W28:W40" si="14">J28</f>
        <v>100</v>
      </c>
      <c r="X28" s="1812"/>
      <c r="Y28" s="3188"/>
      <c r="Z28" s="1813">
        <f t="shared" ref="Z28:Z40" si="15">Q28</f>
        <v>111</v>
      </c>
      <c r="AA28" s="1810">
        <f t="shared" si="3"/>
        <v>1</v>
      </c>
      <c r="AB28" s="1810">
        <f t="shared" si="4"/>
        <v>1</v>
      </c>
      <c r="AC28" s="1810">
        <f t="shared" si="5"/>
        <v>1</v>
      </c>
    </row>
    <row r="29" spans="1:29" ht="30">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89" t="s">
        <v>2556</v>
      </c>
      <c r="Q29" s="1809" t="str">
        <f t="shared" si="11"/>
        <v>建筑类型</v>
      </c>
      <c r="R29" s="774" t="s">
        <v>17</v>
      </c>
      <c r="S29" s="775">
        <f t="shared" si="12"/>
        <v>100</v>
      </c>
      <c r="T29" s="774" t="s">
        <v>17</v>
      </c>
      <c r="U29" s="775">
        <f t="shared" si="13"/>
        <v>100</v>
      </c>
      <c r="V29" s="774" t="s">
        <v>17</v>
      </c>
      <c r="W29" s="775">
        <f t="shared" si="14"/>
        <v>100</v>
      </c>
      <c r="X29" s="1812"/>
      <c r="Y29" s="3190"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0"/>
      <c r="Q31" s="1809" t="str">
        <f t="shared" si="11"/>
        <v>建筑结构</v>
      </c>
      <c r="R31" s="774" t="s">
        <v>17</v>
      </c>
      <c r="S31" s="775">
        <f t="shared" si="12"/>
        <v>100</v>
      </c>
      <c r="T31" s="774" t="s">
        <v>17</v>
      </c>
      <c r="U31" s="775">
        <f t="shared" si="13"/>
        <v>100</v>
      </c>
      <c r="V31" s="774" t="s">
        <v>17</v>
      </c>
      <c r="W31" s="775">
        <f t="shared" si="14"/>
        <v>100</v>
      </c>
      <c r="X31" s="1812"/>
      <c r="Y31" s="3190"/>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0"/>
      <c r="Q32" s="1809" t="str">
        <f t="shared" si="11"/>
        <v>公共部分装修</v>
      </c>
      <c r="R32" s="774" t="s">
        <v>17</v>
      </c>
      <c r="S32" s="775">
        <f t="shared" si="12"/>
        <v>100</v>
      </c>
      <c r="T32" s="774" t="s">
        <v>17</v>
      </c>
      <c r="U32" s="775">
        <f t="shared" si="13"/>
        <v>100</v>
      </c>
      <c r="V32" s="774" t="s">
        <v>17</v>
      </c>
      <c r="W32" s="775">
        <f t="shared" si="14"/>
        <v>100</v>
      </c>
      <c r="X32" s="1812"/>
      <c r="Y32" s="3190"/>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0"/>
      <c r="Q33" s="1809" t="str">
        <f t="shared" si="11"/>
        <v>成新度</v>
      </c>
      <c r="R33" s="774" t="s">
        <v>17</v>
      </c>
      <c r="S33" s="775" t="e">
        <f t="shared" si="12"/>
        <v>#N/A</v>
      </c>
      <c r="T33" s="774" t="s">
        <v>17</v>
      </c>
      <c r="U33" s="775" t="e">
        <f t="shared" si="13"/>
        <v>#N/A</v>
      </c>
      <c r="V33" s="774" t="s">
        <v>17</v>
      </c>
      <c r="W33" s="775" t="e">
        <f t="shared" si="14"/>
        <v>#N/A</v>
      </c>
      <c r="X33" s="1812"/>
      <c r="Y33" s="3190"/>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0"/>
      <c r="Q34" s="1794"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0" t="s">
        <v>2556</v>
      </c>
      <c r="Q35" s="1809" t="str">
        <f t="shared" si="11"/>
        <v>市政基础设施</v>
      </c>
      <c r="R35" s="774" t="s">
        <v>17</v>
      </c>
      <c r="S35" s="775">
        <f t="shared" si="12"/>
        <v>100</v>
      </c>
      <c r="T35" s="774" t="s">
        <v>17</v>
      </c>
      <c r="U35" s="775">
        <f t="shared" si="13"/>
        <v>100</v>
      </c>
      <c r="V35" s="774" t="s">
        <v>17</v>
      </c>
      <c r="W35" s="775">
        <f t="shared" si="14"/>
        <v>100</v>
      </c>
      <c r="X35" s="1812"/>
      <c r="Y35" s="3190"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0"/>
      <c r="Q36" s="1809" t="str">
        <f t="shared" si="11"/>
        <v>内部装修</v>
      </c>
      <c r="R36" s="774" t="s">
        <v>17</v>
      </c>
      <c r="S36" s="775">
        <f t="shared" si="12"/>
        <v>100</v>
      </c>
      <c r="T36" s="774" t="s">
        <v>17</v>
      </c>
      <c r="U36" s="775">
        <f t="shared" si="13"/>
        <v>100</v>
      </c>
      <c r="V36" s="774" t="s">
        <v>17</v>
      </c>
      <c r="W36" s="775">
        <f t="shared" si="14"/>
        <v>100</v>
      </c>
      <c r="X36" s="1812"/>
      <c r="Y36" s="3190"/>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0"/>
      <c r="Q37" s="1809" t="str">
        <f t="shared" si="11"/>
        <v>内部装修状况</v>
      </c>
      <c r="R37" s="774" t="s">
        <v>17</v>
      </c>
      <c r="S37" s="775">
        <f t="shared" si="12"/>
        <v>100</v>
      </c>
      <c r="T37" s="774" t="s">
        <v>17</v>
      </c>
      <c r="U37" s="775">
        <f t="shared" si="13"/>
        <v>100</v>
      </c>
      <c r="V37" s="774" t="s">
        <v>17</v>
      </c>
      <c r="W37" s="775">
        <f t="shared" si="14"/>
        <v>100</v>
      </c>
      <c r="X37" s="1812"/>
      <c r="Y37" s="319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0"/>
      <c r="Q39" s="1809">
        <f t="shared" si="11"/>
        <v>111</v>
      </c>
      <c r="R39" s="774" t="s">
        <v>17</v>
      </c>
      <c r="S39" s="775">
        <f t="shared" si="12"/>
        <v>100</v>
      </c>
      <c r="T39" s="774" t="s">
        <v>17</v>
      </c>
      <c r="U39" s="775">
        <f t="shared" si="13"/>
        <v>100</v>
      </c>
      <c r="V39" s="774" t="s">
        <v>17</v>
      </c>
      <c r="W39" s="775">
        <f t="shared" si="14"/>
        <v>100</v>
      </c>
      <c r="X39" s="1812"/>
      <c r="Y39" s="3190"/>
      <c r="Z39" s="1813">
        <f t="shared" si="15"/>
        <v>111</v>
      </c>
      <c r="AA39" s="1810">
        <f t="shared" si="3"/>
        <v>1</v>
      </c>
      <c r="AB39" s="1810">
        <f t="shared" si="4"/>
        <v>1</v>
      </c>
      <c r="AC39" s="1810">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09">
        <f t="shared" si="11"/>
        <v>111</v>
      </c>
      <c r="R40" s="774" t="s">
        <v>17</v>
      </c>
      <c r="S40" s="775">
        <f t="shared" si="12"/>
        <v>100</v>
      </c>
      <c r="T40" s="774" t="s">
        <v>17</v>
      </c>
      <c r="U40" s="775">
        <f t="shared" si="13"/>
        <v>100</v>
      </c>
      <c r="V40" s="774" t="s">
        <v>17</v>
      </c>
      <c r="W40" s="775">
        <f t="shared" si="14"/>
        <v>100</v>
      </c>
      <c r="X40" s="1812"/>
      <c r="Y40" s="3253"/>
      <c r="Z40" s="1813">
        <f t="shared" si="15"/>
        <v>111</v>
      </c>
      <c r="AA40" s="1810">
        <f t="shared" si="3"/>
        <v>1</v>
      </c>
      <c r="AB40" s="1810">
        <f t="shared" si="4"/>
        <v>1</v>
      </c>
      <c r="AC40" s="1810">
        <f t="shared" si="5"/>
        <v>1</v>
      </c>
    </row>
    <row r="41" spans="1:29" ht="14.4">
      <c r="A41" s="479" t="s">
        <v>2568</v>
      </c>
      <c r="B41" s="480"/>
      <c r="C41" s="1407" t="s">
        <v>1</v>
      </c>
      <c r="D41" s="1408"/>
      <c r="E41" s="1409"/>
      <c r="F41" s="1410"/>
      <c r="G41" s="1411"/>
      <c r="H41" s="1412"/>
      <c r="I41" s="1409"/>
      <c r="J41" s="1412"/>
      <c r="K41" s="783"/>
      <c r="L41" s="1143"/>
      <c r="M41" s="1144"/>
      <c r="N41" s="1131"/>
      <c r="O41" s="1144"/>
      <c r="P41" s="3185" t="str">
        <f>A41</f>
        <v>成交单价（元/平方米）</v>
      </c>
      <c r="Q41" s="3185"/>
      <c r="R41" s="3249">
        <f>E41</f>
        <v>0</v>
      </c>
      <c r="S41" s="3249"/>
      <c r="T41" s="3249">
        <f>G41</f>
        <v>0</v>
      </c>
      <c r="U41" s="3249"/>
      <c r="V41" s="3249">
        <f>I41</f>
        <v>0</v>
      </c>
      <c r="W41" s="3249"/>
      <c r="X41" s="759"/>
      <c r="Y41" s="781"/>
      <c r="Z41" s="759"/>
      <c r="AA41" s="759"/>
      <c r="AB41" s="759"/>
      <c r="AC41" s="759"/>
    </row>
    <row r="42" spans="1:29" ht="1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185" t="str">
        <f>A42</f>
        <v>比较价值（元/平方米）</v>
      </c>
      <c r="Q42" s="3185"/>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 thickBot="1">
      <c r="A43" s="492" t="s">
        <v>2661</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248" t="e">
        <f>IF(F1="售价",ROUND(AVERAGE(R42:V42),0),ROUND(AVERAGE(R42:V42),1))</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2665</v>
      </c>
      <c r="B51" s="759"/>
      <c r="C51" s="764"/>
      <c r="D51" s="764"/>
      <c r="E51" s="764"/>
      <c r="F51" s="765"/>
      <c r="G51" s="765"/>
      <c r="H51" s="764"/>
      <c r="I51" s="764"/>
      <c r="J51" s="764"/>
      <c r="K51" s="1160"/>
      <c r="L51" s="1161"/>
      <c r="M51" s="1159"/>
      <c r="N51" s="1159"/>
      <c r="O51" s="1159"/>
      <c r="P51" s="503"/>
      <c r="Q51" s="504"/>
    </row>
    <row r="52" spans="1:17" s="508" customFormat="1" ht="14.4">
      <c r="A52" s="505" t="s">
        <v>2539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2576</v>
      </c>
      <c r="B54" s="516"/>
      <c r="C54" s="517"/>
      <c r="D54" s="518"/>
      <c r="E54" s="518"/>
      <c r="F54" s="518"/>
      <c r="G54" s="518"/>
      <c r="H54" s="518"/>
      <c r="I54" s="518"/>
      <c r="J54" s="518"/>
      <c r="K54" s="518"/>
      <c r="L54" s="518"/>
      <c r="M54" s="519"/>
      <c r="N54" s="518"/>
      <c r="O54" s="520"/>
      <c r="P54" s="504"/>
      <c r="Q54" s="504"/>
    </row>
    <row r="55" spans="1:17" s="117" customFormat="1" ht="14.4">
      <c r="A55" s="521" t="s">
        <v>2541</v>
      </c>
      <c r="B55" s="510"/>
      <c r="C55" s="522" t="s">
        <v>2643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2579</v>
      </c>
      <c r="B57" s="528" t="s">
        <v>2545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2554</v>
      </c>
      <c r="B88" s="528" t="s">
        <v>2603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2698</v>
      </c>
      <c r="B1" s="1618"/>
      <c r="C1" s="1619" t="s">
        <v>2521</v>
      </c>
      <c r="D1" s="1620"/>
      <c r="E1" s="1621"/>
      <c r="F1" s="2582"/>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2636</v>
      </c>
      <c r="B4" s="402"/>
      <c r="C4" s="3182" t="s">
        <v>2637</v>
      </c>
      <c r="D4" s="3195"/>
      <c r="E4" s="3196" t="s">
        <v>2638</v>
      </c>
      <c r="F4" s="3197"/>
      <c r="G4" s="3182" t="s">
        <v>2639</v>
      </c>
      <c r="H4" s="3195"/>
      <c r="I4" s="3182" t="s">
        <v>2640</v>
      </c>
      <c r="J4" s="3195"/>
      <c r="K4" s="610" t="s">
        <v>2641</v>
      </c>
      <c r="L4" s="1130"/>
      <c r="M4" s="1131"/>
      <c r="N4" s="1131"/>
      <c r="O4" s="1131"/>
      <c r="P4" s="3198" t="s">
        <v>2642</v>
      </c>
      <c r="Q4" s="3199"/>
      <c r="R4" s="3204" t="s">
        <v>2638</v>
      </c>
      <c r="S4" s="3205"/>
      <c r="T4" s="3204" t="s">
        <v>2639</v>
      </c>
      <c r="U4" s="3205"/>
      <c r="V4" s="3191" t="s">
        <v>2640</v>
      </c>
      <c r="W4" s="3191"/>
      <c r="X4" s="1812"/>
      <c r="Y4" s="3204" t="s">
        <v>2642</v>
      </c>
      <c r="Z4" s="3205"/>
      <c r="AA4" s="3192" t="s">
        <v>2638</v>
      </c>
      <c r="AB4" s="3193" t="s">
        <v>2639</v>
      </c>
      <c r="AC4" s="3192" t="s">
        <v>2640</v>
      </c>
    </row>
    <row r="5" spans="1:29">
      <c r="A5" s="404"/>
      <c r="B5" s="405"/>
      <c r="C5" s="3212" t="s">
        <v>2533</v>
      </c>
      <c r="D5" s="3213"/>
      <c r="E5" s="3219" t="s">
        <v>2534</v>
      </c>
      <c r="F5" s="3220"/>
      <c r="G5" s="3212" t="s">
        <v>2535</v>
      </c>
      <c r="H5" s="3213"/>
      <c r="I5" s="3212" t="s">
        <v>2536</v>
      </c>
      <c r="J5" s="3213"/>
      <c r="K5" s="610"/>
      <c r="L5" s="1130"/>
      <c r="M5" s="1131"/>
      <c r="N5" s="1131"/>
      <c r="O5" s="1131"/>
      <c r="P5" s="3200"/>
      <c r="Q5" s="3201"/>
      <c r="R5" s="3206"/>
      <c r="S5" s="3207"/>
      <c r="T5" s="3206"/>
      <c r="U5" s="3207"/>
      <c r="V5" s="3191"/>
      <c r="W5" s="3191"/>
      <c r="X5" s="1812"/>
      <c r="Y5" s="3206"/>
      <c r="Z5" s="3207"/>
      <c r="AA5" s="3193"/>
      <c r="AB5" s="3193"/>
      <c r="AC5" s="3193"/>
    </row>
    <row r="6" spans="1:29" ht="15" thickBot="1">
      <c r="A6" s="406"/>
      <c r="B6" s="407"/>
      <c r="C6" s="3210" t="s">
        <v>2537</v>
      </c>
      <c r="D6" s="3211"/>
      <c r="E6" s="3217" t="s">
        <v>2537</v>
      </c>
      <c r="F6" s="3218"/>
      <c r="G6" s="3210" t="s">
        <v>2537</v>
      </c>
      <c r="H6" s="3211"/>
      <c r="I6" s="3210" t="s">
        <v>2537</v>
      </c>
      <c r="J6" s="3211"/>
      <c r="K6" s="610" t="s">
        <v>2538</v>
      </c>
      <c r="L6" s="1130"/>
      <c r="M6" s="1131"/>
      <c r="N6" s="1131"/>
      <c r="O6" s="1131"/>
      <c r="P6" s="3202"/>
      <c r="Q6" s="3203"/>
      <c r="R6" s="3206"/>
      <c r="S6" s="3207"/>
      <c r="T6" s="3208"/>
      <c r="U6" s="3209"/>
      <c r="V6" s="3191"/>
      <c r="W6" s="3191"/>
      <c r="X6" s="1812"/>
      <c r="Y6" s="3208"/>
      <c r="Z6" s="3209"/>
      <c r="AA6" s="3194"/>
      <c r="AB6" s="3194"/>
      <c r="AC6" s="3194"/>
    </row>
    <row r="7" spans="1:29" s="117" customFormat="1" ht="15" thickBot="1">
      <c r="A7" s="408" t="s">
        <v>2539</v>
      </c>
      <c r="B7" s="409"/>
      <c r="C7" s="410">
        <f>'数据-取费表'!B2</f>
        <v>44000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2540</v>
      </c>
      <c r="Q7" s="3216"/>
      <c r="R7" s="770" t="s">
        <v>17</v>
      </c>
      <c r="S7" s="771">
        <f t="shared" ref="S7:S14" si="0">F7</f>
        <v>0</v>
      </c>
      <c r="T7" s="770" t="s">
        <v>17</v>
      </c>
      <c r="U7" s="771">
        <f t="shared" ref="U7:U14" si="1">H7</f>
        <v>0</v>
      </c>
      <c r="V7" s="770" t="s">
        <v>17</v>
      </c>
      <c r="W7" s="771">
        <f t="shared" ref="W7:W14" si="2">J7</f>
        <v>0</v>
      </c>
      <c r="X7" s="772"/>
      <c r="Y7" s="3214" t="s">
        <v>2540</v>
      </c>
      <c r="Z7" s="3215"/>
      <c r="AA7" s="773" t="e">
        <f>D7/F7</f>
        <v>#DIV/0!</v>
      </c>
      <c r="AB7" s="773" t="e">
        <f>D7/H7</f>
        <v>#DIV/0!</v>
      </c>
      <c r="AC7" s="773" t="e">
        <f>D7/J7</f>
        <v>#DIV/0!</v>
      </c>
    </row>
    <row r="8" spans="1:29" s="117" customFormat="1" ht="1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2543</v>
      </c>
      <c r="Q8" s="3215"/>
      <c r="R8" s="770" t="s">
        <v>17</v>
      </c>
      <c r="S8" s="771">
        <f t="shared" si="0"/>
        <v>0</v>
      </c>
      <c r="T8" s="770" t="s">
        <v>17</v>
      </c>
      <c r="U8" s="771">
        <f t="shared" si="1"/>
        <v>0</v>
      </c>
      <c r="V8" s="770" t="s">
        <v>17</v>
      </c>
      <c r="W8" s="771">
        <f t="shared" si="2"/>
        <v>0</v>
      </c>
      <c r="X8" s="772"/>
      <c r="Y8" s="3214" t="s">
        <v>2543</v>
      </c>
      <c r="Z8" s="3215"/>
      <c r="AA8" s="773" t="e">
        <f t="shared" ref="AA8:AA36" si="3">D8/F8</f>
        <v>#DIV/0!</v>
      </c>
      <c r="AB8" s="773" t="e">
        <f t="shared" ref="AB8:AB36" si="4">D8/H8</f>
        <v>#DIV/0!</v>
      </c>
      <c r="AC8" s="773" t="e">
        <f t="shared" ref="AC8:AC36" si="5">D8/J8</f>
        <v>#DIV/0!</v>
      </c>
    </row>
    <row r="9" spans="1:29" s="117" customFormat="1" ht="14.4">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5" t="s">
        <v>2546</v>
      </c>
      <c r="Q9" s="1794" t="str">
        <f t="shared" ref="Q9:Q14" si="6">B9</f>
        <v>用途</v>
      </c>
      <c r="R9" s="770" t="s">
        <v>17</v>
      </c>
      <c r="S9" s="771">
        <f t="shared" si="0"/>
        <v>100</v>
      </c>
      <c r="T9" s="770" t="s">
        <v>17</v>
      </c>
      <c r="U9" s="771">
        <f t="shared" si="1"/>
        <v>100</v>
      </c>
      <c r="V9" s="770" t="s">
        <v>17</v>
      </c>
      <c r="W9" s="771">
        <f t="shared" si="2"/>
        <v>100</v>
      </c>
      <c r="X9" s="772"/>
      <c r="Y9" s="3033" t="s">
        <v>2547</v>
      </c>
      <c r="Z9" s="55" t="str">
        <f t="shared" ref="Z9:Z14" si="7">Q9</f>
        <v>用途</v>
      </c>
      <c r="AA9" s="773">
        <f t="shared" si="3"/>
        <v>1</v>
      </c>
      <c r="AB9" s="773">
        <f t="shared" si="4"/>
        <v>1</v>
      </c>
      <c r="AC9" s="773">
        <f t="shared" si="5"/>
        <v>1</v>
      </c>
    </row>
    <row r="10" spans="1:29" s="427" customFormat="1" ht="28.8">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5"/>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7" t="s">
        <v>2551</v>
      </c>
      <c r="Q14" s="1809" t="str">
        <f t="shared" si="6"/>
        <v>交通便捷度</v>
      </c>
      <c r="R14" s="774" t="s">
        <v>17</v>
      </c>
      <c r="S14" s="775">
        <f t="shared" si="0"/>
        <v>100</v>
      </c>
      <c r="T14" s="774" t="s">
        <v>17</v>
      </c>
      <c r="U14" s="775">
        <f t="shared" si="1"/>
        <v>100</v>
      </c>
      <c r="V14" s="774" t="s">
        <v>17</v>
      </c>
      <c r="W14" s="775">
        <f t="shared" si="2"/>
        <v>100</v>
      </c>
      <c r="X14" s="1812"/>
      <c r="Y14" s="3187"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8"/>
      <c r="Q15" s="1809"/>
      <c r="R15" s="774"/>
      <c r="S15" s="775"/>
      <c r="T15" s="774"/>
      <c r="U15" s="775"/>
      <c r="V15" s="774"/>
      <c r="W15" s="775"/>
      <c r="X15" s="1812"/>
      <c r="Y15" s="3188"/>
      <c r="Z15" s="1813"/>
      <c r="AA15" s="1810">
        <v>1</v>
      </c>
      <c r="AB15" s="1810">
        <v>1</v>
      </c>
      <c r="AC15" s="1810">
        <v>1</v>
      </c>
    </row>
    <row r="16" spans="1:29" ht="15">
      <c r="A16" s="404"/>
      <c r="B16" s="631" t="s">
        <v>2679</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88"/>
      <c r="Q17" s="1809"/>
      <c r="R17" s="774"/>
      <c r="S17" s="775"/>
      <c r="T17" s="774"/>
      <c r="U17" s="775"/>
      <c r="V17" s="774"/>
      <c r="W17" s="775"/>
      <c r="X17" s="1812"/>
      <c r="Y17" s="3188"/>
      <c r="Z17" s="1813"/>
      <c r="AA17" s="1810">
        <v>1</v>
      </c>
      <c r="AB17" s="1810">
        <v>1</v>
      </c>
      <c r="AC17" s="1810">
        <v>1</v>
      </c>
    </row>
    <row r="18" spans="1:29" ht="15">
      <c r="A18" s="404"/>
      <c r="B18" s="633" t="s">
        <v>2680</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88"/>
      <c r="Q19" s="1809"/>
      <c r="R19" s="774"/>
      <c r="S19" s="775"/>
      <c r="T19" s="774"/>
      <c r="U19" s="775"/>
      <c r="V19" s="774"/>
      <c r="W19" s="775"/>
      <c r="X19" s="1812"/>
      <c r="Y19" s="3188"/>
      <c r="Z19" s="1813"/>
      <c r="AA19" s="1810">
        <v>1</v>
      </c>
      <c r="AB19" s="1810">
        <v>1</v>
      </c>
      <c r="AC19" s="1810">
        <v>1</v>
      </c>
    </row>
    <row r="20" spans="1:29" ht="15">
      <c r="A20" s="404"/>
      <c r="B20" s="631" t="s">
        <v>2701</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8"/>
      <c r="Q21" s="1809"/>
      <c r="R21" s="774"/>
      <c r="S21" s="775"/>
      <c r="T21" s="774"/>
      <c r="U21" s="775"/>
      <c r="V21" s="774"/>
      <c r="W21" s="775"/>
      <c r="X21" s="1812"/>
      <c r="Y21" s="3188"/>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8"/>
      <c r="Q24" s="1809">
        <f t="shared" ref="Q24:Q36"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30">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9" t="s">
        <v>2556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0"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0"/>
      <c r="Q28" s="1809" t="str">
        <f t="shared" si="11"/>
        <v>公共部分装修</v>
      </c>
      <c r="R28" s="774" t="s">
        <v>17</v>
      </c>
      <c r="S28" s="775">
        <f t="shared" si="12"/>
        <v>100</v>
      </c>
      <c r="T28" s="774" t="s">
        <v>17</v>
      </c>
      <c r="U28" s="775">
        <f t="shared" si="13"/>
        <v>100</v>
      </c>
      <c r="V28" s="774" t="s">
        <v>17</v>
      </c>
      <c r="W28" s="775">
        <f t="shared" si="14"/>
        <v>100</v>
      </c>
      <c r="X28" s="1812"/>
      <c r="Y28" s="3190"/>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0"/>
      <c r="Q29" s="1809" t="str">
        <f t="shared" si="11"/>
        <v>成新率</v>
      </c>
      <c r="R29" s="774" t="s">
        <v>17</v>
      </c>
      <c r="S29" s="775" t="e">
        <f t="shared" si="12"/>
        <v>#N/A</v>
      </c>
      <c r="T29" s="774" t="s">
        <v>17</v>
      </c>
      <c r="U29" s="775" t="e">
        <f t="shared" si="13"/>
        <v>#N/A</v>
      </c>
      <c r="V29" s="774" t="s">
        <v>17</v>
      </c>
      <c r="W29" s="775" t="e">
        <f t="shared" si="14"/>
        <v>#N/A</v>
      </c>
      <c r="X29" s="1812"/>
      <c r="Y29" s="3190"/>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0"/>
      <c r="Q30" s="1809" t="str">
        <f t="shared" si="11"/>
        <v>物业等级</v>
      </c>
      <c r="R30" s="774" t="s">
        <v>17</v>
      </c>
      <c r="S30" s="775">
        <f t="shared" si="12"/>
        <v>100</v>
      </c>
      <c r="T30" s="774" t="s">
        <v>17</v>
      </c>
      <c r="U30" s="775">
        <f t="shared" si="13"/>
        <v>100</v>
      </c>
      <c r="V30" s="774" t="s">
        <v>17</v>
      </c>
      <c r="W30" s="775">
        <f t="shared" si="14"/>
        <v>100</v>
      </c>
      <c r="X30" s="1812"/>
      <c r="Y30" s="3190"/>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0"/>
      <c r="Q31" s="1794"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0" t="s">
        <v>2556</v>
      </c>
      <c r="Q32" s="1809" t="str">
        <f t="shared" si="11"/>
        <v>车位类型</v>
      </c>
      <c r="R32" s="774" t="s">
        <v>17</v>
      </c>
      <c r="S32" s="775">
        <f t="shared" si="12"/>
        <v>100</v>
      </c>
      <c r="T32" s="774" t="s">
        <v>17</v>
      </c>
      <c r="U32" s="775">
        <f t="shared" si="13"/>
        <v>100</v>
      </c>
      <c r="V32" s="774" t="s">
        <v>17</v>
      </c>
      <c r="W32" s="775">
        <f t="shared" si="14"/>
        <v>100</v>
      </c>
      <c r="X32" s="1812"/>
      <c r="Y32" s="3190"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0"/>
      <c r="Q33" s="1809" t="str">
        <f t="shared" si="11"/>
        <v>是否直接入户</v>
      </c>
      <c r="R33" s="774" t="s">
        <v>17</v>
      </c>
      <c r="S33" s="775">
        <f t="shared" si="12"/>
        <v>100</v>
      </c>
      <c r="T33" s="774" t="s">
        <v>17</v>
      </c>
      <c r="U33" s="775">
        <f t="shared" si="13"/>
        <v>100</v>
      </c>
      <c r="V33" s="774" t="s">
        <v>17</v>
      </c>
      <c r="W33" s="775">
        <f t="shared" si="14"/>
        <v>100</v>
      </c>
      <c r="X33" s="1812"/>
      <c r="Y33" s="319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0"/>
      <c r="Q36" s="1809">
        <f t="shared" si="11"/>
        <v>111</v>
      </c>
      <c r="R36" s="774" t="s">
        <v>17</v>
      </c>
      <c r="S36" s="775">
        <f t="shared" si="12"/>
        <v>100</v>
      </c>
      <c r="T36" s="774" t="s">
        <v>17</v>
      </c>
      <c r="U36" s="775">
        <f t="shared" si="13"/>
        <v>100</v>
      </c>
      <c r="V36" s="774" t="s">
        <v>17</v>
      </c>
      <c r="W36" s="775">
        <f t="shared" si="14"/>
        <v>100</v>
      </c>
      <c r="X36" s="1812"/>
      <c r="Y36" s="3190"/>
      <c r="Z36" s="1813">
        <f t="shared" si="15"/>
        <v>111</v>
      </c>
      <c r="AA36" s="1810">
        <f t="shared" si="3"/>
        <v>1</v>
      </c>
      <c r="AB36" s="1810">
        <f t="shared" si="4"/>
        <v>1</v>
      </c>
      <c r="AC36" s="1810">
        <f t="shared" si="5"/>
        <v>1</v>
      </c>
    </row>
    <row r="37" spans="1:29" ht="14.4">
      <c r="A37" s="479" t="s">
        <v>2711</v>
      </c>
      <c r="B37" s="2693" t="s">
        <v>2712</v>
      </c>
      <c r="C37" s="1407" t="s">
        <v>1</v>
      </c>
      <c r="D37" s="1408"/>
      <c r="E37" s="1409"/>
      <c r="F37" s="1410"/>
      <c r="G37" s="1411"/>
      <c r="H37" s="1412"/>
      <c r="I37" s="1409"/>
      <c r="J37" s="1412"/>
      <c r="K37" s="619"/>
      <c r="L37" s="1143"/>
      <c r="M37" s="1144"/>
      <c r="N37" s="1131"/>
      <c r="O37" s="1144"/>
      <c r="P37" s="3185" t="str">
        <f>A37</f>
        <v>成交单价</v>
      </c>
      <c r="Q37" s="3185"/>
      <c r="R37" s="3249">
        <f>E37</f>
        <v>0</v>
      </c>
      <c r="S37" s="3249"/>
      <c r="T37" s="3249">
        <f>G37</f>
        <v>0</v>
      </c>
      <c r="U37" s="3249"/>
      <c r="V37" s="3249">
        <f>I37</f>
        <v>0</v>
      </c>
      <c r="W37" s="3249"/>
      <c r="X37" s="759"/>
      <c r="Y37" s="781"/>
      <c r="Z37" s="759"/>
      <c r="AA37" s="759"/>
      <c r="AB37" s="759"/>
      <c r="AC37" s="759"/>
    </row>
    <row r="38" spans="1:29" ht="1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5" t="str">
        <f>A38</f>
        <v>比较价值（元/平方米）</v>
      </c>
      <c r="Q38" s="3185"/>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 thickBot="1">
      <c r="A39" s="492" t="s">
        <v>2714</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248" t="e">
        <f>IF(F1="售价",ROUND(AVERAGE(R38:V38),0),ROUND(AVERAGE(R38:V38),1))</f>
        <v>#DIV/0!</v>
      </c>
      <c r="S39" s="3248"/>
      <c r="T39" s="3248"/>
      <c r="U39" s="3248"/>
      <c r="V39" s="3248"/>
      <c r="W39" s="324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2636</v>
      </c>
      <c r="B4" s="402"/>
      <c r="C4" s="3182" t="s">
        <v>2637</v>
      </c>
      <c r="D4" s="3195"/>
      <c r="E4" s="3196" t="s">
        <v>2638</v>
      </c>
      <c r="F4" s="3197"/>
      <c r="G4" s="3182" t="s">
        <v>2639</v>
      </c>
      <c r="H4" s="3195"/>
      <c r="I4" s="3182" t="s">
        <v>2640</v>
      </c>
      <c r="J4" s="3195"/>
      <c r="K4" s="610" t="s">
        <v>2641</v>
      </c>
      <c r="L4" s="1130"/>
      <c r="M4" s="1131"/>
      <c r="N4" s="1131"/>
      <c r="O4" s="1131"/>
      <c r="P4" s="3198" t="s">
        <v>2642</v>
      </c>
      <c r="Q4" s="3199"/>
      <c r="R4" s="3204" t="s">
        <v>2638</v>
      </c>
      <c r="S4" s="3205"/>
      <c r="T4" s="3204" t="s">
        <v>2639</v>
      </c>
      <c r="U4" s="3205"/>
      <c r="V4" s="3191" t="s">
        <v>2640</v>
      </c>
      <c r="W4" s="3191"/>
      <c r="X4" s="1812"/>
      <c r="Y4" s="3204" t="s">
        <v>2642</v>
      </c>
      <c r="Z4" s="3205"/>
      <c r="AA4" s="3192" t="s">
        <v>2638</v>
      </c>
      <c r="AB4" s="3193" t="s">
        <v>2639</v>
      </c>
      <c r="AC4" s="3192" t="s">
        <v>2640</v>
      </c>
    </row>
    <row r="5" spans="1:29">
      <c r="A5" s="404"/>
      <c r="B5" s="405"/>
      <c r="C5" s="3212" t="s">
        <v>2533</v>
      </c>
      <c r="D5" s="3213"/>
      <c r="E5" s="3219" t="s">
        <v>2534</v>
      </c>
      <c r="F5" s="3220"/>
      <c r="G5" s="3212" t="s">
        <v>2535</v>
      </c>
      <c r="H5" s="3213"/>
      <c r="I5" s="3212" t="s">
        <v>2536</v>
      </c>
      <c r="J5" s="3213"/>
      <c r="K5" s="610"/>
      <c r="L5" s="1130"/>
      <c r="M5" s="1131"/>
      <c r="N5" s="1131"/>
      <c r="O5" s="1131"/>
      <c r="P5" s="3200"/>
      <c r="Q5" s="3201"/>
      <c r="R5" s="3206"/>
      <c r="S5" s="3207"/>
      <c r="T5" s="3206"/>
      <c r="U5" s="3207"/>
      <c r="V5" s="3191"/>
      <c r="W5" s="3191"/>
      <c r="X5" s="1812"/>
      <c r="Y5" s="3206"/>
      <c r="Z5" s="3207"/>
      <c r="AA5" s="3193"/>
      <c r="AB5" s="3193"/>
      <c r="AC5" s="3193"/>
    </row>
    <row r="6" spans="1:29" ht="15" thickBot="1">
      <c r="A6" s="406"/>
      <c r="B6" s="407"/>
      <c r="C6" s="3210" t="s">
        <v>2537</v>
      </c>
      <c r="D6" s="3211"/>
      <c r="E6" s="3217" t="s">
        <v>2537</v>
      </c>
      <c r="F6" s="3218"/>
      <c r="G6" s="3210" t="s">
        <v>2537</v>
      </c>
      <c r="H6" s="3211"/>
      <c r="I6" s="3210" t="s">
        <v>2537</v>
      </c>
      <c r="J6" s="3211"/>
      <c r="K6" s="610" t="s">
        <v>2538</v>
      </c>
      <c r="L6" s="1130"/>
      <c r="M6" s="1131"/>
      <c r="N6" s="1131"/>
      <c r="O6" s="1131"/>
      <c r="P6" s="3202"/>
      <c r="Q6" s="3203"/>
      <c r="R6" s="3206"/>
      <c r="S6" s="3207"/>
      <c r="T6" s="3208"/>
      <c r="U6" s="3209"/>
      <c r="V6" s="3191"/>
      <c r="W6" s="3191"/>
      <c r="X6" s="1812"/>
      <c r="Y6" s="3208"/>
      <c r="Z6" s="3209"/>
      <c r="AA6" s="3194"/>
      <c r="AB6" s="3194"/>
      <c r="AC6" s="3194"/>
    </row>
    <row r="7" spans="1:29" s="117" customFormat="1" ht="15" thickBot="1">
      <c r="A7" s="408" t="s">
        <v>2539</v>
      </c>
      <c r="B7" s="409"/>
      <c r="C7" s="410">
        <f>'数据-取费表'!B2</f>
        <v>44000</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4" t="s">
        <v>2540</v>
      </c>
      <c r="Q7" s="3216"/>
      <c r="R7" s="770" t="s">
        <v>17</v>
      </c>
      <c r="S7" s="771">
        <f t="shared" ref="S7:S14" si="0">F7</f>
        <v>0</v>
      </c>
      <c r="T7" s="770" t="s">
        <v>17</v>
      </c>
      <c r="U7" s="771">
        <f t="shared" ref="U7:U14" si="1">H7</f>
        <v>0</v>
      </c>
      <c r="V7" s="770" t="s">
        <v>17</v>
      </c>
      <c r="W7" s="771">
        <f t="shared" ref="W7:W14" si="2">J7</f>
        <v>0</v>
      </c>
      <c r="X7" s="772"/>
      <c r="Y7" s="3214" t="s">
        <v>2540</v>
      </c>
      <c r="Z7" s="3215"/>
      <c r="AA7" s="773" t="e">
        <f>D7/F7</f>
        <v>#DIV/0!</v>
      </c>
      <c r="AB7" s="773" t="e">
        <f>D7/H7</f>
        <v>#DIV/0!</v>
      </c>
      <c r="AC7" s="773" t="e">
        <f>D7/J7</f>
        <v>#DIV/0!</v>
      </c>
    </row>
    <row r="8" spans="1:29" s="117" customFormat="1" ht="1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2543</v>
      </c>
      <c r="Q8" s="3215"/>
      <c r="R8" s="770" t="s">
        <v>17</v>
      </c>
      <c r="S8" s="771">
        <f t="shared" si="0"/>
        <v>0</v>
      </c>
      <c r="T8" s="770" t="s">
        <v>17</v>
      </c>
      <c r="U8" s="771">
        <f t="shared" si="1"/>
        <v>0</v>
      </c>
      <c r="V8" s="770" t="s">
        <v>17</v>
      </c>
      <c r="W8" s="771">
        <f t="shared" si="2"/>
        <v>0</v>
      </c>
      <c r="X8" s="772"/>
      <c r="Y8" s="3214" t="s">
        <v>2543</v>
      </c>
      <c r="Z8" s="3215"/>
      <c r="AA8" s="773" t="e">
        <f t="shared" ref="AA8:AA34" si="3">D8/F8</f>
        <v>#DIV/0!</v>
      </c>
      <c r="AB8" s="773" t="e">
        <f t="shared" ref="AB8:AB34" si="4">D8/H8</f>
        <v>#DIV/0!</v>
      </c>
      <c r="AC8" s="773" t="e">
        <f t="shared" ref="AC8:AC34" si="5">D8/J8</f>
        <v>#DIV/0!</v>
      </c>
    </row>
    <row r="9" spans="1:29" s="117" customFormat="1" ht="14.4">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5" t="s">
        <v>2546</v>
      </c>
      <c r="Q9" s="1794" t="str">
        <f t="shared" ref="Q9:Q14" si="6">B9</f>
        <v>用途</v>
      </c>
      <c r="R9" s="770" t="s">
        <v>17</v>
      </c>
      <c r="S9" s="771">
        <f t="shared" si="0"/>
        <v>100</v>
      </c>
      <c r="T9" s="770" t="s">
        <v>17</v>
      </c>
      <c r="U9" s="771">
        <f t="shared" si="1"/>
        <v>100</v>
      </c>
      <c r="V9" s="770" t="s">
        <v>17</v>
      </c>
      <c r="W9" s="771">
        <f t="shared" si="2"/>
        <v>100</v>
      </c>
      <c r="X9" s="772"/>
      <c r="Y9" s="3033" t="s">
        <v>2547</v>
      </c>
      <c r="Z9" s="55" t="str">
        <f t="shared" ref="Z9:Z14" si="7">Q9</f>
        <v>用途</v>
      </c>
      <c r="AA9" s="773">
        <f t="shared" si="3"/>
        <v>1</v>
      </c>
      <c r="AB9" s="773">
        <f t="shared" si="4"/>
        <v>1</v>
      </c>
      <c r="AC9" s="773">
        <f t="shared" si="5"/>
        <v>1</v>
      </c>
    </row>
    <row r="10" spans="1:29" s="427" customFormat="1" ht="28.8">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5"/>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5"/>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7" t="s">
        <v>2551</v>
      </c>
      <c r="Q14" s="1809" t="str">
        <f t="shared" si="6"/>
        <v>交通便捷度</v>
      </c>
      <c r="R14" s="774" t="s">
        <v>17</v>
      </c>
      <c r="S14" s="775">
        <f t="shared" si="0"/>
        <v>100</v>
      </c>
      <c r="T14" s="774" t="s">
        <v>17</v>
      </c>
      <c r="U14" s="775">
        <f t="shared" si="1"/>
        <v>100</v>
      </c>
      <c r="V14" s="774" t="s">
        <v>17</v>
      </c>
      <c r="W14" s="775">
        <f t="shared" si="2"/>
        <v>100</v>
      </c>
      <c r="X14" s="1812"/>
      <c r="Y14" s="3187"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8"/>
      <c r="Q15" s="1809"/>
      <c r="R15" s="774"/>
      <c r="S15" s="775"/>
      <c r="T15" s="774"/>
      <c r="U15" s="775"/>
      <c r="V15" s="774"/>
      <c r="W15" s="775"/>
      <c r="X15" s="1812"/>
      <c r="Y15" s="3188"/>
      <c r="Z15" s="1813"/>
      <c r="AA15" s="1810">
        <v>1</v>
      </c>
      <c r="AB15" s="1810">
        <v>1</v>
      </c>
      <c r="AC15" s="1810">
        <v>1</v>
      </c>
    </row>
    <row r="16" spans="1:29" ht="15">
      <c r="A16" s="428"/>
      <c r="B16" s="451" t="s">
        <v>2679</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8"/>
      <c r="Q16" s="1809" t="str">
        <f>B16</f>
        <v>公共配套设施</v>
      </c>
      <c r="R16" s="774" t="s">
        <v>17</v>
      </c>
      <c r="S16" s="775">
        <f>F16</f>
        <v>100</v>
      </c>
      <c r="T16" s="774" t="s">
        <v>17</v>
      </c>
      <c r="U16" s="775">
        <f>H16</f>
        <v>100</v>
      </c>
      <c r="V16" s="774" t="s">
        <v>17</v>
      </c>
      <c r="W16" s="775">
        <f>J16</f>
        <v>100</v>
      </c>
      <c r="X16" s="1812"/>
      <c r="Y16" s="3188"/>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88"/>
      <c r="Q17" s="1809"/>
      <c r="R17" s="774"/>
      <c r="S17" s="775"/>
      <c r="T17" s="774"/>
      <c r="U17" s="775"/>
      <c r="V17" s="774"/>
      <c r="W17" s="775"/>
      <c r="X17" s="1812"/>
      <c r="Y17" s="3188"/>
      <c r="Z17" s="1813"/>
      <c r="AA17" s="1810">
        <v>1</v>
      </c>
      <c r="AB17" s="1810">
        <v>1</v>
      </c>
      <c r="AC17" s="1810">
        <v>1</v>
      </c>
    </row>
    <row r="18" spans="1:29" ht="15">
      <c r="A18" s="428"/>
      <c r="B18" s="1384" t="s">
        <v>2680</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8"/>
      <c r="Q18" s="1809" t="str">
        <f>B18</f>
        <v>基础设施水平</v>
      </c>
      <c r="R18" s="774" t="s">
        <v>17</v>
      </c>
      <c r="S18" s="775">
        <f>F18</f>
        <v>100</v>
      </c>
      <c r="T18" s="774" t="s">
        <v>17</v>
      </c>
      <c r="U18" s="775">
        <f>H18</f>
        <v>100</v>
      </c>
      <c r="V18" s="774" t="s">
        <v>17</v>
      </c>
      <c r="W18" s="775">
        <f>J18</f>
        <v>100</v>
      </c>
      <c r="X18" s="1812"/>
      <c r="Y18" s="3188"/>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88"/>
      <c r="Q19" s="1809"/>
      <c r="R19" s="774"/>
      <c r="S19" s="775"/>
      <c r="T19" s="774"/>
      <c r="U19" s="775"/>
      <c r="V19" s="774"/>
      <c r="W19" s="775"/>
      <c r="X19" s="1812"/>
      <c r="Y19" s="3188"/>
      <c r="Z19" s="1813"/>
      <c r="AA19" s="1810">
        <v>1</v>
      </c>
      <c r="AB19" s="1810">
        <v>1</v>
      </c>
      <c r="AC19" s="1810">
        <v>1</v>
      </c>
    </row>
    <row r="20" spans="1:29" ht="15">
      <c r="A20" s="428"/>
      <c r="B20" s="451" t="s">
        <v>2701</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8"/>
      <c r="Q20" s="1809" t="str">
        <f>B20</f>
        <v>自然及人文环境</v>
      </c>
      <c r="R20" s="774" t="s">
        <v>17</v>
      </c>
      <c r="S20" s="775">
        <f>F20</f>
        <v>100</v>
      </c>
      <c r="T20" s="774" t="s">
        <v>17</v>
      </c>
      <c r="U20" s="775">
        <f>H20</f>
        <v>100</v>
      </c>
      <c r="V20" s="774" t="s">
        <v>17</v>
      </c>
      <c r="W20" s="775">
        <f>J20</f>
        <v>100</v>
      </c>
      <c r="X20" s="1812"/>
      <c r="Y20" s="318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8"/>
      <c r="Q21" s="1809"/>
      <c r="R21" s="774"/>
      <c r="S21" s="775"/>
      <c r="T21" s="774"/>
      <c r="U21" s="775"/>
      <c r="V21" s="774"/>
      <c r="W21" s="775"/>
      <c r="X21" s="1812"/>
      <c r="Y21" s="3188"/>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8"/>
      <c r="Q22" s="1809" t="str">
        <f>B22</f>
        <v>楼层</v>
      </c>
      <c r="R22" s="774" t="s">
        <v>17</v>
      </c>
      <c r="S22" s="775">
        <f>F22</f>
        <v>100</v>
      </c>
      <c r="T22" s="774" t="s">
        <v>17</v>
      </c>
      <c r="U22" s="775">
        <f>H22</f>
        <v>100</v>
      </c>
      <c r="V22" s="774" t="s">
        <v>17</v>
      </c>
      <c r="W22" s="775">
        <f>J22</f>
        <v>100</v>
      </c>
      <c r="X22" s="1812"/>
      <c r="Y22" s="3188"/>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8"/>
      <c r="Q23" s="1809">
        <f>B23</f>
        <v>111</v>
      </c>
      <c r="R23" s="774" t="s">
        <v>17</v>
      </c>
      <c r="S23" s="775">
        <f>F23</f>
        <v>100</v>
      </c>
      <c r="T23" s="774" t="s">
        <v>17</v>
      </c>
      <c r="U23" s="775">
        <f>H23</f>
        <v>100</v>
      </c>
      <c r="V23" s="774" t="s">
        <v>17</v>
      </c>
      <c r="W23" s="775">
        <f>J23</f>
        <v>100</v>
      </c>
      <c r="X23" s="1812"/>
      <c r="Y23" s="3188"/>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8"/>
      <c r="Q24" s="1809">
        <f t="shared" ref="Q24:Q34" si="11">B24</f>
        <v>111</v>
      </c>
      <c r="R24" s="774" t="s">
        <v>17</v>
      </c>
      <c r="S24" s="775">
        <f>F24</f>
        <v>100</v>
      </c>
      <c r="T24" s="774" t="s">
        <v>17</v>
      </c>
      <c r="U24" s="775">
        <f>H24</f>
        <v>100</v>
      </c>
      <c r="V24" s="774" t="s">
        <v>17</v>
      </c>
      <c r="W24" s="775">
        <f>J24</f>
        <v>100</v>
      </c>
      <c r="X24" s="1812"/>
      <c r="Y24" s="3188"/>
      <c r="Z24" s="1813">
        <f>Q24</f>
        <v>111</v>
      </c>
      <c r="AA24" s="1810">
        <f t="shared" si="3"/>
        <v>1</v>
      </c>
      <c r="AB24" s="1810">
        <f t="shared" si="4"/>
        <v>1</v>
      </c>
      <c r="AC24" s="1810">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8"/>
      <c r="Q25" s="1794">
        <f t="shared" si="11"/>
        <v>111</v>
      </c>
      <c r="R25" s="770" t="s">
        <v>17</v>
      </c>
      <c r="S25" s="771">
        <f>F25</f>
        <v>100</v>
      </c>
      <c r="T25" s="770" t="s">
        <v>17</v>
      </c>
      <c r="U25" s="771">
        <f>H25</f>
        <v>100</v>
      </c>
      <c r="V25" s="770" t="s">
        <v>17</v>
      </c>
      <c r="W25" s="771">
        <f>J25</f>
        <v>100</v>
      </c>
      <c r="X25" s="772"/>
      <c r="Y25" s="3188"/>
      <c r="Z25" s="55">
        <f>Q25</f>
        <v>111</v>
      </c>
      <c r="AA25" s="1810">
        <f>D25/F25</f>
        <v>1</v>
      </c>
      <c r="AB25" s="1810">
        <f>D25/H25</f>
        <v>1</v>
      </c>
      <c r="AC25" s="1810">
        <f>D25/J25</f>
        <v>1</v>
      </c>
    </row>
    <row r="26" spans="1:29" ht="30">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89" t="s">
        <v>2556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0"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0"/>
      <c r="Q28" s="1809" t="str">
        <f t="shared" si="11"/>
        <v>物业等级</v>
      </c>
      <c r="R28" s="774" t="s">
        <v>17</v>
      </c>
      <c r="S28" s="775">
        <f t="shared" si="12"/>
        <v>100</v>
      </c>
      <c r="T28" s="774" t="s">
        <v>17</v>
      </c>
      <c r="U28" s="775">
        <f t="shared" si="13"/>
        <v>100</v>
      </c>
      <c r="V28" s="774" t="s">
        <v>17</v>
      </c>
      <c r="W28" s="775">
        <f t="shared" si="14"/>
        <v>100</v>
      </c>
      <c r="X28" s="1812"/>
      <c r="Y28" s="3190"/>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0"/>
      <c r="Q29" s="1809" t="str">
        <f t="shared" si="11"/>
        <v>有无电梯</v>
      </c>
      <c r="R29" s="774" t="s">
        <v>17</v>
      </c>
      <c r="S29" s="775">
        <f t="shared" si="12"/>
        <v>100</v>
      </c>
      <c r="T29" s="774" t="s">
        <v>17</v>
      </c>
      <c r="U29" s="775">
        <f t="shared" si="13"/>
        <v>100</v>
      </c>
      <c r="V29" s="774" t="s">
        <v>17</v>
      </c>
      <c r="W29" s="775">
        <f t="shared" si="14"/>
        <v>100</v>
      </c>
      <c r="X29" s="1812"/>
      <c r="Y29" s="3190"/>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0"/>
      <c r="Q30" s="1809" t="str">
        <f t="shared" si="11"/>
        <v>建筑面积</v>
      </c>
      <c r="R30" s="774" t="s">
        <v>17</v>
      </c>
      <c r="S30" s="775" t="e">
        <f t="shared" si="12"/>
        <v>#N/A</v>
      </c>
      <c r="T30" s="774" t="s">
        <v>17</v>
      </c>
      <c r="U30" s="775" t="e">
        <f t="shared" si="13"/>
        <v>#N/A</v>
      </c>
      <c r="V30" s="774" t="s">
        <v>17</v>
      </c>
      <c r="W30" s="775" t="e">
        <f t="shared" si="14"/>
        <v>#N/A</v>
      </c>
      <c r="X30" s="1812"/>
      <c r="Y30" s="3190"/>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0"/>
      <c r="Q31" s="1794"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0" t="s">
        <v>2556</v>
      </c>
      <c r="Q32" s="1809">
        <f t="shared" si="11"/>
        <v>111</v>
      </c>
      <c r="R32" s="774" t="s">
        <v>17</v>
      </c>
      <c r="S32" s="775">
        <f t="shared" si="12"/>
        <v>100</v>
      </c>
      <c r="T32" s="774" t="s">
        <v>17</v>
      </c>
      <c r="U32" s="775">
        <f t="shared" si="13"/>
        <v>100</v>
      </c>
      <c r="V32" s="774" t="s">
        <v>17</v>
      </c>
      <c r="W32" s="775">
        <f t="shared" si="14"/>
        <v>100</v>
      </c>
      <c r="X32" s="1812"/>
      <c r="Y32" s="3190" t="s">
        <v>2556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0"/>
      <c r="Q33" s="1809">
        <f t="shared" si="11"/>
        <v>111</v>
      </c>
      <c r="R33" s="774" t="s">
        <v>17</v>
      </c>
      <c r="S33" s="775">
        <f t="shared" si="12"/>
        <v>100</v>
      </c>
      <c r="T33" s="774" t="s">
        <v>17</v>
      </c>
      <c r="U33" s="775">
        <f t="shared" si="13"/>
        <v>100</v>
      </c>
      <c r="V33" s="774" t="s">
        <v>17</v>
      </c>
      <c r="W33" s="775">
        <f t="shared" si="14"/>
        <v>100</v>
      </c>
      <c r="X33" s="1812"/>
      <c r="Y33" s="3190"/>
      <c r="Z33" s="1813">
        <f t="shared" si="15"/>
        <v>111</v>
      </c>
      <c r="AA33" s="1810">
        <f t="shared" si="3"/>
        <v>1</v>
      </c>
      <c r="AB33" s="1810">
        <f t="shared" si="4"/>
        <v>1</v>
      </c>
      <c r="AC33" s="1810">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ht="14.4">
      <c r="A35" s="479" t="s">
        <v>2568</v>
      </c>
      <c r="B35" s="480"/>
      <c r="C35" s="1407" t="s">
        <v>1</v>
      </c>
      <c r="D35" s="1408"/>
      <c r="E35" s="1409"/>
      <c r="F35" s="1410"/>
      <c r="G35" s="1411"/>
      <c r="H35" s="1412"/>
      <c r="I35" s="1409"/>
      <c r="J35" s="1412"/>
      <c r="K35" s="783"/>
      <c r="L35" s="1143"/>
      <c r="M35" s="1144"/>
      <c r="N35" s="1131"/>
      <c r="O35" s="1144"/>
      <c r="P35" s="3185" t="str">
        <f>A35</f>
        <v>成交单价（元/平方米）</v>
      </c>
      <c r="Q35" s="3185"/>
      <c r="R35" s="3249">
        <f>E35</f>
        <v>0</v>
      </c>
      <c r="S35" s="3249"/>
      <c r="T35" s="3249">
        <f>G35</f>
        <v>0</v>
      </c>
      <c r="U35" s="3249"/>
      <c r="V35" s="3249">
        <f>I35</f>
        <v>0</v>
      </c>
      <c r="W35" s="3249"/>
      <c r="X35" s="759"/>
      <c r="Y35" s="781"/>
      <c r="Z35" s="759"/>
      <c r="AA35" s="759"/>
      <c r="AB35" s="759"/>
      <c r="AC35" s="759"/>
    </row>
    <row r="36" spans="1:29" ht="1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185" t="str">
        <f>A36</f>
        <v>比较价值（元/平方米）</v>
      </c>
      <c r="Q36" s="3185"/>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 thickBot="1">
      <c r="A37" s="492" t="s">
        <v>2661</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248" t="e">
        <f>IF(F1="售价",ROUND(AVERAGE(R36:V36),0),ROUND(AVERAGE(R36:V36),1))</f>
        <v>#DIV/0!</v>
      </c>
      <c r="S37" s="3248"/>
      <c r="T37" s="3248"/>
      <c r="U37" s="3248"/>
      <c r="V37" s="3248"/>
      <c r="W37" s="324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2665</v>
      </c>
      <c r="B45" s="759"/>
      <c r="C45" s="764"/>
      <c r="D45" s="764"/>
      <c r="E45" s="764"/>
      <c r="F45" s="765"/>
      <c r="G45" s="765"/>
      <c r="H45" s="764"/>
      <c r="I45" s="764"/>
      <c r="J45" s="764"/>
      <c r="K45" s="766"/>
      <c r="L45" s="767"/>
      <c r="M45" s="764"/>
      <c r="N45" s="764"/>
      <c r="O45" s="764"/>
      <c r="P45" s="503"/>
      <c r="Q45" s="504"/>
    </row>
    <row r="46" spans="1:29" s="508" customFormat="1" ht="14.4">
      <c r="A46" s="505" t="s">
        <v>2539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2576</v>
      </c>
      <c r="B48" s="516"/>
      <c r="C48" s="517"/>
      <c r="D48" s="518"/>
      <c r="E48" s="518"/>
      <c r="F48" s="518"/>
      <c r="G48" s="518"/>
      <c r="H48" s="518"/>
      <c r="I48" s="518"/>
      <c r="J48" s="518"/>
      <c r="K48" s="518"/>
      <c r="L48" s="518"/>
      <c r="M48" s="519"/>
      <c r="N48" s="518"/>
      <c r="O48" s="520"/>
      <c r="P48" s="504"/>
      <c r="Q48" s="504"/>
    </row>
    <row r="49" spans="1:17" s="117" customFormat="1" ht="14.4">
      <c r="A49" s="521" t="s">
        <v>2541</v>
      </c>
      <c r="B49" s="510"/>
      <c r="C49" s="522" t="s">
        <v>2643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2579</v>
      </c>
      <c r="B51" s="528" t="s">
        <v>2545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2735</v>
      </c>
      <c r="B1" s="395"/>
      <c r="C1" s="396" t="s">
        <v>2785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2636</v>
      </c>
      <c r="B4" s="402"/>
      <c r="C4" s="3182" t="s">
        <v>2637</v>
      </c>
      <c r="D4" s="3195"/>
      <c r="E4" s="3196" t="s">
        <v>2638</v>
      </c>
      <c r="F4" s="3197"/>
      <c r="G4" s="3182" t="s">
        <v>2639</v>
      </c>
      <c r="H4" s="3195"/>
      <c r="I4" s="3182" t="s">
        <v>2640</v>
      </c>
      <c r="J4" s="3195"/>
      <c r="K4" s="610" t="s">
        <v>2641</v>
      </c>
      <c r="L4" s="1130"/>
      <c r="M4" s="1131"/>
      <c r="N4" s="1131"/>
      <c r="O4" s="1131"/>
      <c r="P4" s="3198" t="s">
        <v>2642</v>
      </c>
      <c r="Q4" s="3199"/>
      <c r="R4" s="3204" t="s">
        <v>2638</v>
      </c>
      <c r="S4" s="3205"/>
      <c r="T4" s="3204" t="s">
        <v>2639</v>
      </c>
      <c r="U4" s="3205"/>
      <c r="V4" s="3191" t="s">
        <v>2640</v>
      </c>
      <c r="W4" s="3191"/>
      <c r="X4" s="1812"/>
      <c r="Y4" s="3204" t="s">
        <v>2642</v>
      </c>
      <c r="Z4" s="3205"/>
      <c r="AA4" s="3192" t="s">
        <v>2638</v>
      </c>
      <c r="AB4" s="3193" t="s">
        <v>2639</v>
      </c>
      <c r="AC4" s="3192" t="s">
        <v>2640</v>
      </c>
    </row>
    <row r="5" spans="1:29">
      <c r="A5" s="404"/>
      <c r="B5" s="405"/>
      <c r="C5" s="3212" t="s">
        <v>2533</v>
      </c>
      <c r="D5" s="3213"/>
      <c r="E5" s="3219" t="s">
        <v>2534</v>
      </c>
      <c r="F5" s="3220"/>
      <c r="G5" s="3212" t="s">
        <v>2535</v>
      </c>
      <c r="H5" s="3213"/>
      <c r="I5" s="3212" t="s">
        <v>2536</v>
      </c>
      <c r="J5" s="3213"/>
      <c r="K5" s="610"/>
      <c r="L5" s="1130"/>
      <c r="M5" s="1131"/>
      <c r="N5" s="1131"/>
      <c r="O5" s="1131"/>
      <c r="P5" s="3200"/>
      <c r="Q5" s="3201"/>
      <c r="R5" s="3206"/>
      <c r="S5" s="3207"/>
      <c r="T5" s="3206"/>
      <c r="U5" s="3207"/>
      <c r="V5" s="3191"/>
      <c r="W5" s="3191"/>
      <c r="X5" s="1812"/>
      <c r="Y5" s="3206"/>
      <c r="Z5" s="3207"/>
      <c r="AA5" s="3193"/>
      <c r="AB5" s="3193"/>
      <c r="AC5" s="3193"/>
    </row>
    <row r="6" spans="1:29" ht="15" thickBot="1">
      <c r="A6" s="406"/>
      <c r="B6" s="407"/>
      <c r="C6" s="3271" t="s">
        <v>2786</v>
      </c>
      <c r="D6" s="3272"/>
      <c r="E6" s="3273" t="s">
        <v>2786</v>
      </c>
      <c r="F6" s="3274"/>
      <c r="G6" s="3271" t="s">
        <v>2786</v>
      </c>
      <c r="H6" s="3272"/>
      <c r="I6" s="3271" t="s">
        <v>2786</v>
      </c>
      <c r="J6" s="3272"/>
      <c r="K6" s="610" t="s">
        <v>2538</v>
      </c>
      <c r="L6" s="1130"/>
      <c r="M6" s="1131"/>
      <c r="N6" s="1131"/>
      <c r="O6" s="1131"/>
      <c r="P6" s="3202"/>
      <c r="Q6" s="3203"/>
      <c r="R6" s="3206"/>
      <c r="S6" s="3207"/>
      <c r="T6" s="3208"/>
      <c r="U6" s="3209"/>
      <c r="V6" s="3191"/>
      <c r="W6" s="3191"/>
      <c r="X6" s="1812"/>
      <c r="Y6" s="3208"/>
      <c r="Z6" s="3209"/>
      <c r="AA6" s="3194"/>
      <c r="AB6" s="3194"/>
      <c r="AC6" s="3194"/>
    </row>
    <row r="7" spans="1:29" s="117" customFormat="1" ht="15" thickBot="1">
      <c r="A7" s="408" t="s">
        <v>2539</v>
      </c>
      <c r="B7" s="409"/>
      <c r="C7" s="410">
        <f>'数据-取费表'!B2</f>
        <v>44000</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4" t="s">
        <v>2540</v>
      </c>
      <c r="Q7" s="3216"/>
      <c r="R7" s="770" t="s">
        <v>17</v>
      </c>
      <c r="S7" s="771">
        <f t="shared" ref="S7:S15" si="0">F7</f>
        <v>0</v>
      </c>
      <c r="T7" s="770" t="s">
        <v>17</v>
      </c>
      <c r="U7" s="771">
        <f t="shared" ref="U7:U15" si="1">H7</f>
        <v>0</v>
      </c>
      <c r="V7" s="770" t="s">
        <v>17</v>
      </c>
      <c r="W7" s="771">
        <f t="shared" ref="W7:W15" si="2">J7</f>
        <v>0</v>
      </c>
      <c r="X7" s="772"/>
      <c r="Y7" s="3214" t="s">
        <v>2540</v>
      </c>
      <c r="Z7" s="3215"/>
      <c r="AA7" s="773" t="e">
        <f>D7/F7</f>
        <v>#DIV/0!</v>
      </c>
      <c r="AB7" s="773" t="e">
        <f>D7/H7</f>
        <v>#DIV/0!</v>
      </c>
      <c r="AC7" s="773" t="e">
        <f>D7/J7</f>
        <v>#DIV/0!</v>
      </c>
    </row>
    <row r="8" spans="1:29" s="117" customFormat="1" ht="1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2543</v>
      </c>
      <c r="Q8" s="3215"/>
      <c r="R8" s="770" t="s">
        <v>17</v>
      </c>
      <c r="S8" s="771">
        <f t="shared" si="0"/>
        <v>0</v>
      </c>
      <c r="T8" s="770" t="s">
        <v>17</v>
      </c>
      <c r="U8" s="771">
        <f t="shared" si="1"/>
        <v>0</v>
      </c>
      <c r="V8" s="770" t="s">
        <v>17</v>
      </c>
      <c r="W8" s="771">
        <f t="shared" si="2"/>
        <v>0</v>
      </c>
      <c r="X8" s="772"/>
      <c r="Y8" s="3214" t="s">
        <v>2543</v>
      </c>
      <c r="Z8" s="3215"/>
      <c r="AA8" s="773" t="e">
        <f t="shared" ref="AA8:AA40" si="3">D8/F8</f>
        <v>#DIV/0!</v>
      </c>
      <c r="AB8" s="773" t="e">
        <f t="shared" ref="AB8:AB40" si="4">D8/H8</f>
        <v>#DIV/0!</v>
      </c>
      <c r="AC8" s="773" t="e">
        <f t="shared" ref="AC8:AC40" si="5">D8/J8</f>
        <v>#DIV/0!</v>
      </c>
    </row>
    <row r="9" spans="1:29" s="117" customFormat="1" ht="14.4">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85" t="s">
        <v>2546</v>
      </c>
      <c r="Q9" s="1794"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8.8">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85"/>
      <c r="Q10" s="1794" t="str">
        <f t="shared" si="6"/>
        <v>土地使用年限（年）</v>
      </c>
      <c r="R10" s="770" t="s">
        <v>17</v>
      </c>
      <c r="S10" s="771">
        <f t="shared" si="0"/>
        <v>108</v>
      </c>
      <c r="T10" s="770" t="s">
        <v>17</v>
      </c>
      <c r="U10" s="771">
        <f t="shared" si="1"/>
        <v>108</v>
      </c>
      <c r="V10" s="770" t="s">
        <v>17</v>
      </c>
      <c r="W10" s="771">
        <f t="shared" si="2"/>
        <v>108</v>
      </c>
      <c r="X10" s="772"/>
      <c r="Y10" s="3033"/>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5"/>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5"/>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5"/>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5"/>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2550</v>
      </c>
      <c r="B15" s="629" t="s">
        <v>2787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7" t="s">
        <v>2551</v>
      </c>
      <c r="Q15" s="1809" t="str">
        <f t="shared" si="6"/>
        <v>产业集聚程度</v>
      </c>
      <c r="R15" s="774" t="s">
        <v>17</v>
      </c>
      <c r="S15" s="775">
        <f t="shared" si="0"/>
        <v>100</v>
      </c>
      <c r="T15" s="774" t="s">
        <v>17</v>
      </c>
      <c r="U15" s="775">
        <f t="shared" si="1"/>
        <v>100</v>
      </c>
      <c r="V15" s="774" t="s">
        <v>17</v>
      </c>
      <c r="W15" s="775">
        <f t="shared" si="2"/>
        <v>100</v>
      </c>
      <c r="X15" s="1812"/>
      <c r="Y15" s="3187" t="s">
        <v>2551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88"/>
      <c r="Q16" s="1809"/>
      <c r="R16" s="774"/>
      <c r="S16" s="775"/>
      <c r="T16" s="774"/>
      <c r="U16" s="775"/>
      <c r="V16" s="774"/>
      <c r="W16" s="775"/>
      <c r="X16" s="1812"/>
      <c r="Y16" s="3188"/>
      <c r="Z16" s="1813"/>
      <c r="AA16" s="1810">
        <v>1</v>
      </c>
      <c r="AB16" s="1810">
        <v>1</v>
      </c>
      <c r="AC16" s="1810">
        <v>1</v>
      </c>
    </row>
    <row r="17" spans="1:29" ht="96.6">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8"/>
      <c r="Q17" s="1809" t="str">
        <f>B17</f>
        <v>交通便捷度</v>
      </c>
      <c r="R17" s="774" t="s">
        <v>17</v>
      </c>
      <c r="S17" s="775">
        <f>F17</f>
        <v>100</v>
      </c>
      <c r="T17" s="774" t="s">
        <v>17</v>
      </c>
      <c r="U17" s="775">
        <f>H17</f>
        <v>100</v>
      </c>
      <c r="V17" s="774" t="s">
        <v>17</v>
      </c>
      <c r="W17" s="775">
        <f>J17</f>
        <v>100</v>
      </c>
      <c r="X17" s="1812"/>
      <c r="Y17" s="3188"/>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88"/>
      <c r="Q18" s="1809"/>
      <c r="R18" s="774"/>
      <c r="S18" s="775"/>
      <c r="T18" s="774"/>
      <c r="U18" s="775"/>
      <c r="V18" s="774"/>
      <c r="W18" s="775"/>
      <c r="X18" s="1812"/>
      <c r="Y18" s="3188"/>
      <c r="Z18" s="1813"/>
      <c r="AA18" s="1810">
        <v>1</v>
      </c>
      <c r="AB18" s="1810">
        <v>1</v>
      </c>
      <c r="AC18" s="1810">
        <v>1</v>
      </c>
    </row>
    <row r="19" spans="1:29" ht="28.8">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8"/>
      <c r="Q19" s="1809" t="str">
        <f t="shared" ref="Q19:Q33" si="8">B19</f>
        <v>区域土地利用方向</v>
      </c>
      <c r="R19" s="774" t="s">
        <v>17</v>
      </c>
      <c r="S19" s="775">
        <f>F19</f>
        <v>100</v>
      </c>
      <c r="T19" s="774" t="s">
        <v>17</v>
      </c>
      <c r="U19" s="775">
        <f>H19</f>
        <v>100</v>
      </c>
      <c r="V19" s="774" t="s">
        <v>17</v>
      </c>
      <c r="W19" s="775">
        <f>J19</f>
        <v>100</v>
      </c>
      <c r="X19" s="1812"/>
      <c r="Y19" s="3188"/>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188"/>
      <c r="Q20" s="1809"/>
      <c r="R20" s="774"/>
      <c r="S20" s="775"/>
      <c r="T20" s="774"/>
      <c r="U20" s="775"/>
      <c r="V20" s="774"/>
      <c r="W20" s="775"/>
      <c r="X20" s="1812"/>
      <c r="Y20" s="3188"/>
      <c r="Z20" s="1813"/>
      <c r="AA20" s="1810"/>
      <c r="AB20" s="1810"/>
      <c r="AC20" s="1810"/>
    </row>
    <row r="21" spans="1:29" ht="82.8">
      <c r="A21" s="404"/>
      <c r="B21" s="631" t="s">
        <v>2788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8"/>
      <c r="Q21" s="1809" t="str">
        <f t="shared" si="8"/>
        <v>环境状况</v>
      </c>
      <c r="R21" s="774" t="s">
        <v>17</v>
      </c>
      <c r="S21" s="775">
        <f>F21</f>
        <v>100</v>
      </c>
      <c r="T21" s="774" t="s">
        <v>17</v>
      </c>
      <c r="U21" s="775">
        <f>H21</f>
        <v>100</v>
      </c>
      <c r="V21" s="774" t="s">
        <v>17</v>
      </c>
      <c r="W21" s="775">
        <f>J21</f>
        <v>100</v>
      </c>
      <c r="X21" s="1812"/>
      <c r="Y21" s="3188"/>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88"/>
      <c r="Q22" s="1809"/>
      <c r="R22" s="774"/>
      <c r="S22" s="775"/>
      <c r="T22" s="774"/>
      <c r="U22" s="775"/>
      <c r="V22" s="774"/>
      <c r="W22" s="775"/>
      <c r="X22" s="1812"/>
      <c r="Y22" s="3188"/>
      <c r="Z22" s="1813"/>
      <c r="AA22" s="1810">
        <v>1</v>
      </c>
      <c r="AB22" s="1810">
        <v>1</v>
      </c>
      <c r="AC22" s="1810">
        <v>1</v>
      </c>
    </row>
    <row r="23" spans="1:29" s="117" customFormat="1" ht="41.4">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8"/>
      <c r="Q23" s="1794" t="str">
        <f t="shared" si="8"/>
        <v>公共配套设施</v>
      </c>
      <c r="R23" s="770" t="s">
        <v>17</v>
      </c>
      <c r="S23" s="771">
        <f>F23</f>
        <v>100</v>
      </c>
      <c r="T23" s="770" t="s">
        <v>17</v>
      </c>
      <c r="U23" s="771">
        <f>H23</f>
        <v>100</v>
      </c>
      <c r="V23" s="770" t="s">
        <v>17</v>
      </c>
      <c r="W23" s="771">
        <f>J23</f>
        <v>100</v>
      </c>
      <c r="X23" s="772"/>
      <c r="Y23" s="3188"/>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88"/>
      <c r="Q24" s="1794"/>
      <c r="R24" s="770"/>
      <c r="S24" s="771"/>
      <c r="T24" s="770"/>
      <c r="U24" s="771"/>
      <c r="V24" s="770"/>
      <c r="W24" s="771"/>
      <c r="X24" s="772"/>
      <c r="Y24" s="3188"/>
      <c r="Z24" s="55"/>
      <c r="AA24" s="773">
        <v>1</v>
      </c>
      <c r="AB24" s="773">
        <v>1</v>
      </c>
      <c r="AC24" s="773">
        <v>1</v>
      </c>
    </row>
    <row r="25" spans="1:29" s="117" customFormat="1" ht="41.4">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8"/>
      <c r="Q25" s="1794"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88"/>
      <c r="Q26" s="1794"/>
      <c r="R26" s="770"/>
      <c r="S26" s="771"/>
      <c r="T26" s="770"/>
      <c r="U26" s="771"/>
      <c r="V26" s="770"/>
      <c r="W26" s="771"/>
      <c r="X26" s="772"/>
      <c r="Y26" s="3188"/>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8"/>
      <c r="Z27" s="1813" t="str">
        <f t="shared" ref="Z27:Z40" si="13">Q27</f>
        <v>临街状况</v>
      </c>
      <c r="AA27" s="1810">
        <f t="shared" si="3"/>
        <v>1</v>
      </c>
      <c r="AB27" s="1810">
        <f t="shared" si="4"/>
        <v>1</v>
      </c>
      <c r="AC27" s="1810">
        <f t="shared" si="5"/>
        <v>1</v>
      </c>
    </row>
    <row r="28" spans="1:29" ht="28.8">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8"/>
      <c r="Q28" s="1809" t="str">
        <f t="shared" si="8"/>
        <v>毗邻道路的类型与等级</v>
      </c>
      <c r="R28" s="774" t="s">
        <v>17</v>
      </c>
      <c r="S28" s="775">
        <f t="shared" si="10"/>
        <v>100</v>
      </c>
      <c r="T28" s="774" t="s">
        <v>17</v>
      </c>
      <c r="U28" s="775">
        <f t="shared" si="11"/>
        <v>100</v>
      </c>
      <c r="V28" s="774" t="s">
        <v>17</v>
      </c>
      <c r="W28" s="775">
        <f t="shared" si="12"/>
        <v>100</v>
      </c>
      <c r="X28" s="1812"/>
      <c r="Y28" s="3188"/>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88"/>
      <c r="Q29" s="1809"/>
      <c r="R29" s="774"/>
      <c r="S29" s="775"/>
      <c r="T29" s="774"/>
      <c r="U29" s="775"/>
      <c r="V29" s="774"/>
      <c r="W29" s="775"/>
      <c r="X29" s="1812"/>
      <c r="Y29" s="3188"/>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8"/>
      <c r="Q30" s="1809" t="str">
        <f t="shared" si="8"/>
        <v>土地级别</v>
      </c>
      <c r="R30" s="774" t="s">
        <v>17</v>
      </c>
      <c r="S30" s="775">
        <f t="shared" si="10"/>
        <v>100</v>
      </c>
      <c r="T30" s="774" t="s">
        <v>17</v>
      </c>
      <c r="U30" s="775">
        <f t="shared" si="11"/>
        <v>100</v>
      </c>
      <c r="V30" s="774" t="s">
        <v>17</v>
      </c>
      <c r="W30" s="775">
        <f t="shared" si="12"/>
        <v>100</v>
      </c>
      <c r="X30" s="1812"/>
      <c r="Y30" s="3188"/>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8"/>
      <c r="Q31" s="1809">
        <f t="shared" si="8"/>
        <v>111</v>
      </c>
      <c r="R31" s="774" t="s">
        <v>17</v>
      </c>
      <c r="S31" s="775">
        <f t="shared" si="10"/>
        <v>100</v>
      </c>
      <c r="T31" s="774" t="s">
        <v>17</v>
      </c>
      <c r="U31" s="775">
        <f t="shared" si="11"/>
        <v>100</v>
      </c>
      <c r="V31" s="774" t="s">
        <v>17</v>
      </c>
      <c r="W31" s="775">
        <f t="shared" si="12"/>
        <v>100</v>
      </c>
      <c r="X31" s="1812"/>
      <c r="Y31" s="3188"/>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9" t="s">
        <v>2556</v>
      </c>
      <c r="Q32" s="1809">
        <f t="shared" si="8"/>
        <v>111</v>
      </c>
      <c r="R32" s="774" t="s">
        <v>17</v>
      </c>
      <c r="S32" s="775">
        <f t="shared" si="10"/>
        <v>100</v>
      </c>
      <c r="T32" s="774" t="s">
        <v>17</v>
      </c>
      <c r="U32" s="775">
        <f t="shared" si="11"/>
        <v>100</v>
      </c>
      <c r="V32" s="774" t="s">
        <v>17</v>
      </c>
      <c r="W32" s="775">
        <f t="shared" si="12"/>
        <v>100</v>
      </c>
      <c r="X32" s="1812"/>
      <c r="Y32" s="3190" t="s">
        <v>2556</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0"/>
      <c r="Q33" s="1809">
        <f t="shared" si="8"/>
        <v>111</v>
      </c>
      <c r="R33" s="777" t="s">
        <v>17</v>
      </c>
      <c r="S33" s="778">
        <f t="shared" si="10"/>
        <v>100</v>
      </c>
      <c r="T33" s="777" t="s">
        <v>17</v>
      </c>
      <c r="U33" s="778">
        <f t="shared" si="11"/>
        <v>100</v>
      </c>
      <c r="V33" s="777" t="s">
        <v>17</v>
      </c>
      <c r="W33" s="778">
        <f t="shared" si="12"/>
        <v>100</v>
      </c>
      <c r="X33" s="779"/>
      <c r="Y33" s="3190"/>
      <c r="Z33" s="780">
        <f t="shared" si="13"/>
        <v>111</v>
      </c>
      <c r="AA33" s="1810">
        <f t="shared" si="3"/>
        <v>1</v>
      </c>
      <c r="AB33" s="1810">
        <f t="shared" si="4"/>
        <v>1</v>
      </c>
      <c r="AC33" s="1810">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0"/>
      <c r="Q34" s="1809" t="str">
        <f>B34</f>
        <v>宗地面积</v>
      </c>
      <c r="R34" s="774" t="s">
        <v>17</v>
      </c>
      <c r="S34" s="775" t="e">
        <f t="shared" si="10"/>
        <v>#N/A</v>
      </c>
      <c r="T34" s="774" t="s">
        <v>17</v>
      </c>
      <c r="U34" s="775" t="e">
        <f t="shared" si="11"/>
        <v>#N/A</v>
      </c>
      <c r="V34" s="774" t="s">
        <v>17</v>
      </c>
      <c r="W34" s="775" t="e">
        <f t="shared" si="12"/>
        <v>#N/A</v>
      </c>
      <c r="X34" s="1812"/>
      <c r="Y34" s="3190"/>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90"/>
      <c r="Q35" s="1809" t="str">
        <f t="shared" ref="Q35:Q40" si="14">B35</f>
        <v>宗地形状</v>
      </c>
      <c r="R35" s="774" t="s">
        <v>17</v>
      </c>
      <c r="S35" s="775">
        <f t="shared" si="10"/>
        <v>100</v>
      </c>
      <c r="T35" s="774" t="s">
        <v>17</v>
      </c>
      <c r="U35" s="775">
        <f t="shared" si="11"/>
        <v>100</v>
      </c>
      <c r="V35" s="774" t="s">
        <v>17</v>
      </c>
      <c r="W35" s="775">
        <f t="shared" si="12"/>
        <v>100</v>
      </c>
      <c r="X35" s="1812"/>
      <c r="Y35" s="3190"/>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90"/>
      <c r="Q36" s="1809"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90" t="s">
        <v>2556</v>
      </c>
      <c r="Q37" s="1809" t="str">
        <f t="shared" si="14"/>
        <v>工程地质条件</v>
      </c>
      <c r="R37" s="774" t="s">
        <v>17</v>
      </c>
      <c r="S37" s="775">
        <f t="shared" si="10"/>
        <v>100</v>
      </c>
      <c r="T37" s="774" t="s">
        <v>17</v>
      </c>
      <c r="U37" s="775">
        <f t="shared" si="11"/>
        <v>100</v>
      </c>
      <c r="V37" s="774" t="s">
        <v>17</v>
      </c>
      <c r="W37" s="775">
        <f t="shared" si="12"/>
        <v>100</v>
      </c>
      <c r="X37" s="1812"/>
      <c r="Y37" s="3190" t="s">
        <v>2556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0"/>
      <c r="Q38" s="1809">
        <f t="shared" si="14"/>
        <v>111</v>
      </c>
      <c r="R38" s="774" t="s">
        <v>17</v>
      </c>
      <c r="S38" s="775">
        <f t="shared" si="10"/>
        <v>100</v>
      </c>
      <c r="T38" s="774" t="s">
        <v>17</v>
      </c>
      <c r="U38" s="775">
        <f t="shared" si="11"/>
        <v>100</v>
      </c>
      <c r="V38" s="774" t="s">
        <v>17</v>
      </c>
      <c r="W38" s="775">
        <f t="shared" si="12"/>
        <v>100</v>
      </c>
      <c r="X38" s="1812"/>
      <c r="Y38" s="319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0"/>
      <c r="Q39" s="1809">
        <f t="shared" si="14"/>
        <v>111</v>
      </c>
      <c r="R39" s="774" t="s">
        <v>17</v>
      </c>
      <c r="S39" s="775">
        <f t="shared" si="10"/>
        <v>100</v>
      </c>
      <c r="T39" s="774" t="s">
        <v>17</v>
      </c>
      <c r="U39" s="775">
        <f t="shared" si="11"/>
        <v>100</v>
      </c>
      <c r="V39" s="774" t="s">
        <v>17</v>
      </c>
      <c r="W39" s="775">
        <f t="shared" si="12"/>
        <v>100</v>
      </c>
      <c r="X39" s="1812"/>
      <c r="Y39" s="3190"/>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0"/>
      <c r="Q40" s="1809">
        <f t="shared" si="14"/>
        <v>111</v>
      </c>
      <c r="R40" s="777" t="s">
        <v>17</v>
      </c>
      <c r="S40" s="778">
        <f t="shared" si="10"/>
        <v>100</v>
      </c>
      <c r="T40" s="777" t="s">
        <v>17</v>
      </c>
      <c r="U40" s="778">
        <f t="shared" si="11"/>
        <v>100</v>
      </c>
      <c r="V40" s="777" t="s">
        <v>17</v>
      </c>
      <c r="W40" s="778">
        <f t="shared" si="12"/>
        <v>100</v>
      </c>
      <c r="X40" s="779"/>
      <c r="Y40" s="3190"/>
      <c r="Z40" s="780">
        <f t="shared" si="13"/>
        <v>111</v>
      </c>
      <c r="AA40" s="1810">
        <f t="shared" si="3"/>
        <v>1</v>
      </c>
      <c r="AB40" s="1810">
        <f t="shared" si="4"/>
        <v>1</v>
      </c>
      <c r="AC40" s="1810">
        <f t="shared" si="5"/>
        <v>1</v>
      </c>
    </row>
    <row r="41" spans="1:29" ht="14.4">
      <c r="A41" s="479" t="s">
        <v>2711</v>
      </c>
      <c r="B41" s="2702" t="s">
        <v>2789</v>
      </c>
      <c r="C41" s="682" t="s">
        <v>1</v>
      </c>
      <c r="D41" s="481"/>
      <c r="E41" s="482"/>
      <c r="F41" s="483"/>
      <c r="G41" s="484"/>
      <c r="H41" s="485"/>
      <c r="I41" s="482"/>
      <c r="J41" s="485"/>
      <c r="K41" s="783"/>
      <c r="L41" s="1143"/>
      <c r="M41" s="1131"/>
      <c r="N41" s="1131"/>
      <c r="O41" s="1144"/>
      <c r="P41" s="3185" t="str">
        <f>A41</f>
        <v>成交单价</v>
      </c>
      <c r="Q41" s="3185"/>
      <c r="R41" s="3191">
        <f>E41</f>
        <v>0</v>
      </c>
      <c r="S41" s="3191"/>
      <c r="T41" s="3191">
        <f>G41</f>
        <v>0</v>
      </c>
      <c r="U41" s="3191"/>
      <c r="V41" s="3191">
        <f>I41</f>
        <v>0</v>
      </c>
      <c r="W41" s="3191"/>
      <c r="X41" s="759"/>
      <c r="Y41" s="781"/>
      <c r="Z41" s="759"/>
      <c r="AA41" s="759"/>
      <c r="AB41" s="759"/>
      <c r="AC41" s="759"/>
    </row>
    <row r="42" spans="1:29" ht="1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185" t="str">
        <f>A42</f>
        <v>比较价值（元/平方米）</v>
      </c>
      <c r="Q42" s="3185"/>
      <c r="R42" s="3178" t="e">
        <f>ROUND(PRODUCT(R41,AA7:AA40),0)</f>
        <v>#DIV/0!</v>
      </c>
      <c r="S42" s="3178"/>
      <c r="T42" s="3178" t="e">
        <f>ROUND(PRODUCT(T41,AB7:AB40),0)</f>
        <v>#DIV/0!</v>
      </c>
      <c r="U42" s="3178"/>
      <c r="V42" s="3178" t="e">
        <f>ROUND(PRODUCT(V41,AC7:AC40),0)</f>
        <v>#DIV/0!</v>
      </c>
      <c r="W42" s="3178"/>
      <c r="X42" s="759"/>
      <c r="Y42" s="759"/>
      <c r="Z42" s="759"/>
      <c r="AA42" s="759"/>
      <c r="AB42" s="759"/>
      <c r="AC42" s="759"/>
    </row>
    <row r="43" spans="1:29" ht="15" thickBot="1">
      <c r="A43" s="492" t="s">
        <v>2661</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181" t="e">
        <f>ROUND(AVERAGE(R42:V42),0)</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2748</v>
      </c>
      <c r="B50" s="685" t="s">
        <v>2749</v>
      </c>
      <c r="C50" s="2703" t="s">
        <v>2750</v>
      </c>
      <c r="D50" s="2704" t="s">
        <v>2751</v>
      </c>
      <c r="E50" s="686" t="s">
        <v>2752</v>
      </c>
      <c r="F50" s="687" t="s">
        <v>2753</v>
      </c>
      <c r="G50" s="3182" t="s">
        <v>2754</v>
      </c>
      <c r="H50" s="3183"/>
      <c r="I50" s="1813" t="s">
        <v>2790</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0</v>
      </c>
      <c r="F51" s="691" t="e">
        <f t="shared" ref="F51:F60" si="15">ROUND(B51*E51/10000,0)</f>
        <v>#DIV/0!</v>
      </c>
      <c r="G51" s="3184"/>
      <c r="H51" s="3185"/>
      <c r="I51" s="942">
        <v>1</v>
      </c>
      <c r="J51" s="942">
        <v>1</v>
      </c>
      <c r="K51" s="1145"/>
      <c r="L51" s="941"/>
      <c r="M51" s="941"/>
      <c r="N51" s="941"/>
      <c r="O51" s="941"/>
    </row>
    <row r="52" spans="1:17" s="692" customFormat="1">
      <c r="A52" s="693" t="s">
        <v>2758</v>
      </c>
      <c r="B52" s="262" t="e">
        <f>ROUND($C$43*C52*D52,0)</f>
        <v>#DIV/0!</v>
      </c>
      <c r="C52" s="200">
        <f t="shared" ref="C52:C60" si="16">IF($C$50="北京市系数",I52,J52)</f>
        <v>0.6</v>
      </c>
      <c r="D52" s="1164">
        <v>0.25</v>
      </c>
      <c r="E52" s="694"/>
      <c r="F52" s="691" t="e">
        <f t="shared" si="15"/>
        <v>#DIV/0!</v>
      </c>
      <c r="G52" s="3186" t="s">
        <v>2759</v>
      </c>
      <c r="H52" s="1104" t="str">
        <f>项目基本情况!B37</f>
        <v>九级</v>
      </c>
      <c r="I52" s="942">
        <f>SUMIF(修正!A45:A56,H52,修正!B45:B56)</f>
        <v>0.6</v>
      </c>
      <c r="J52" s="943"/>
      <c r="K52" s="1144"/>
      <c r="L52" s="941"/>
      <c r="M52" s="941"/>
      <c r="N52" s="941"/>
      <c r="O52" s="941"/>
    </row>
    <row r="53" spans="1:17" s="692" customFormat="1">
      <c r="A53" s="693" t="s">
        <v>2760</v>
      </c>
      <c r="B53" s="262" t="e">
        <f t="shared" ref="B53:B60" si="17">ROUND($C$43*C53*D53,0)</f>
        <v>#DIV/0!</v>
      </c>
      <c r="C53" s="200">
        <f t="shared" si="16"/>
        <v>0.3</v>
      </c>
      <c r="D53" s="1164">
        <v>0.25</v>
      </c>
      <c r="E53" s="694"/>
      <c r="F53" s="691" t="e">
        <f t="shared" si="15"/>
        <v>#DIV/0!</v>
      </c>
      <c r="G53" s="3186"/>
      <c r="H53" s="1104" t="str">
        <f>项目基本情况!B37</f>
        <v>九级</v>
      </c>
      <c r="I53" s="942">
        <f>SUMIF(修正!A45:A56,H53,修正!C45:C56)</f>
        <v>0.3</v>
      </c>
      <c r="J53" s="943"/>
      <c r="K53" s="1145"/>
      <c r="L53" s="941"/>
      <c r="M53" s="941"/>
      <c r="N53" s="941"/>
      <c r="O53" s="941"/>
    </row>
    <row r="54" spans="1:17" s="692" customFormat="1">
      <c r="A54" s="693" t="s">
        <v>2761</v>
      </c>
      <c r="B54" s="262" t="e">
        <f t="shared" si="17"/>
        <v>#DIV/0!</v>
      </c>
      <c r="C54" s="200">
        <f t="shared" si="16"/>
        <v>0.2</v>
      </c>
      <c r="D54" s="1164">
        <v>0.25</v>
      </c>
      <c r="E54" s="694"/>
      <c r="F54" s="691" t="e">
        <f t="shared" si="15"/>
        <v>#DIV/0!</v>
      </c>
      <c r="G54" s="3186"/>
      <c r="H54" s="1104" t="str">
        <f>项目基本情况!B37</f>
        <v>九级</v>
      </c>
      <c r="I54" s="942">
        <f>SUMIF(修正!A45:A56,H54,修正!D45:D56)</f>
        <v>0.2</v>
      </c>
      <c r="J54" s="943"/>
      <c r="K54" s="1144"/>
      <c r="L54" s="941"/>
      <c r="M54" s="941"/>
      <c r="N54" s="941"/>
      <c r="O54" s="941"/>
    </row>
    <row r="55" spans="1:17" s="692" customFormat="1">
      <c r="A55" s="693" t="s">
        <v>2762</v>
      </c>
      <c r="B55" s="262" t="e">
        <f t="shared" si="17"/>
        <v>#DIV/0!</v>
      </c>
      <c r="C55" s="200">
        <f t="shared" si="16"/>
        <v>0.2</v>
      </c>
      <c r="D55" s="1164">
        <v>0.25</v>
      </c>
      <c r="E55" s="694"/>
      <c r="F55" s="691" t="e">
        <f t="shared" si="15"/>
        <v>#DIV/0!</v>
      </c>
      <c r="G55" s="3186"/>
      <c r="H55" s="1104" t="str">
        <f>项目基本情况!B37</f>
        <v>九级</v>
      </c>
      <c r="I55" s="942">
        <f>SUMIF(修正!A45:A56,H55,修正!E45:E56)</f>
        <v>0.2</v>
      </c>
      <c r="J55" s="943"/>
      <c r="K55" s="1145"/>
      <c r="L55" s="941"/>
      <c r="M55" s="941"/>
      <c r="N55" s="941"/>
      <c r="O55" s="941"/>
    </row>
    <row r="56" spans="1:17" s="692" customFormat="1">
      <c r="A56" s="693" t="s">
        <v>2763</v>
      </c>
      <c r="B56" s="262" t="e">
        <f t="shared" si="17"/>
        <v>#DIV/0!</v>
      </c>
      <c r="C56" s="200">
        <f t="shared" si="16"/>
        <v>0.2</v>
      </c>
      <c r="D56" s="1164">
        <v>0.25</v>
      </c>
      <c r="E56" s="261">
        <f>'数据-汇总表'!E11</f>
        <v>0</v>
      </c>
      <c r="F56" s="691" t="e">
        <f t="shared" si="15"/>
        <v>#DIV/0!</v>
      </c>
      <c r="G56" s="2707" t="s">
        <v>2764</v>
      </c>
      <c r="H56" s="1104" t="str">
        <f>项目基本情况!C37</f>
        <v>九级</v>
      </c>
      <c r="I56" s="942">
        <f>SUMIF(修正!A45:A56,H56,修正!F45:F56)</f>
        <v>0.2</v>
      </c>
      <c r="J56" s="943"/>
      <c r="K56" s="1144"/>
      <c r="L56" s="941"/>
      <c r="M56" s="941"/>
      <c r="N56" s="941"/>
      <c r="O56" s="941"/>
    </row>
    <row r="57" spans="1:17" s="692" customFormat="1">
      <c r="A57" s="693" t="s">
        <v>2765</v>
      </c>
      <c r="B57" s="262" t="e">
        <f t="shared" si="17"/>
        <v>#DIV/0!</v>
      </c>
      <c r="C57" s="200">
        <f t="shared" si="16"/>
        <v>0.2</v>
      </c>
      <c r="D57" s="1164">
        <v>0.25</v>
      </c>
      <c r="E57" s="261">
        <f>'数据-汇总表'!E12</f>
        <v>0</v>
      </c>
      <c r="F57" s="691" t="e">
        <f t="shared" si="15"/>
        <v>#DIV/0!</v>
      </c>
      <c r="G57" s="1109" t="s">
        <v>2766</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0.15</v>
      </c>
      <c r="D59" s="1164">
        <v>0.25</v>
      </c>
      <c r="E59" s="261">
        <f>'数据-汇总表'!E14</f>
        <v>0</v>
      </c>
      <c r="F59" s="691" t="e">
        <f t="shared" si="15"/>
        <v>#DIV/0!</v>
      </c>
      <c r="G59" s="2707" t="s">
        <v>2759</v>
      </c>
      <c r="H59" s="1104" t="str">
        <f>项目基本情况!B37</f>
        <v>九级</v>
      </c>
      <c r="I59" s="942">
        <f>SUMIF(修正!A45:A56,H59,修正!H45:H56)</f>
        <v>0.15</v>
      </c>
      <c r="J59" s="943"/>
      <c r="K59" s="1145"/>
      <c r="L59" s="941"/>
      <c r="M59" s="941"/>
      <c r="N59" s="941"/>
      <c r="O59" s="941"/>
    </row>
    <row r="60" spans="1:17" s="692" customFormat="1" ht="14.4" thickBot="1">
      <c r="A60" s="693" t="s">
        <v>2770</v>
      </c>
      <c r="B60" s="262" t="e">
        <f t="shared" si="17"/>
        <v>#DIV/0!</v>
      </c>
      <c r="C60" s="200">
        <f t="shared" si="16"/>
        <v>0.15</v>
      </c>
      <c r="D60" s="1164">
        <v>0.25</v>
      </c>
      <c r="E60" s="261">
        <f>'数据-汇总表'!E15</f>
        <v>0</v>
      </c>
      <c r="F60" s="691" t="e">
        <f t="shared" si="15"/>
        <v>#DIV/0!</v>
      </c>
      <c r="G60" s="2708" t="s">
        <v>2764</v>
      </c>
      <c r="H60" s="1114" t="str">
        <f>项目基本情况!C37</f>
        <v>九级</v>
      </c>
      <c r="I60" s="942">
        <f>SUMIF(修正!A45:A56,H60,修正!H45:H56)</f>
        <v>0.15</v>
      </c>
      <c r="J60" s="943"/>
      <c r="K60" s="1144"/>
      <c r="L60" s="941"/>
      <c r="M60" s="941"/>
      <c r="N60" s="941"/>
      <c r="O60" s="941"/>
    </row>
    <row r="61" spans="1:17" s="692" customFormat="1" ht="14.4" thickBot="1">
      <c r="A61" s="695" t="s">
        <v>2771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2.2" thickBot="1">
      <c r="A64" s="763" t="s">
        <v>2665</v>
      </c>
      <c r="B64" s="759"/>
      <c r="C64" s="764"/>
      <c r="D64" s="764"/>
      <c r="E64" s="764"/>
      <c r="F64" s="765"/>
      <c r="G64" s="765"/>
      <c r="H64" s="764"/>
      <c r="I64" s="764"/>
      <c r="J64" s="764"/>
      <c r="K64" s="766"/>
      <c r="L64" s="767"/>
      <c r="M64" s="764"/>
      <c r="N64" s="764"/>
      <c r="O64" s="1159"/>
      <c r="P64" s="503"/>
      <c r="Q64" s="504"/>
    </row>
    <row r="65" spans="1:17" s="508" customFormat="1" ht="14.4">
      <c r="A65" s="2709" t="s">
        <v>2772</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4" t="s">
        <v>2791</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 thickBot="1">
      <c r="A67" s="515" t="s">
        <v>2576</v>
      </c>
      <c r="B67" s="516"/>
      <c r="C67" s="517"/>
      <c r="D67" s="518"/>
      <c r="E67" s="518"/>
      <c r="F67" s="518"/>
      <c r="G67" s="518"/>
      <c r="H67" s="518"/>
      <c r="I67" s="518"/>
      <c r="J67" s="518"/>
      <c r="K67" s="518"/>
      <c r="L67" s="518"/>
      <c r="M67" s="519"/>
      <c r="N67" s="519"/>
      <c r="O67" s="520"/>
      <c r="P67" s="504"/>
      <c r="Q67" s="504"/>
    </row>
    <row r="68" spans="1:17" s="117" customFormat="1" ht="14.4">
      <c r="A68" s="521" t="s">
        <v>2541</v>
      </c>
      <c r="B68" s="510"/>
      <c r="C68" s="522" t="s">
        <v>2643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2579</v>
      </c>
      <c r="B70" s="528" t="s">
        <v>2545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2774</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2775</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2792</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2554</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C33" sqref="C33"/>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2793</v>
      </c>
      <c r="B1" s="241"/>
      <c r="C1" s="245" t="s">
        <v>2794</v>
      </c>
      <c r="D1" s="388">
        <f>SUM(D29:D30,D33:D39)</f>
        <v>9152.0400000000009</v>
      </c>
      <c r="E1" s="2715"/>
      <c r="F1" s="2715"/>
      <c r="G1" s="2715"/>
      <c r="H1" s="2715"/>
      <c r="I1" s="2715"/>
      <c r="J1" s="2715"/>
      <c r="K1" s="1370"/>
      <c r="L1" s="2716" t="s">
        <v>2795</v>
      </c>
      <c r="M1" s="1080">
        <f>SUMPRODUCT((区片价!B5:B9=I2)*(区片价!C3:F3=E2)*(区片价!C5:F9))</f>
        <v>0</v>
      </c>
      <c r="N1" s="1083">
        <f>SUMPRODUCT((因素修正幅度!B5:B9=I2)*(因素修正幅度!C3:F3=E2)*(因素修正幅度!C5:F9))</f>
        <v>0</v>
      </c>
      <c r="O1" s="2717"/>
      <c r="P1" s="2717"/>
      <c r="Q1" s="1370"/>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6">
      <c r="A2" s="245" t="s">
        <v>2801</v>
      </c>
      <c r="B2" s="248">
        <f ca="1">C26</f>
        <v>2690</v>
      </c>
      <c r="C2" s="2719" t="s">
        <v>2802</v>
      </c>
      <c r="D2" s="2720" t="s">
        <v>2803</v>
      </c>
      <c r="E2" s="2721" t="s">
        <v>1372</v>
      </c>
      <c r="F2" s="2720" t="s">
        <v>2804</v>
      </c>
      <c r="G2" s="2722" t="str">
        <f>IF(E2="商业",项目基本情况!B37,IF(E2="办公",项目基本情况!C37,IF(E2="住宅",项目基本情况!D37,项目基本情况!E37)))</f>
        <v>九级</v>
      </c>
      <c r="H2" s="2720" t="s">
        <v>2805</v>
      </c>
      <c r="I2" s="2722" t="str">
        <f>IF(E2="商业",项目基本情况!B38,IF(E2="办公",项目基本情况!C38,IF(E2="住宅",项目基本情况!D38,项目基本情况!E38)))</f>
        <v>Ⅸ-兴3</v>
      </c>
      <c r="J2" s="2723"/>
      <c r="K2" s="1370"/>
      <c r="L2" s="2724" t="s">
        <v>2806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9514</v>
      </c>
      <c r="U2" s="1602"/>
      <c r="V2" s="1601">
        <f ca="1">ROUND(T2*U2/10000,0)</f>
        <v>0</v>
      </c>
      <c r="W2" s="1605"/>
      <c r="X2" s="1605"/>
      <c r="Y2" s="1605"/>
      <c r="Z2" s="1605"/>
      <c r="AA2" s="1605"/>
      <c r="AB2" s="1605"/>
      <c r="AC2" s="1606"/>
      <c r="AD2" s="1607"/>
      <c r="AE2" s="1607"/>
      <c r="AF2" s="1607"/>
      <c r="AG2" s="1607"/>
      <c r="AH2" s="1607"/>
      <c r="AI2" s="1607"/>
      <c r="AJ2" s="1608"/>
    </row>
    <row r="3" spans="1:36" ht="15.6">
      <c r="A3" s="247" t="s">
        <v>2807</v>
      </c>
      <c r="B3" s="248">
        <f ca="1">ROUND(B2*10000/D1,0)</f>
        <v>2939</v>
      </c>
      <c r="C3" s="2719" t="s">
        <v>2808</v>
      </c>
      <c r="D3" s="2720" t="s">
        <v>2809</v>
      </c>
      <c r="E3" s="2725" t="s">
        <v>3226</v>
      </c>
      <c r="F3" s="2726" t="s">
        <v>3265</v>
      </c>
      <c r="G3" s="916">
        <f>IF(F3="宗地容积率",'数据-汇总表'!I4,IF(F3="估价对象容积率",'数据-汇总表'!I6,'数据-汇总表'!I7))</f>
        <v>2</v>
      </c>
      <c r="H3" s="198" t="s">
        <v>2810</v>
      </c>
      <c r="I3" s="944">
        <v>1</v>
      </c>
      <c r="J3" s="2723" t="s">
        <v>2811</v>
      </c>
      <c r="K3" s="1370"/>
      <c r="L3" s="2724" t="s">
        <v>2812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6270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78"/>
      <c r="B4" s="3279"/>
      <c r="C4" s="3279"/>
      <c r="D4" s="3280"/>
      <c r="E4" s="3280"/>
      <c r="F4" s="3280"/>
      <c r="G4" s="3280"/>
      <c r="H4" s="3280"/>
      <c r="I4" s="3280"/>
      <c r="J4" s="3281"/>
      <c r="K4" s="1370"/>
      <c r="L4" s="2724" t="s">
        <v>2813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4934</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2814</v>
      </c>
      <c r="C5" s="917">
        <f>ROUND(IF(E2="商业",C6*C7+C16,(IF(E2="住宅",C6*C12+C16,C6+C16))),0)</f>
        <v>3910</v>
      </c>
      <c r="D5" s="1786">
        <f>ROUND(C6+C16,0)</f>
        <v>3910</v>
      </c>
      <c r="E5" s="1786"/>
      <c r="F5" s="2729"/>
      <c r="G5" s="2730"/>
      <c r="H5" s="2730"/>
      <c r="I5" s="2730"/>
      <c r="J5" s="2731"/>
      <c r="K5" s="2732"/>
      <c r="L5" s="2724" t="s">
        <v>2815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3687</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2816</v>
      </c>
      <c r="B6" s="2738" t="s">
        <v>2817</v>
      </c>
      <c r="C6" s="918">
        <f>SUMIF(L1:L12,G2,M1:M12)</f>
        <v>3910</v>
      </c>
      <c r="D6" s="2739" t="s">
        <v>2818</v>
      </c>
      <c r="E6" s="2740"/>
      <c r="F6" s="2740"/>
      <c r="G6" s="2741"/>
      <c r="H6" s="2741"/>
      <c r="I6" s="2741"/>
      <c r="J6" s="2742"/>
      <c r="K6" s="1841"/>
      <c r="L6" s="2724" t="s">
        <v>2819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2772</v>
      </c>
      <c r="U6" s="1602"/>
      <c r="V6" s="1601">
        <f t="shared" ca="1" si="1"/>
        <v>0</v>
      </c>
      <c r="W6" s="1605"/>
      <c r="X6" s="1605"/>
      <c r="Y6" s="1605"/>
      <c r="Z6" s="1605"/>
      <c r="AA6" s="1605"/>
      <c r="AB6" s="1605"/>
      <c r="AC6" s="2733"/>
      <c r="AD6" s="2734"/>
      <c r="AE6" s="2734"/>
      <c r="AF6" s="2734"/>
      <c r="AG6" s="2734"/>
      <c r="AH6" s="2734"/>
      <c r="AI6" s="2734"/>
      <c r="AJ6" s="2735"/>
    </row>
    <row r="7" spans="1:36" ht="24">
      <c r="A7" s="3282" t="str">
        <f>IF(E2="商业",IF(C8="不临58条商业街","",2),"")</f>
        <v/>
      </c>
      <c r="B7" s="2743" t="s">
        <v>2820</v>
      </c>
      <c r="C7" s="919">
        <f>IF(C8="不临58条商业街",1,ROUND(1+(1.6*E8+1.2*E9+0.8*E10+0.4*E11)*C9,4))</f>
        <v>1</v>
      </c>
      <c r="D7" s="2744" t="s">
        <v>2821</v>
      </c>
      <c r="E7" s="945"/>
      <c r="F7" s="2745"/>
      <c r="G7" s="2746"/>
      <c r="H7" s="2746"/>
      <c r="I7" s="2746"/>
      <c r="J7" s="2747"/>
      <c r="K7" s="1841"/>
      <c r="L7" s="2724" t="s">
        <v>2822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2217</v>
      </c>
      <c r="U7" s="1602"/>
      <c r="V7" s="1601">
        <f t="shared" ca="1" si="1"/>
        <v>0</v>
      </c>
      <c r="W7" s="1815" t="s">
        <v>2823</v>
      </c>
      <c r="X7" s="1603" t="str">
        <f>G2</f>
        <v>九级</v>
      </c>
      <c r="Y7" s="1603" t="s">
        <v>2824</v>
      </c>
      <c r="Z7" s="1604">
        <f>G3</f>
        <v>2</v>
      </c>
      <c r="AA7" s="1605"/>
      <c r="AB7" s="1605"/>
      <c r="AC7" s="1606"/>
      <c r="AD7" s="1607"/>
      <c r="AE7" s="1607"/>
      <c r="AF7" s="1607"/>
      <c r="AG7" s="1607"/>
      <c r="AH7" s="1607"/>
      <c r="AI7" s="1607"/>
      <c r="AJ7" s="1608"/>
    </row>
    <row r="8" spans="1:36" ht="26.4">
      <c r="A8" s="3283"/>
      <c r="B8" s="198" t="s">
        <v>2825</v>
      </c>
      <c r="C8" s="2748" t="s">
        <v>3260</v>
      </c>
      <c r="D8" s="920" t="s">
        <v>139</v>
      </c>
      <c r="E8" s="921" t="e">
        <f>ROUND(C11/E7,4)</f>
        <v>#DIV/0!</v>
      </c>
      <c r="F8" s="2749" t="s">
        <v>2826</v>
      </c>
      <c r="G8" s="2750"/>
      <c r="H8" s="2750"/>
      <c r="I8" s="2750"/>
      <c r="J8" s="2751"/>
      <c r="K8" s="1370"/>
      <c r="L8" s="2724" t="s">
        <v>2827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75" t="s">
        <v>2828</v>
      </c>
      <c r="X8" s="3276"/>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283"/>
      <c r="B9" s="198" t="s">
        <v>2841</v>
      </c>
      <c r="C9" s="922">
        <f>SUMIF(修正!C59:C119,C8,修正!E59:E119)</f>
        <v>0</v>
      </c>
      <c r="D9" s="200" t="s">
        <v>140</v>
      </c>
      <c r="E9" s="200" t="e">
        <f>ROUND(C11/E7,4)</f>
        <v>#DIV/0!</v>
      </c>
      <c r="F9" s="2749" t="s">
        <v>2842</v>
      </c>
      <c r="G9" s="2750"/>
      <c r="H9" s="2750"/>
      <c r="I9" s="2750"/>
      <c r="J9" s="2751"/>
      <c r="K9" s="1370"/>
      <c r="L9" s="2724" t="s">
        <v>2843</v>
      </c>
      <c r="M9" s="1081">
        <f>SUMPRODUCT((区片价!B245:B289=I2)*(区片价!C3:F3=E2)*(区片价!C245:F289))</f>
        <v>3910</v>
      </c>
      <c r="N9" s="1083">
        <f>SUMPRODUCT((因素修正幅度!B245:B289=I2)*(因素修正幅度!C3:F3=E2)*(因素修正幅度!C245:F289))</f>
        <v>0.15</v>
      </c>
      <c r="O9" s="1370"/>
      <c r="P9" s="1370"/>
      <c r="Q9" s="1370"/>
      <c r="R9" s="1601">
        <v>8</v>
      </c>
      <c r="S9" s="1602"/>
      <c r="T9" s="1601">
        <f t="shared" ca="1" si="0"/>
        <v>0</v>
      </c>
      <c r="U9" s="1602"/>
      <c r="V9" s="1601">
        <f t="shared" ca="1" si="1"/>
        <v>0</v>
      </c>
      <c r="W9" s="3277"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2846</v>
      </c>
      <c r="C10" s="200">
        <f>SUMIF(修正!C59:C119,C8,修正!F59:F119)</f>
        <v>0</v>
      </c>
      <c r="D10" s="200" t="s">
        <v>141</v>
      </c>
      <c r="E10" s="200" t="e">
        <f>ROUND(C11/E7,4)</f>
        <v>#DIV/0!</v>
      </c>
      <c r="F10" s="2749" t="s">
        <v>2847</v>
      </c>
      <c r="G10" s="2750"/>
      <c r="H10" s="2750"/>
      <c r="I10" s="2750"/>
      <c r="J10" s="2751"/>
      <c r="K10" s="1370"/>
      <c r="L10" s="2724" t="s">
        <v>2848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7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83"/>
      <c r="B11" s="2752" t="s">
        <v>2849</v>
      </c>
      <c r="C11" s="923">
        <f>C10/4</f>
        <v>0</v>
      </c>
      <c r="D11" s="923" t="s">
        <v>142</v>
      </c>
      <c r="E11" s="923" t="e">
        <f>ROUND(C11/E7,4)</f>
        <v>#DIV/0!</v>
      </c>
      <c r="F11" s="2753" t="s">
        <v>2850</v>
      </c>
      <c r="G11" s="2754"/>
      <c r="H11" s="2754"/>
      <c r="I11" s="2754"/>
      <c r="J11" s="2755"/>
      <c r="K11" s="1370"/>
      <c r="L11" s="2724" t="s">
        <v>2851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77" t="s">
        <v>2852</v>
      </c>
      <c r="X11" s="1613" t="s">
        <v>2853</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8" thickBot="1">
      <c r="A12" s="3282" t="s">
        <v>2854</v>
      </c>
      <c r="B12" s="2756" t="s">
        <v>2855</v>
      </c>
      <c r="C12" s="919">
        <f>ROUND(C15*D15*E15*F15*G15*H15*I15*J15,4)</f>
        <v>1</v>
      </c>
      <c r="D12" s="2757" t="s">
        <v>2856</v>
      </c>
      <c r="E12" s="2758"/>
      <c r="F12" s="2758"/>
      <c r="G12" s="2759"/>
      <c r="H12" s="2759"/>
      <c r="I12" s="2759"/>
      <c r="J12" s="2760"/>
      <c r="K12" s="1370"/>
      <c r="L12" s="2761" t="s">
        <v>2857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77"/>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4"/>
      <c r="B13" s="2762" t="s">
        <v>2859</v>
      </c>
      <c r="C13" s="2763" t="s">
        <v>2860</v>
      </c>
      <c r="D13" s="1807" t="s">
        <v>2861</v>
      </c>
      <c r="E13" s="1807" t="s">
        <v>2862</v>
      </c>
      <c r="F13" s="30" t="s">
        <v>2863</v>
      </c>
      <c r="G13" s="2764" t="s">
        <v>2864</v>
      </c>
      <c r="H13" s="2764" t="s">
        <v>2864</v>
      </c>
      <c r="I13" s="2764" t="s">
        <v>2864</v>
      </c>
      <c r="J13" s="2765" t="s">
        <v>2864</v>
      </c>
      <c r="K13" s="1370"/>
      <c r="L13" s="1370"/>
      <c r="M13" s="1370"/>
      <c r="N13" s="1370"/>
      <c r="O13" s="1370"/>
      <c r="P13" s="1370"/>
      <c r="Q13" s="1370"/>
      <c r="R13" s="1601">
        <v>12</v>
      </c>
      <c r="S13" s="1602"/>
      <c r="T13" s="1601">
        <f t="shared" ca="1" si="0"/>
        <v>0</v>
      </c>
      <c r="U13" s="1602"/>
      <c r="V13" s="1601">
        <f t="shared" ca="1" si="1"/>
        <v>0</v>
      </c>
      <c r="W13" s="3277"/>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84"/>
      <c r="B14" s="2766"/>
      <c r="C14" s="2767"/>
      <c r="D14" s="2768"/>
      <c r="E14" s="2768"/>
      <c r="F14" s="2769"/>
      <c r="G14" s="2770" t="s">
        <v>2865</v>
      </c>
      <c r="H14" s="2771"/>
      <c r="I14" s="2772"/>
      <c r="J14" s="2773"/>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85"/>
      <c r="B15" s="2774" t="s">
        <v>2866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2" t="s">
        <v>2871</v>
      </c>
      <c r="B16" s="2743" t="s">
        <v>2872</v>
      </c>
      <c r="C16" s="2930">
        <f>ROUND(IF(F17="与级别开发程度一致",0,(G17-E17)/C17),0)</f>
        <v>0</v>
      </c>
      <c r="D16" s="3296" t="s">
        <v>2876</v>
      </c>
      <c r="E16" s="3297"/>
      <c r="F16" s="3296" t="s">
        <v>2873</v>
      </c>
      <c r="G16" s="3297"/>
      <c r="H16" s="2777"/>
      <c r="I16" s="2777"/>
      <c r="J16" s="2934"/>
      <c r="K16" s="2777"/>
      <c r="L16" s="2777"/>
      <c r="M16" s="2777"/>
      <c r="N16" s="2777"/>
      <c r="O16" s="2778"/>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86"/>
      <c r="B17" s="2941" t="s">
        <v>2875</v>
      </c>
      <c r="C17" s="2942">
        <f>SUMPRODUCT((修正!A2:A5=E2)*(修正!B1:M1=G2)*(修正!B2:M5))</f>
        <v>2</v>
      </c>
      <c r="D17" s="229" t="str">
        <f>IF(OR(G2="八级",G2="九级",G2="十级",G2="十一级",G2="十二级"),"五通一平","七通一平")</f>
        <v>五通一平</v>
      </c>
      <c r="E17" s="2931">
        <f>SUMPRODUCT((修正!B1:M1=G2)*(修正!B15:M15))</f>
        <v>155</v>
      </c>
      <c r="F17" s="2932" t="s">
        <v>3261</v>
      </c>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808</v>
      </c>
      <c r="B18" s="2936" t="s">
        <v>2878</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2879</v>
      </c>
      <c r="C19" s="924">
        <f>ROUND(IF(H19="按公示增长率计算",SUMPRODUCT((地价!A3:A30=YEAR(G19)&amp;"-"&amp;ROUNDUP(MONTH(G19)/3,0))*(地价!X2:AB2=E2)*(地价!X3:AB30)),IF(H19="地价指数",M20/M19,(1+I19)^O19)),4)</f>
        <v>1.3577999999999999</v>
      </c>
      <c r="D19" s="2787" t="s">
        <v>2880</v>
      </c>
      <c r="E19" s="925">
        <v>41640</v>
      </c>
      <c r="F19" s="2787" t="s">
        <v>2881</v>
      </c>
      <c r="G19" s="926">
        <f>'数据-取费表'!B2</f>
        <v>44000</v>
      </c>
      <c r="H19" s="2788" t="s">
        <v>3262</v>
      </c>
      <c r="I19" s="927" t="str">
        <f>IF(H19="季度增幅（自定义）",SUMIF(N21:N24,E2,O21:O24),"")</f>
        <v/>
      </c>
      <c r="J19" s="2785"/>
      <c r="K19" s="1377"/>
      <c r="L19" s="2789" t="s">
        <v>2882</v>
      </c>
      <c r="M19" s="1733">
        <f>ROUND(SUMIF(地价!B2:F2,E2,地价!B30:F30),0)</f>
        <v>258</v>
      </c>
      <c r="N19" s="2790" t="s">
        <v>2883</v>
      </c>
      <c r="O19" s="928">
        <f>ROUNDDOWN(DATEDIF(E19,G19,"M")/3,0)</f>
        <v>25</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2884</v>
      </c>
      <c r="C20" s="929">
        <f ca="1">ROUND(POWER(1+G20,J20-I20)*(POWER(1+G20,I20)-1)/(POWER(1+G20,J20)-1),4)</f>
        <v>0.92279999999999995</v>
      </c>
      <c r="D20" s="2796" t="s">
        <v>2885</v>
      </c>
      <c r="E20" s="1767">
        <f ca="1">存贷款利率!D4/100</f>
        <v>4.3499999999999997E-2</v>
      </c>
      <c r="F20" s="2796" t="s">
        <v>2877</v>
      </c>
      <c r="G20" s="934">
        <f ca="1">SUMIF(M26:P26,E2,M28:P28)</f>
        <v>5.3999999999999999E-2</v>
      </c>
      <c r="H20" s="2796" t="s">
        <v>2886</v>
      </c>
      <c r="I20" s="935">
        <f>SUMIF('数据-取费表'!C6:C15,E2,'数据-取费表'!F6:F15)/COUNTIF('数据-取费表'!C6:C15,E2)</f>
        <v>31.6</v>
      </c>
      <c r="J20" s="936">
        <f>IF(E2="住宅",70,IF(E2="商业",40,50))</f>
        <v>40</v>
      </c>
      <c r="K20" s="1377"/>
      <c r="L20" s="2797" t="s">
        <v>2887</v>
      </c>
      <c r="M20" s="1734">
        <f>ROUND(SUMPRODUCT((地价!A4:A30=YEAR(G19)&amp;"-"&amp;ROUNDUP(MONTH(G19)/3,0))*(地价!B2:F2=E2)*(地价!B4:F30)),0)</f>
        <v>350</v>
      </c>
      <c r="N20" s="2798" t="s">
        <v>2888</v>
      </c>
      <c r="O20" s="2799" t="s">
        <v>2889</v>
      </c>
      <c r="P20" s="2800" t="s">
        <v>2890</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2891</v>
      </c>
      <c r="C21" s="937">
        <f>IF(B21="容积率修正",IF(G3&lt;=10,D22,J22),C23)</f>
        <v>1.9419999999999999</v>
      </c>
      <c r="D21" s="2803"/>
      <c r="E21" s="2803"/>
      <c r="F21" s="2803"/>
      <c r="G21" s="2803"/>
      <c r="H21" s="2803"/>
      <c r="I21" s="2803"/>
      <c r="J21" s="2804"/>
      <c r="K21" s="1377"/>
      <c r="N21" s="2805" t="s">
        <v>2892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6" customFormat="1" ht="14.4">
      <c r="A22" s="2662" t="s">
        <v>2893</v>
      </c>
      <c r="B22" s="2806" t="s">
        <v>2894</v>
      </c>
      <c r="C22" s="1809" t="s">
        <v>2895</v>
      </c>
      <c r="D22" s="1809">
        <f>IF(E22=G22,F22,IF(G3&lt;=10,ROUND(F22+(H22-F22)*(G3-E22)/(G22-E22),4),"——"))</f>
        <v>1</v>
      </c>
      <c r="E22" s="916">
        <f>ROUNDDOWN(G3,1)</f>
        <v>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8" t="str">
        <f>IF(G3&gt;10,D113,"——")</f>
        <v>——</v>
      </c>
      <c r="K22" s="1377"/>
      <c r="N22" s="2805" t="s">
        <v>2896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9.4" thickBot="1">
      <c r="A23" s="2662" t="s">
        <v>2897</v>
      </c>
      <c r="B23" s="2807" t="s">
        <v>2898</v>
      </c>
      <c r="C23" s="1013">
        <f>ROUND(IF(G3&gt;1,IF(I3&lt;7,SUMPRODUCT((B93:B98=I3)*(C92:N92=G2)*(C93:N98)),SUMIF(C92:N92,G2,C100:N100)),IF(I3&lt;7,SUMPRODUCT((B102:B107=I3)*(C92:N92=G2)*(C102:N107)),SUMIF(C92:N92,G2,C109:N109))),4)</f>
        <v>1.9419999999999999</v>
      </c>
      <c r="D23" s="2771"/>
      <c r="E23" s="2771"/>
      <c r="F23" s="2808"/>
      <c r="G23" s="2809"/>
      <c r="H23" s="2810"/>
      <c r="I23" s="2811"/>
      <c r="J23" s="2812"/>
      <c r="K23" s="1370"/>
      <c r="N23" s="2805" t="s">
        <v>2899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2900</v>
      </c>
      <c r="C24" s="924">
        <f>SUMIF(A45:A88,E2,B45:B88)</f>
        <v>1</v>
      </c>
      <c r="D24" s="2784"/>
      <c r="E24" s="2813"/>
      <c r="F24" s="2813"/>
      <c r="G24" s="2813"/>
      <c r="H24" s="2813"/>
      <c r="I24" s="2813"/>
      <c r="J24" s="2814"/>
      <c r="K24" s="1377"/>
      <c r="N24" s="2815" t="s">
        <v>2901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2902</v>
      </c>
      <c r="C25" s="930"/>
      <c r="D25" s="2746"/>
      <c r="E25" s="2746"/>
      <c r="F25" s="2817"/>
      <c r="G25" s="2746"/>
      <c r="H25" s="2746"/>
      <c r="I25" s="2746"/>
      <c r="J25" s="2747"/>
      <c r="K25" s="1370"/>
      <c r="N25" s="2818" t="s">
        <v>2903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4">
      <c r="A26" s="2819"/>
      <c r="B26" s="2806" t="s">
        <v>2904</v>
      </c>
      <c r="C26" s="206">
        <f ca="1">E29+SUM(E33:E39)</f>
        <v>2690</v>
      </c>
      <c r="D26" s="2820"/>
      <c r="E26" s="2771"/>
      <c r="F26" s="2821"/>
      <c r="G26" s="2771"/>
      <c r="H26" s="2771"/>
      <c r="I26" s="2771"/>
      <c r="J26" s="2822"/>
      <c r="K26" s="1370"/>
      <c r="L26" s="2775" t="s">
        <v>2803</v>
      </c>
      <c r="M26" s="920" t="s">
        <v>2867</v>
      </c>
      <c r="N26" s="920" t="s">
        <v>2868</v>
      </c>
      <c r="O26" s="920" t="s">
        <v>2869</v>
      </c>
      <c r="P26" s="2776" t="s">
        <v>2870</v>
      </c>
      <c r="R26" s="1376"/>
      <c r="S26" s="1376"/>
      <c r="T26" s="1371"/>
      <c r="U26" s="1371"/>
      <c r="V26" s="1371"/>
      <c r="W26" s="1370"/>
      <c r="X26" s="1370"/>
      <c r="Y26" s="1370"/>
      <c r="Z26" s="1377"/>
      <c r="AA26" s="1378"/>
      <c r="AB26" s="1378"/>
      <c r="AC26" s="1378"/>
      <c r="AD26" s="1378"/>
    </row>
    <row r="27" spans="1:37" ht="15" thickBot="1">
      <c r="A27" s="2819"/>
      <c r="B27" s="2823" t="s">
        <v>2905</v>
      </c>
      <c r="C27" s="931">
        <f ca="1">E30+SUM(I33:I39)</f>
        <v>673</v>
      </c>
      <c r="D27" s="2824"/>
      <c r="E27" s="2825"/>
      <c r="F27" s="2826"/>
      <c r="G27" s="2825"/>
      <c r="H27" s="2825"/>
      <c r="I27" s="2825"/>
      <c r="J27" s="2827"/>
      <c r="K27" s="1370"/>
      <c r="L27" s="2779"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2906</v>
      </c>
      <c r="C28" s="2830" t="s">
        <v>2907</v>
      </c>
      <c r="D28" s="2830" t="s">
        <v>2908</v>
      </c>
      <c r="E28" s="2831" t="s">
        <v>2909</v>
      </c>
      <c r="F28" s="2832"/>
      <c r="G28" s="2759"/>
      <c r="H28" s="2759"/>
      <c r="I28" s="2759"/>
      <c r="J28" s="2760"/>
      <c r="K28" s="1370"/>
      <c r="L28" s="2780"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2910</v>
      </c>
      <c r="C29" s="206">
        <f ca="1">ROUND(C5*C18*C19*C20*C21*C24,0)</f>
        <v>9514</v>
      </c>
      <c r="D29" s="2835"/>
      <c r="E29" s="942">
        <f ca="1">ROUND(C29*D29/10000,0)</f>
        <v>0</v>
      </c>
      <c r="F29" s="2836" t="s">
        <v>2911</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2912</v>
      </c>
      <c r="C30" s="229">
        <f ca="1">ROUND(IF(E2="工业",C29*M39,C29*M38),0)</f>
        <v>2379</v>
      </c>
      <c r="D30" s="2841"/>
      <c r="E30" s="942">
        <f ca="1">ROUND(C30*D30/10000,0)</f>
        <v>0</v>
      </c>
      <c r="F30" s="2842" t="s">
        <v>2913</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2914</v>
      </c>
      <c r="C31" s="2847" t="s">
        <v>2915</v>
      </c>
      <c r="D31" s="2759"/>
      <c r="E31" s="2847"/>
      <c r="F31" s="2847"/>
      <c r="G31" s="2757" t="s">
        <v>2916</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2907</v>
      </c>
      <c r="D32" s="498" t="s">
        <v>2908</v>
      </c>
      <c r="E32" s="498" t="s">
        <v>2909</v>
      </c>
      <c r="F32" s="388" t="s">
        <v>2917</v>
      </c>
      <c r="G32" s="2850" t="s">
        <v>2907</v>
      </c>
      <c r="H32" s="2850" t="s">
        <v>2908</v>
      </c>
      <c r="I32" s="2850"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93" t="s">
        <v>2918</v>
      </c>
      <c r="B33" s="2851" t="s">
        <v>2919</v>
      </c>
      <c r="C33" s="206">
        <f ca="1">ROUND(D5*C19*C20*C24*F33,0)</f>
        <v>2939</v>
      </c>
      <c r="D33" s="2835">
        <f>'数据-汇总表'!G19</f>
        <v>9152.0400000000009</v>
      </c>
      <c r="E33" s="200">
        <f ca="1">ROUND(C33*D33/10000,0)</f>
        <v>2690</v>
      </c>
      <c r="F33" s="200">
        <f>SUMIF(修正!A45:A56,G2,修正!B45:B56)</f>
        <v>0.6</v>
      </c>
      <c r="G33" s="200">
        <f t="shared" ref="G33" ca="1" si="6">ROUND(IF(E2="工业",C33*$M$39,C33*$M$38),0)</f>
        <v>735</v>
      </c>
      <c r="H33" s="200">
        <f>D33</f>
        <v>9152.0400000000009</v>
      </c>
      <c r="I33" s="200">
        <f ca="1">ROUND(G33*H33/10000,0)</f>
        <v>673</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94"/>
      <c r="B34" s="2763" t="s">
        <v>2920</v>
      </c>
      <c r="C34" s="206">
        <f ca="1">ROUND(D5*C19*C20*C24*F34,0)</f>
        <v>1470</v>
      </c>
      <c r="D34" s="2835"/>
      <c r="E34" s="200">
        <f t="shared" ref="E34:E39" ca="1" si="7">ROUND(C34*D34/10000,0)</f>
        <v>0</v>
      </c>
      <c r="F34" s="200">
        <f>SUMIF(修正!A45:A56,G2,修正!C45:C56)</f>
        <v>0.3</v>
      </c>
      <c r="G34" s="200">
        <f ca="1">ROUND(IF(E2="工业",C34*$M$39,C34*$M$38),0)</f>
        <v>368</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3" t="s">
        <v>2921</v>
      </c>
      <c r="C35" s="206">
        <f ca="1">ROUND(D5*C19*C20*C24*F35,0)</f>
        <v>980</v>
      </c>
      <c r="D35" s="2835"/>
      <c r="E35" s="200">
        <f t="shared" ca="1" si="7"/>
        <v>0</v>
      </c>
      <c r="F35" s="200">
        <f>SUMIF(修正!A45:A56,G2,修正!D45:D56)</f>
        <v>0.2</v>
      </c>
      <c r="G35" s="200">
        <f ca="1">ROUND(IF(E2="工业",C35*$M$39,C35*$M$38),0)</f>
        <v>245</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8" thickBot="1">
      <c r="A36" s="3295"/>
      <c r="B36" s="2763" t="s">
        <v>2922</v>
      </c>
      <c r="C36" s="206">
        <f ca="1">ROUND(D5*C19*C20*C24*F36,0)</f>
        <v>980</v>
      </c>
      <c r="D36" s="2835"/>
      <c r="E36" s="200">
        <f t="shared" ca="1" si="7"/>
        <v>0</v>
      </c>
      <c r="F36" s="200">
        <f>SUMIF(修正!A45:A56,G2,修正!E45:E56)</f>
        <v>0.2</v>
      </c>
      <c r="G36" s="200">
        <f ca="1">ROUND(IF(E2="工业",C36*$M$39,C36*$M$38),0)</f>
        <v>245</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2923</v>
      </c>
      <c r="C37" s="200">
        <f ca="1">ROUND(D5*C19*C20*C24*F37,0)</f>
        <v>980</v>
      </c>
      <c r="D37" s="2835"/>
      <c r="E37" s="200">
        <f t="shared" ca="1" si="7"/>
        <v>0</v>
      </c>
      <c r="F37" s="206">
        <f>SUMIF(修正!A45:A56,G2,修正!F45:F56)</f>
        <v>0.2</v>
      </c>
      <c r="G37" s="200">
        <f ca="1">ROUND(IF(E2="工业",C37*$M$39,C37*$M$38),0)</f>
        <v>245</v>
      </c>
      <c r="H37" s="200">
        <f t="shared" si="8"/>
        <v>0</v>
      </c>
      <c r="I37" s="200">
        <f t="shared" ca="1" si="9"/>
        <v>0</v>
      </c>
      <c r="J37" s="2852"/>
      <c r="K37" s="1370"/>
      <c r="L37" s="2854" t="s">
        <v>2924</v>
      </c>
      <c r="M37" s="2855"/>
      <c r="N37" s="1370"/>
      <c r="O37" s="1370"/>
      <c r="P37" s="1370"/>
      <c r="Q37" s="1370"/>
      <c r="R37" s="1370"/>
      <c r="S37" s="1370"/>
      <c r="T37" s="1370"/>
      <c r="U37" s="1370"/>
      <c r="V37" s="1370"/>
      <c r="W37" s="1370"/>
      <c r="X37" s="1370"/>
      <c r="Y37" s="1370"/>
      <c r="Z37" s="1371"/>
    </row>
    <row r="38" spans="1:37">
      <c r="A38" s="2853"/>
      <c r="B38" s="2763" t="s">
        <v>2925</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6" t="s">
        <v>2926</v>
      </c>
      <c r="M38" s="2856">
        <v>0.25</v>
      </c>
      <c r="N38" s="1370"/>
      <c r="O38" s="1370"/>
      <c r="P38" s="1370"/>
      <c r="Q38" s="1370"/>
      <c r="R38" s="1370"/>
      <c r="S38" s="1370"/>
      <c r="T38" s="1370"/>
      <c r="U38" s="1370"/>
      <c r="V38" s="1370"/>
      <c r="W38" s="1370"/>
      <c r="X38" s="1370"/>
      <c r="Y38" s="1370"/>
      <c r="Z38" s="1371"/>
    </row>
    <row r="39" spans="1:37" ht="13.8" thickBot="1">
      <c r="A39" s="2839"/>
      <c r="B39" s="2857" t="s">
        <v>2927</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2870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3035</v>
      </c>
      <c r="C41" s="388">
        <f ca="1">ROUND(POWER(1+E41,H41-G41)*(POWER(1+E41,G41)-1)/(POWER(1+E41,H41)-1),4)</f>
        <v>0</v>
      </c>
      <c r="D41" s="200" t="s">
        <v>2877</v>
      </c>
      <c r="E41" s="2927">
        <f ca="1">G20</f>
        <v>5.3999999999999999E-2</v>
      </c>
      <c r="F41" s="200" t="s">
        <v>2886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2928</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2929</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2930</v>
      </c>
      <c r="B47" s="1808" t="s">
        <v>2931</v>
      </c>
      <c r="C47" s="1808" t="s">
        <v>2932</v>
      </c>
      <c r="D47" s="1808" t="s">
        <v>2933</v>
      </c>
      <c r="E47" s="819" t="s">
        <v>2934</v>
      </c>
      <c r="F47" s="2869" t="s">
        <v>2935</v>
      </c>
      <c r="G47" s="1808" t="s">
        <v>754</v>
      </c>
      <c r="H47" s="2870" t="s">
        <v>2936</v>
      </c>
      <c r="I47" s="1808" t="s">
        <v>2937</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5.2">
      <c r="A48" s="2868" t="s">
        <v>2938</v>
      </c>
      <c r="B48" s="2871" t="str">
        <f>估价对象房地状况!C4</f>
        <v>一般</v>
      </c>
      <c r="C48" s="2768"/>
      <c r="D48" s="1286">
        <f t="shared" ref="D48:D56" si="10">SUMIF($J$47:$N$47,C48,J48:N48)</f>
        <v>0</v>
      </c>
      <c r="E48" s="821">
        <f>ROUND(SUM(D48:D56),4)</f>
        <v>0</v>
      </c>
      <c r="F48" s="2499">
        <f>IF(E2="商业",SUMIF(L1:L12,G2,N1:N12),"——")</f>
        <v>0.15</v>
      </c>
      <c r="G48" s="1284"/>
      <c r="H48" s="1288">
        <f t="shared" ref="H48:H56" si="11">IFERROR(ROUNDDOWN($F$48*I48/2,4),"——")</f>
        <v>2.47E-2</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8" t="s">
        <v>2939</v>
      </c>
      <c r="B49" s="2872" t="str">
        <f>估价对象房地状况!C18</f>
        <v>一般</v>
      </c>
      <c r="C49" s="2768"/>
      <c r="D49" s="1286">
        <f t="shared" si="10"/>
        <v>0</v>
      </c>
      <c r="E49" s="822"/>
      <c r="F49" s="2499"/>
      <c r="G49" s="1284"/>
      <c r="H49" s="1288">
        <f t="shared" si="11"/>
        <v>1.8700000000000001E-2</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2940</v>
      </c>
      <c r="B50" s="2872">
        <f>估价对象房地状况!C19</f>
        <v>0</v>
      </c>
      <c r="C50" s="2768"/>
      <c r="D50" s="1286">
        <f t="shared" si="10"/>
        <v>0</v>
      </c>
      <c r="E50" s="822"/>
      <c r="F50" s="2499"/>
      <c r="G50" s="1284"/>
      <c r="H50" s="1288">
        <f t="shared" si="11"/>
        <v>3.7000000000000002E-3</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2941</v>
      </c>
      <c r="B51" s="2873" t="s">
        <v>2942</v>
      </c>
      <c r="C51" s="2768"/>
      <c r="D51" s="1286">
        <f t="shared" si="10"/>
        <v>0</v>
      </c>
      <c r="E51" s="822"/>
      <c r="F51" s="2499"/>
      <c r="G51" s="1284"/>
      <c r="H51" s="1288">
        <f t="shared" si="11"/>
        <v>3.7000000000000002E-3</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2943</v>
      </c>
      <c r="B52" s="2872">
        <f>估价对象房地状况!C24</f>
        <v>0</v>
      </c>
      <c r="C52" s="2768"/>
      <c r="D52" s="1286">
        <f t="shared" si="10"/>
        <v>0</v>
      </c>
      <c r="E52" s="822"/>
      <c r="F52" s="2499"/>
      <c r="G52" s="1284"/>
      <c r="H52" s="1288">
        <f t="shared" si="11"/>
        <v>6.0000000000000001E-3</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2944</v>
      </c>
      <c r="B53" s="2874" t="s">
        <v>2945</v>
      </c>
      <c r="C53" s="2768"/>
      <c r="D53" s="1286">
        <f t="shared" si="10"/>
        <v>0</v>
      </c>
      <c r="E53" s="822"/>
      <c r="F53" s="2499"/>
      <c r="G53" s="1284"/>
      <c r="H53" s="1288">
        <f t="shared" si="11"/>
        <v>2.2000000000000001E-3</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2946</v>
      </c>
      <c r="B54" s="1724" t="str">
        <f>估价对象房地状况!C21</f>
        <v>一般</v>
      </c>
      <c r="C54" s="2768"/>
      <c r="D54" s="1286">
        <f t="shared" si="10"/>
        <v>0</v>
      </c>
      <c r="E54" s="822"/>
      <c r="F54" s="2499"/>
      <c r="G54" s="1284"/>
      <c r="H54" s="1288">
        <f t="shared" si="11"/>
        <v>3.7000000000000002E-3</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2947</v>
      </c>
      <c r="B55" s="2872" t="str">
        <f>估价对象房地状况!C22</f>
        <v>七通</v>
      </c>
      <c r="C55" s="2768"/>
      <c r="D55" s="1286">
        <f t="shared" si="10"/>
        <v>0</v>
      </c>
      <c r="E55" s="822"/>
      <c r="F55" s="2499"/>
      <c r="G55" s="1284"/>
      <c r="H55" s="1288">
        <f t="shared" si="11"/>
        <v>7.4999999999999997E-3</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6" t="s">
        <v>2948</v>
      </c>
      <c r="B56" s="2877" t="str">
        <f>估价对象房地状况!C20</f>
        <v>一般</v>
      </c>
      <c r="C56" s="2768"/>
      <c r="D56" s="1286">
        <f t="shared" si="10"/>
        <v>0</v>
      </c>
      <c r="E56" s="825"/>
      <c r="F56" s="2499"/>
      <c r="G56" s="1284"/>
      <c r="H56" s="1288">
        <f t="shared" si="11"/>
        <v>4.4999999999999997E-3</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2949</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2930</v>
      </c>
      <c r="B58" s="1808"/>
      <c r="C58" s="1808" t="s">
        <v>2932</v>
      </c>
      <c r="D58" s="1808" t="s">
        <v>2933</v>
      </c>
      <c r="E58" s="819" t="s">
        <v>2934</v>
      </c>
      <c r="F58" s="2869" t="s">
        <v>2950</v>
      </c>
      <c r="G58" s="1808" t="s">
        <v>754</v>
      </c>
      <c r="H58" s="2870" t="s">
        <v>2936</v>
      </c>
      <c r="I58" s="1808" t="s">
        <v>2937</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8" t="s">
        <v>2951</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8" t="s">
        <v>2939</v>
      </c>
      <c r="B60" s="2872" t="str">
        <f>估价对象房地状况!C18</f>
        <v>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2940</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2941</v>
      </c>
      <c r="B62" s="2873" t="s">
        <v>2942</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2943</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2944</v>
      </c>
      <c r="B64" s="2874" t="s">
        <v>2945</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2946</v>
      </c>
      <c r="B65" s="1724" t="str">
        <f>估价对象房地状况!C21</f>
        <v>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2947</v>
      </c>
      <c r="B66" s="1724"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6" t="s">
        <v>2948</v>
      </c>
      <c r="B67" s="2878" t="str">
        <f>估价对象房地状况!C20</f>
        <v>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2952</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2930</v>
      </c>
      <c r="B69" s="1808"/>
      <c r="C69" s="1808" t="s">
        <v>2932</v>
      </c>
      <c r="D69" s="1808" t="s">
        <v>2933</v>
      </c>
      <c r="E69" s="819" t="s">
        <v>2934</v>
      </c>
      <c r="F69" s="2869" t="s">
        <v>2950</v>
      </c>
      <c r="G69" s="1808" t="s">
        <v>754</v>
      </c>
      <c r="H69" s="2870" t="s">
        <v>2936</v>
      </c>
      <c r="I69" s="1808" t="s">
        <v>2937</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8" t="s">
        <v>2953</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8" t="s">
        <v>2939</v>
      </c>
      <c r="B71" s="2872" t="str">
        <f>估价对象房地状况!C18</f>
        <v>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2940</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2954</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2946</v>
      </c>
      <c r="B74" s="1724" t="str">
        <f>估价对象房地状况!C21</f>
        <v>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2947</v>
      </c>
      <c r="B75" s="1724"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2944</v>
      </c>
      <c r="B76" s="2874" t="s">
        <v>2945</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6">
      <c r="A77" s="2868" t="s">
        <v>2948</v>
      </c>
      <c r="B77" s="2871" t="str">
        <f>估价对象房地状况!C20</f>
        <v>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2955</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2956</v>
      </c>
      <c r="B79" s="2865">
        <f>1+E81</f>
        <v>1</v>
      </c>
      <c r="C79" s="814"/>
      <c r="D79" s="814"/>
      <c r="E79" s="815"/>
      <c r="F79" s="2867"/>
      <c r="G79" s="6"/>
      <c r="H79" s="6"/>
      <c r="I79" s="6"/>
      <c r="J79" s="7"/>
      <c r="K79" s="7"/>
      <c r="L79" s="7"/>
      <c r="M79" s="7"/>
      <c r="N79" s="7"/>
      <c r="Z79" s="2718"/>
      <c r="AA79" s="2786"/>
      <c r="AG79" s="1372"/>
      <c r="AK79" s="2786"/>
    </row>
    <row r="80" spans="1:37" ht="25.2">
      <c r="A80" s="2868" t="s">
        <v>2930</v>
      </c>
      <c r="B80" s="1808"/>
      <c r="C80" s="1808" t="s">
        <v>2932</v>
      </c>
      <c r="D80" s="1808" t="s">
        <v>2933</v>
      </c>
      <c r="E80" s="819" t="s">
        <v>2934</v>
      </c>
      <c r="F80" s="2869" t="s">
        <v>2950</v>
      </c>
      <c r="G80" s="1808" t="s">
        <v>754</v>
      </c>
      <c r="H80" s="2870" t="s">
        <v>2936</v>
      </c>
      <c r="I80" s="1808" t="s">
        <v>2937</v>
      </c>
      <c r="J80" s="603" t="s">
        <v>2588</v>
      </c>
      <c r="K80" s="603" t="s">
        <v>2589</v>
      </c>
      <c r="L80" s="603" t="s">
        <v>2590</v>
      </c>
      <c r="M80" s="603" t="s">
        <v>2591</v>
      </c>
      <c r="N80" s="603" t="s">
        <v>2592</v>
      </c>
      <c r="Z80" s="2718"/>
      <c r="AA80" s="2786"/>
      <c r="AG80" s="1372"/>
      <c r="AK80" s="2786"/>
    </row>
    <row r="81" spans="1:37" ht="39.6">
      <c r="A81" s="2868" t="s">
        <v>2957</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2939</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2940</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2954</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2946</v>
      </c>
      <c r="B85" s="1724"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2947</v>
      </c>
      <c r="B86" s="1724"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2944</v>
      </c>
      <c r="B87" s="2874" t="s">
        <v>2958</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2959</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87" t="s">
        <v>2960</v>
      </c>
      <c r="B90" s="3287"/>
      <c r="C90" s="3287"/>
      <c r="D90" s="3287"/>
      <c r="E90" s="3287"/>
      <c r="F90" s="3287"/>
      <c r="G90" s="3287"/>
      <c r="H90" s="3287"/>
      <c r="I90" s="3287"/>
      <c r="J90" s="3287"/>
      <c r="K90" s="2882"/>
      <c r="L90" s="2882"/>
      <c r="M90" s="2882"/>
      <c r="N90" s="2882"/>
    </row>
    <row r="91" spans="1:37">
      <c r="A91" s="3289" t="s">
        <v>2961</v>
      </c>
      <c r="B91" s="3289" t="s">
        <v>2962</v>
      </c>
      <c r="C91" s="2836" t="s">
        <v>2963</v>
      </c>
      <c r="D91" s="2837"/>
      <c r="E91" s="2837"/>
      <c r="F91" s="2837"/>
      <c r="G91" s="2837"/>
      <c r="H91" s="2837"/>
      <c r="I91" s="2837"/>
      <c r="J91" s="2883"/>
      <c r="K91" s="2884"/>
      <c r="L91" s="2884"/>
      <c r="M91" s="2884"/>
      <c r="N91" s="2884"/>
    </row>
    <row r="92" spans="1:37">
      <c r="A92" s="3289"/>
      <c r="B92" s="3289"/>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290" t="s">
        <v>2964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1"/>
      <c r="B99" s="2885" t="s">
        <v>2845</v>
      </c>
      <c r="C99" s="2887">
        <f>$I$3</f>
        <v>1</v>
      </c>
      <c r="D99" s="2887">
        <f t="shared" ref="D99:M99" si="30">$I$3</f>
        <v>1</v>
      </c>
      <c r="E99" s="2887">
        <f t="shared" si="30"/>
        <v>1</v>
      </c>
      <c r="F99" s="2887">
        <f t="shared" si="30"/>
        <v>1</v>
      </c>
      <c r="G99" s="2887">
        <f t="shared" si="30"/>
        <v>1</v>
      </c>
      <c r="H99" s="2887">
        <f t="shared" si="30"/>
        <v>1</v>
      </c>
      <c r="I99" s="2887">
        <f t="shared" si="30"/>
        <v>1</v>
      </c>
      <c r="J99" s="2887">
        <f t="shared" si="30"/>
        <v>1</v>
      </c>
      <c r="K99" s="2887">
        <f t="shared" si="30"/>
        <v>1</v>
      </c>
      <c r="L99" s="2887">
        <f t="shared" si="30"/>
        <v>1</v>
      </c>
      <c r="M99" s="2887">
        <f t="shared" si="30"/>
        <v>1</v>
      </c>
      <c r="N99" s="2887">
        <f>$I$3</f>
        <v>1</v>
      </c>
    </row>
    <row r="100" spans="1:14">
      <c r="A100" s="3292"/>
      <c r="B100" s="2885">
        <v>7</v>
      </c>
      <c r="C100" s="2888">
        <f>(-0.163*(C99^2)-0.59*C99+7617)*(10^(-4))</f>
        <v>0.76162470000000004</v>
      </c>
      <c r="D100" s="2888">
        <f>(-0.163*(D99^2)-0.59*D99+7617)*(10^(-4))</f>
        <v>0.76162470000000004</v>
      </c>
      <c r="E100" s="2888">
        <f>(-0.161*(E99^2)-7.509*E99+6533)*(10^(-4))</f>
        <v>0.65253300000000003</v>
      </c>
      <c r="F100" s="2888">
        <f>(-0.161*(F99^2)-7.509*F99+6533)*(10^(-4))</f>
        <v>0.65253300000000003</v>
      </c>
      <c r="G100" s="2888">
        <f>(-0.161*(G99^2)-7.509*G99+6533)*(10^(-4))</f>
        <v>0.65253300000000003</v>
      </c>
      <c r="H100" s="2888">
        <f>(-0.161*(H99^2)-7.509*H99+6533)*(10^(-4))</f>
        <v>0.65253300000000003</v>
      </c>
      <c r="I100" s="2888">
        <f>(-0.161*(I99^2)-7.509*I99+6533)*(10^(-4))</f>
        <v>0.65253300000000003</v>
      </c>
      <c r="J100" s="2888">
        <f>(-0.214*(J99^2)-21.991*J99+4665)*(10^(-4))</f>
        <v>0.46427950000000001</v>
      </c>
      <c r="K100" s="2888">
        <f>(-0.214*(K99^2)-21.991*K99+4665)*(10^(-4))</f>
        <v>0.46427950000000001</v>
      </c>
      <c r="L100" s="2888">
        <f>(-0.214*(L99^2)-21.991*L99+4665)*(10^(-4))</f>
        <v>0.46427950000000001</v>
      </c>
      <c r="M100" s="2888">
        <f>(-0.214*(M99^2)-21.991*M99+4665)*(10^(-4))</f>
        <v>0.46427950000000001</v>
      </c>
      <c r="N100" s="2888">
        <f>(-0.214*(N99^2)-21.991*N99+4665)*(10^(-4))</f>
        <v>0.46427950000000001</v>
      </c>
    </row>
    <row r="101" spans="1:14">
      <c r="A101" s="3290" t="s">
        <v>2965</v>
      </c>
      <c r="B101" s="2889" t="s">
        <v>2966</v>
      </c>
      <c r="C101" s="2890">
        <f>$G$3</f>
        <v>2</v>
      </c>
      <c r="D101" s="2890">
        <f t="shared" ref="D101:N101" si="31">$G$3</f>
        <v>2</v>
      </c>
      <c r="E101" s="2890">
        <f t="shared" si="31"/>
        <v>2</v>
      </c>
      <c r="F101" s="2890">
        <f t="shared" si="31"/>
        <v>2</v>
      </c>
      <c r="G101" s="2890">
        <f t="shared" si="31"/>
        <v>2</v>
      </c>
      <c r="H101" s="2890">
        <f t="shared" si="31"/>
        <v>2</v>
      </c>
      <c r="I101" s="2890">
        <f t="shared" si="31"/>
        <v>2</v>
      </c>
      <c r="J101" s="2890">
        <f t="shared" si="31"/>
        <v>2</v>
      </c>
      <c r="K101" s="2890">
        <f t="shared" si="31"/>
        <v>2</v>
      </c>
      <c r="L101" s="2890">
        <f t="shared" si="31"/>
        <v>2</v>
      </c>
      <c r="M101" s="2890">
        <f t="shared" si="31"/>
        <v>2</v>
      </c>
      <c r="N101" s="2890">
        <f t="shared" si="31"/>
        <v>2</v>
      </c>
    </row>
    <row r="102" spans="1:14">
      <c r="A102" s="3291"/>
      <c r="B102" s="2885">
        <v>1</v>
      </c>
      <c r="C102" s="2886">
        <f>1.9362/C101</f>
        <v>0.96809999999999996</v>
      </c>
      <c r="D102" s="2886">
        <f>1.9362/D101</f>
        <v>0.96809999999999996</v>
      </c>
      <c r="E102" s="2886">
        <f>1.8629/E101</f>
        <v>0.93145</v>
      </c>
      <c r="F102" s="2886">
        <f>1.8629/F101</f>
        <v>0.93145</v>
      </c>
      <c r="G102" s="2886">
        <f>1.8629/G101</f>
        <v>0.93145</v>
      </c>
      <c r="H102" s="2886">
        <f>1.8629/H101</f>
        <v>0.93145</v>
      </c>
      <c r="I102" s="2886">
        <f>1.8629/I101</f>
        <v>0.93145</v>
      </c>
      <c r="J102" s="2886">
        <f>1.942/J101</f>
        <v>0.97099999999999997</v>
      </c>
      <c r="K102" s="2886">
        <f>1.942/K101</f>
        <v>0.97099999999999997</v>
      </c>
      <c r="L102" s="2886">
        <f>1.942/L101</f>
        <v>0.97099999999999997</v>
      </c>
      <c r="M102" s="2886">
        <f>1.942/M101</f>
        <v>0.97099999999999997</v>
      </c>
      <c r="N102" s="2886">
        <f>1.942/N101</f>
        <v>0.97099999999999997</v>
      </c>
    </row>
    <row r="103" spans="1:14">
      <c r="A103" s="3291"/>
      <c r="B103" s="2885">
        <v>2</v>
      </c>
      <c r="C103" s="2886">
        <f>1.4198/C101</f>
        <v>0.70989999999999998</v>
      </c>
      <c r="D103" s="2886">
        <f>1.4198/D101</f>
        <v>0.70989999999999998</v>
      </c>
      <c r="E103" s="2886">
        <f>1.3372/E101</f>
        <v>0.66859999999999997</v>
      </c>
      <c r="F103" s="2886">
        <f>1.3372/F101</f>
        <v>0.66859999999999997</v>
      </c>
      <c r="G103" s="2886">
        <f>1.3372/G101</f>
        <v>0.66859999999999997</v>
      </c>
      <c r="H103" s="2886">
        <f>1.3372/H101</f>
        <v>0.66859999999999997</v>
      </c>
      <c r="I103" s="2886">
        <f>1.3372/I101</f>
        <v>0.66859999999999997</v>
      </c>
      <c r="J103" s="2886">
        <f>1.2799/J101</f>
        <v>0.63995000000000002</v>
      </c>
      <c r="K103" s="2886">
        <f>1.2799/K101</f>
        <v>0.63995000000000002</v>
      </c>
      <c r="L103" s="2886">
        <f>1.2799/L101</f>
        <v>0.63995000000000002</v>
      </c>
      <c r="M103" s="2886">
        <f>1.2799/M101</f>
        <v>0.63995000000000002</v>
      </c>
      <c r="N103" s="2886">
        <f>1.2799/N101</f>
        <v>0.63995000000000002</v>
      </c>
    </row>
    <row r="104" spans="1:14">
      <c r="A104" s="3291"/>
      <c r="B104" s="2885">
        <v>3</v>
      </c>
      <c r="C104" s="2886">
        <f>1.1594/C101</f>
        <v>0.57969999999999999</v>
      </c>
      <c r="D104" s="2886">
        <f>1.1594/D101</f>
        <v>0.57969999999999999</v>
      </c>
      <c r="E104" s="2886">
        <f>1.0788/E101</f>
        <v>0.53939999999999999</v>
      </c>
      <c r="F104" s="2886">
        <f>1.0788/F101</f>
        <v>0.53939999999999999</v>
      </c>
      <c r="G104" s="2886">
        <f>1.0788/G101</f>
        <v>0.53939999999999999</v>
      </c>
      <c r="H104" s="2886">
        <f>1.0788/H101</f>
        <v>0.53939999999999999</v>
      </c>
      <c r="I104" s="2886">
        <f>1.0788/I101</f>
        <v>0.53939999999999999</v>
      </c>
      <c r="J104" s="2886">
        <f>1.0072/J101</f>
        <v>0.50360000000000005</v>
      </c>
      <c r="K104" s="2886">
        <f>1.0072/K101</f>
        <v>0.50360000000000005</v>
      </c>
      <c r="L104" s="2886">
        <f>1.0072/L101</f>
        <v>0.50360000000000005</v>
      </c>
      <c r="M104" s="2886">
        <f>1.0072/M101</f>
        <v>0.50360000000000005</v>
      </c>
      <c r="N104" s="2886">
        <f>1.0072/N101</f>
        <v>0.50360000000000005</v>
      </c>
    </row>
    <row r="105" spans="1:14">
      <c r="A105" s="3291"/>
      <c r="B105" s="2885">
        <v>4</v>
      </c>
      <c r="C105" s="2886">
        <f>0.9622/C101</f>
        <v>0.48110000000000003</v>
      </c>
      <c r="D105" s="2886">
        <f>0.9622/D101</f>
        <v>0.48110000000000003</v>
      </c>
      <c r="E105" s="2886">
        <f>0.8656/E101</f>
        <v>0.43280000000000002</v>
      </c>
      <c r="F105" s="2886">
        <f>0.8656/F101</f>
        <v>0.43280000000000002</v>
      </c>
      <c r="G105" s="2886">
        <f>0.8656/G101</f>
        <v>0.43280000000000002</v>
      </c>
      <c r="H105" s="2886">
        <f>0.8656/H101</f>
        <v>0.43280000000000002</v>
      </c>
      <c r="I105" s="2886">
        <f>0.8656/I101</f>
        <v>0.43280000000000002</v>
      </c>
      <c r="J105" s="2886">
        <f>0.7525/J101</f>
        <v>0.37624999999999997</v>
      </c>
      <c r="K105" s="2886">
        <f>0.7525/K101</f>
        <v>0.37624999999999997</v>
      </c>
      <c r="L105" s="2886">
        <f>0.7525/L101</f>
        <v>0.37624999999999997</v>
      </c>
      <c r="M105" s="2886">
        <f>0.7525/M101</f>
        <v>0.37624999999999997</v>
      </c>
      <c r="N105" s="2886">
        <f>0.7525/N101</f>
        <v>0.37624999999999997</v>
      </c>
    </row>
    <row r="106" spans="1:14">
      <c r="A106" s="3291"/>
      <c r="B106" s="2885">
        <v>5</v>
      </c>
      <c r="C106" s="2886">
        <f>0.8417/C101</f>
        <v>0.42085</v>
      </c>
      <c r="D106" s="2886">
        <f>0.8417/D101</f>
        <v>0.42085</v>
      </c>
      <c r="E106" s="2886">
        <f>0.7371/E101</f>
        <v>0.36854999999999999</v>
      </c>
      <c r="F106" s="2886">
        <f>0.7371/F101</f>
        <v>0.36854999999999999</v>
      </c>
      <c r="G106" s="2886">
        <f>0.7371/G101</f>
        <v>0.36854999999999999</v>
      </c>
      <c r="H106" s="2886">
        <f>0.7371/H101</f>
        <v>0.36854999999999999</v>
      </c>
      <c r="I106" s="2886">
        <f>0.7371/I101</f>
        <v>0.36854999999999999</v>
      </c>
      <c r="J106" s="2886">
        <f>0.5659/J101</f>
        <v>0.28294999999999998</v>
      </c>
      <c r="K106" s="2886">
        <f>0.5659/K101</f>
        <v>0.28294999999999998</v>
      </c>
      <c r="L106" s="2886">
        <f>0.5659/L101</f>
        <v>0.28294999999999998</v>
      </c>
      <c r="M106" s="2886">
        <f>0.5659/M101</f>
        <v>0.28294999999999998</v>
      </c>
      <c r="N106" s="2886">
        <f>0.5659/N101</f>
        <v>0.28294999999999998</v>
      </c>
    </row>
    <row r="107" spans="1:14">
      <c r="A107" s="3291"/>
      <c r="B107" s="2885">
        <v>6</v>
      </c>
      <c r="C107" s="2886">
        <f>0.7608/C101</f>
        <v>0.38040000000000002</v>
      </c>
      <c r="D107" s="2886">
        <f>0.7608/D101</f>
        <v>0.38040000000000002</v>
      </c>
      <c r="E107" s="2886">
        <f>0.6482/E101</f>
        <v>0.3241</v>
      </c>
      <c r="F107" s="2886">
        <f>0.6482/F101</f>
        <v>0.3241</v>
      </c>
      <c r="G107" s="2886">
        <f>0.6482/G101</f>
        <v>0.3241</v>
      </c>
      <c r="H107" s="2886">
        <f>0.6482/H101</f>
        <v>0.3241</v>
      </c>
      <c r="I107" s="2886">
        <f>0.6482/I101</f>
        <v>0.3241</v>
      </c>
      <c r="J107" s="2886">
        <f>0.4525/J101</f>
        <v>0.22625000000000001</v>
      </c>
      <c r="K107" s="2886">
        <f>0.4525/K101</f>
        <v>0.22625000000000001</v>
      </c>
      <c r="L107" s="2886">
        <f>0.4525/L101</f>
        <v>0.22625000000000001</v>
      </c>
      <c r="M107" s="2886">
        <f>0.4525/M101</f>
        <v>0.22625000000000001</v>
      </c>
      <c r="N107" s="2886">
        <f>0.4525/N101</f>
        <v>0.22625000000000001</v>
      </c>
    </row>
    <row r="108" spans="1:14">
      <c r="A108" s="3291"/>
      <c r="B108" s="3148" t="s">
        <v>2967</v>
      </c>
      <c r="C108" s="2887">
        <f>C99</f>
        <v>1</v>
      </c>
      <c r="D108" s="2887">
        <f t="shared" ref="D108:N108" si="32">D99</f>
        <v>1</v>
      </c>
      <c r="E108" s="2887">
        <f t="shared" si="32"/>
        <v>1</v>
      </c>
      <c r="F108" s="2887">
        <f t="shared" si="32"/>
        <v>1</v>
      </c>
      <c r="G108" s="2887">
        <f t="shared" si="32"/>
        <v>1</v>
      </c>
      <c r="H108" s="2887">
        <f t="shared" si="32"/>
        <v>1</v>
      </c>
      <c r="I108" s="2887">
        <f t="shared" si="32"/>
        <v>1</v>
      </c>
      <c r="J108" s="2887">
        <f t="shared" si="32"/>
        <v>1</v>
      </c>
      <c r="K108" s="2887">
        <f t="shared" si="32"/>
        <v>1</v>
      </c>
      <c r="L108" s="2887">
        <f t="shared" si="32"/>
        <v>1</v>
      </c>
      <c r="M108" s="2887">
        <f t="shared" si="32"/>
        <v>1</v>
      </c>
      <c r="N108" s="2887">
        <f t="shared" si="32"/>
        <v>1</v>
      </c>
    </row>
    <row r="109" spans="1:14">
      <c r="A109" s="3292"/>
      <c r="B109" s="3149"/>
      <c r="C109" s="2888">
        <f>(-0.163*(C108^2)-0.59*C108+7617)*(10^(-4))/C101</f>
        <v>0.38081235000000002</v>
      </c>
      <c r="D109" s="2888">
        <f>(-0.163*(D108^2)-0.59*D108+7617)*(10^(-4))/D101</f>
        <v>0.38081235000000002</v>
      </c>
      <c r="E109" s="2888">
        <f>(-0.161*(E108^2)-7.509*E108+6533)*(10^(-4))/E101</f>
        <v>0.32626650000000001</v>
      </c>
      <c r="F109" s="2888">
        <f>(-0.161*(F108^2)-7.509*F108+6533)*(10^(-4))/F101</f>
        <v>0.32626650000000001</v>
      </c>
      <c r="G109" s="2888">
        <f>(-0.161*(G108^2)-7.509*G108+6533)*(10^(-4))/G101</f>
        <v>0.32626650000000001</v>
      </c>
      <c r="H109" s="2888">
        <f>(-0.161*(H108^2)-7.509*H108+6533)*(10^(-4))/H101</f>
        <v>0.32626650000000001</v>
      </c>
      <c r="I109" s="2888">
        <f>(-0.161*(I108^2)-7.509*I108+6533)*(10^(-4))/I101</f>
        <v>0.32626650000000001</v>
      </c>
      <c r="J109" s="2888">
        <f>(-0.214*(J108^2)-21.991*J108+4665)*(10^(-4))/J101</f>
        <v>0.23213975000000001</v>
      </c>
      <c r="K109" s="2888">
        <f>(-0.214*(K108^2)-21.991*K108+4665)*(10^(-4))/K101</f>
        <v>0.23213975000000001</v>
      </c>
      <c r="L109" s="2888">
        <f>(-0.214*(L108^2)-21.991*L108+4665)*(10^(-4))/L101</f>
        <v>0.23213975000000001</v>
      </c>
      <c r="M109" s="2888">
        <f>(-0.214*(M108^2)-21.991*M108+4665)*(10^(-4))/M101</f>
        <v>0.23213975000000001</v>
      </c>
      <c r="N109" s="2888">
        <f>(-0.214*(N108^2)-21.991*N108+4665)*(10^(-4))/N101</f>
        <v>0.23213975000000001</v>
      </c>
    </row>
    <row r="110" spans="1:14">
      <c r="A110" s="3288" t="s">
        <v>2968</v>
      </c>
      <c r="B110" s="3288"/>
      <c r="C110" s="3288"/>
      <c r="D110" s="3288"/>
      <c r="E110" s="3288"/>
      <c r="F110" s="3288"/>
      <c r="G110" s="3288"/>
      <c r="H110" s="3288"/>
      <c r="I110" s="3288"/>
      <c r="J110" s="3288"/>
      <c r="K110" s="2891"/>
      <c r="L110" s="2891"/>
      <c r="M110" s="2891"/>
      <c r="N110" s="2891"/>
    </row>
    <row r="112" spans="1:14" ht="13.8" thickBot="1"/>
    <row r="113" spans="1:13" ht="25.8" thickBot="1">
      <c r="A113" s="903" t="s">
        <v>2969</v>
      </c>
      <c r="B113" s="1287">
        <f>G3</f>
        <v>2</v>
      </c>
      <c r="C113" s="904" t="s">
        <v>2970</v>
      </c>
      <c r="D113" s="905">
        <f>SUMPRODUCT((A115:A118=F113)*(B114:M114=H113)*B115:M118)</f>
        <v>0.65800000000000003</v>
      </c>
      <c r="E113" s="2722" t="s">
        <v>2803</v>
      </c>
      <c r="F113" s="2893" t="str">
        <f>E2</f>
        <v>商业</v>
      </c>
      <c r="G113" s="2722" t="s">
        <v>2804</v>
      </c>
      <c r="H113" s="2893" t="str">
        <f>G2</f>
        <v>九级</v>
      </c>
      <c r="I113" s="2722"/>
      <c r="J113" s="2894"/>
      <c r="K113" s="2894"/>
      <c r="L113" s="2894"/>
      <c r="M113" s="2894"/>
    </row>
    <row r="114" spans="1:13">
      <c r="A114" s="908"/>
      <c r="B114" s="2895" t="s">
        <v>2971</v>
      </c>
      <c r="C114" s="2895" t="s">
        <v>2972</v>
      </c>
      <c r="D114" s="2895" t="s">
        <v>2973</v>
      </c>
      <c r="E114" s="2896" t="s">
        <v>2974</v>
      </c>
      <c r="F114" s="2896" t="s">
        <v>2975</v>
      </c>
      <c r="G114" s="2896" t="s">
        <v>2976</v>
      </c>
      <c r="H114" s="2897" t="s">
        <v>2977</v>
      </c>
      <c r="I114" s="2897" t="s">
        <v>2978</v>
      </c>
      <c r="J114" s="2898" t="s">
        <v>2979</v>
      </c>
      <c r="K114" s="2898" t="s">
        <v>2980</v>
      </c>
      <c r="L114" s="2898" t="s">
        <v>2981</v>
      </c>
      <c r="M114" s="2899" t="s">
        <v>2982</v>
      </c>
    </row>
    <row r="115" spans="1:13">
      <c r="A115" s="909" t="s">
        <v>2867</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2868</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2869</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8" thickBot="1">
      <c r="A118" s="714" t="s">
        <v>2870</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8" t="s">
        <v>614</v>
      </c>
      <c r="C61" s="818" t="s">
        <v>615</v>
      </c>
      <c r="D61" s="818" t="s">
        <v>616</v>
      </c>
      <c r="E61" s="895">
        <v>0.5</v>
      </c>
      <c r="F61" s="882">
        <v>80</v>
      </c>
    </row>
    <row r="62" spans="1:8" s="878" customFormat="1" ht="36">
      <c r="A62" s="882">
        <v>2</v>
      </c>
      <c r="B62" s="3298"/>
      <c r="C62" s="818" t="s">
        <v>617</v>
      </c>
      <c r="D62" s="818" t="s">
        <v>618</v>
      </c>
      <c r="E62" s="895">
        <v>0.5</v>
      </c>
      <c r="F62" s="882">
        <v>80</v>
      </c>
    </row>
    <row r="63" spans="1:8" s="878" customFormat="1" ht="48">
      <c r="A63" s="882">
        <v>3</v>
      </c>
      <c r="B63" s="3298"/>
      <c r="C63" s="818" t="s">
        <v>619</v>
      </c>
      <c r="D63" s="818" t="s">
        <v>620</v>
      </c>
      <c r="E63" s="895">
        <v>0.5</v>
      </c>
      <c r="F63" s="882">
        <v>80</v>
      </c>
    </row>
    <row r="64" spans="1:8" s="878" customFormat="1" ht="48">
      <c r="A64" s="882">
        <v>4</v>
      </c>
      <c r="B64" s="3298"/>
      <c r="C64" s="818" t="s">
        <v>621</v>
      </c>
      <c r="D64" s="818" t="s">
        <v>622</v>
      </c>
      <c r="E64" s="895">
        <v>0.4</v>
      </c>
      <c r="F64" s="882">
        <v>60</v>
      </c>
    </row>
    <row r="65" spans="1:6" s="878" customFormat="1" ht="48">
      <c r="A65" s="882">
        <v>5</v>
      </c>
      <c r="B65" s="3298"/>
      <c r="C65" s="818" t="s">
        <v>623</v>
      </c>
      <c r="D65" s="818" t="s">
        <v>624</v>
      </c>
      <c r="E65" s="895">
        <v>0.2</v>
      </c>
      <c r="F65" s="882">
        <v>30</v>
      </c>
    </row>
    <row r="66" spans="1:6" s="878" customFormat="1" ht="48">
      <c r="A66" s="882">
        <v>6</v>
      </c>
      <c r="B66" s="3298"/>
      <c r="C66" s="818" t="s">
        <v>625</v>
      </c>
      <c r="D66" s="818" t="s">
        <v>626</v>
      </c>
      <c r="E66" s="895">
        <v>0.3</v>
      </c>
      <c r="F66" s="882">
        <v>50</v>
      </c>
    </row>
    <row r="67" spans="1:6" s="878" customFormat="1" ht="48">
      <c r="A67" s="882">
        <v>7</v>
      </c>
      <c r="B67" s="3298"/>
      <c r="C67" s="818" t="s">
        <v>627</v>
      </c>
      <c r="D67" s="818" t="s">
        <v>628</v>
      </c>
      <c r="E67" s="895">
        <v>0.2</v>
      </c>
      <c r="F67" s="882">
        <v>30</v>
      </c>
    </row>
    <row r="68" spans="1:6" s="878" customFormat="1" ht="48">
      <c r="A68" s="882">
        <v>8</v>
      </c>
      <c r="B68" s="3298"/>
      <c r="C68" s="818" t="s">
        <v>629</v>
      </c>
      <c r="D68" s="818" t="s">
        <v>630</v>
      </c>
      <c r="E68" s="895">
        <v>0.2</v>
      </c>
      <c r="F68" s="882">
        <v>30</v>
      </c>
    </row>
    <row r="69" spans="1:6" s="878" customFormat="1" ht="48">
      <c r="A69" s="882">
        <v>9</v>
      </c>
      <c r="B69" s="3298"/>
      <c r="C69" s="818" t="s">
        <v>631</v>
      </c>
      <c r="D69" s="818" t="s">
        <v>632</v>
      </c>
      <c r="E69" s="895">
        <v>0.2</v>
      </c>
      <c r="F69" s="882">
        <v>30</v>
      </c>
    </row>
    <row r="70" spans="1:6" s="878" customFormat="1" ht="60">
      <c r="A70" s="882">
        <v>10</v>
      </c>
      <c r="B70" s="3298"/>
      <c r="C70" s="818" t="s">
        <v>633</v>
      </c>
      <c r="D70" s="818" t="s">
        <v>634</v>
      </c>
      <c r="E70" s="895">
        <v>0.2</v>
      </c>
      <c r="F70" s="882">
        <v>30</v>
      </c>
    </row>
    <row r="71" spans="1:6" s="878" customFormat="1" ht="60">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36">
      <c r="A73" s="882">
        <v>13</v>
      </c>
      <c r="B73" s="3298"/>
      <c r="C73" s="818" t="s">
        <v>639</v>
      </c>
      <c r="D73" s="818" t="s">
        <v>640</v>
      </c>
      <c r="E73" s="895">
        <v>0.4</v>
      </c>
      <c r="F73" s="882">
        <v>60</v>
      </c>
    </row>
    <row r="74" spans="1:6" s="878" customFormat="1" ht="36">
      <c r="A74" s="882">
        <v>14</v>
      </c>
      <c r="B74" s="3298"/>
      <c r="C74" s="818" t="s">
        <v>641</v>
      </c>
      <c r="D74" s="818" t="s">
        <v>642</v>
      </c>
      <c r="E74" s="895">
        <v>0.2</v>
      </c>
      <c r="F74" s="882">
        <v>30</v>
      </c>
    </row>
    <row r="75" spans="1:6" s="878" customFormat="1" ht="36">
      <c r="A75" s="882">
        <v>15</v>
      </c>
      <c r="B75" s="3298"/>
      <c r="C75" s="818" t="s">
        <v>643</v>
      </c>
      <c r="D75" s="818" t="s">
        <v>644</v>
      </c>
      <c r="E75" s="895">
        <v>0.2</v>
      </c>
      <c r="F75" s="882">
        <v>30</v>
      </c>
    </row>
    <row r="76" spans="1:6" s="878" customFormat="1" ht="36">
      <c r="A76" s="882">
        <v>16</v>
      </c>
      <c r="B76" s="3298" t="s">
        <v>645</v>
      </c>
      <c r="C76" s="818" t="s">
        <v>646</v>
      </c>
      <c r="D76" s="818" t="s">
        <v>647</v>
      </c>
      <c r="E76" s="895">
        <v>0.5</v>
      </c>
      <c r="F76" s="882">
        <v>80</v>
      </c>
    </row>
    <row r="77" spans="1:6" s="878" customFormat="1" ht="36">
      <c r="A77" s="882">
        <v>17</v>
      </c>
      <c r="B77" s="3298"/>
      <c r="C77" s="818" t="s">
        <v>648</v>
      </c>
      <c r="D77" s="818" t="s">
        <v>649</v>
      </c>
      <c r="E77" s="895">
        <v>0.5</v>
      </c>
      <c r="F77" s="882">
        <v>80</v>
      </c>
    </row>
    <row r="78" spans="1:6" s="878" customFormat="1" ht="36">
      <c r="A78" s="882">
        <v>18</v>
      </c>
      <c r="B78" s="3298"/>
      <c r="C78" s="818" t="s">
        <v>650</v>
      </c>
      <c r="D78" s="818" t="s">
        <v>651</v>
      </c>
      <c r="E78" s="895">
        <v>0.2</v>
      </c>
      <c r="F78" s="882">
        <v>30</v>
      </c>
    </row>
    <row r="79" spans="1:6" s="878" customFormat="1" ht="36">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60">
      <c r="A82" s="882">
        <v>22</v>
      </c>
      <c r="B82" s="3298"/>
      <c r="C82" s="818" t="s">
        <v>658</v>
      </c>
      <c r="D82" s="818" t="s">
        <v>659</v>
      </c>
      <c r="E82" s="895">
        <v>0.2</v>
      </c>
      <c r="F82" s="882">
        <v>30</v>
      </c>
    </row>
    <row r="83" spans="1:6" s="878" customFormat="1" ht="60">
      <c r="A83" s="882">
        <v>23</v>
      </c>
      <c r="B83" s="3298"/>
      <c r="C83" s="818" t="s">
        <v>660</v>
      </c>
      <c r="D83" s="818" t="s">
        <v>661</v>
      </c>
      <c r="E83" s="895">
        <v>0.2</v>
      </c>
      <c r="F83" s="882">
        <v>30</v>
      </c>
    </row>
    <row r="84" spans="1:6" s="878" customFormat="1" ht="48">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36">
      <c r="A89" s="882">
        <v>29</v>
      </c>
      <c r="B89" s="3298"/>
      <c r="C89" s="818" t="s">
        <v>672</v>
      </c>
      <c r="D89" s="818" t="s">
        <v>673</v>
      </c>
      <c r="E89" s="895">
        <v>0.2</v>
      </c>
      <c r="F89" s="882">
        <v>30</v>
      </c>
    </row>
    <row r="90" spans="1:6" s="878" customFormat="1" ht="36">
      <c r="A90" s="882">
        <v>30</v>
      </c>
      <c r="B90" s="3298"/>
      <c r="C90" s="818" t="s">
        <v>674</v>
      </c>
      <c r="D90" s="818" t="s">
        <v>675</v>
      </c>
      <c r="E90" s="895">
        <v>0.2</v>
      </c>
      <c r="F90" s="882">
        <v>30</v>
      </c>
    </row>
    <row r="91" spans="1:6" s="878" customFormat="1" ht="48">
      <c r="A91" s="882">
        <v>31</v>
      </c>
      <c r="B91" s="3298"/>
      <c r="C91" s="818" t="s">
        <v>676</v>
      </c>
      <c r="D91" s="818" t="s">
        <v>677</v>
      </c>
      <c r="E91" s="895">
        <v>0.2</v>
      </c>
      <c r="F91" s="882">
        <v>30</v>
      </c>
    </row>
    <row r="92" spans="1:6" s="878" customFormat="1" ht="36">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60">
      <c r="A94" s="882">
        <v>34</v>
      </c>
      <c r="B94" s="3298"/>
      <c r="C94" s="882" t="s">
        <v>683</v>
      </c>
      <c r="D94" s="818" t="s">
        <v>684</v>
      </c>
      <c r="E94" s="895">
        <v>0.2</v>
      </c>
      <c r="F94" s="882">
        <v>30</v>
      </c>
    </row>
    <row r="95" spans="1:6" s="878" customFormat="1" ht="48">
      <c r="A95" s="882">
        <v>35</v>
      </c>
      <c r="B95" s="3298"/>
      <c r="C95" s="882" t="s">
        <v>685</v>
      </c>
      <c r="D95" s="818" t="s">
        <v>686</v>
      </c>
      <c r="E95" s="895">
        <v>0.2</v>
      </c>
      <c r="F95" s="882">
        <v>30</v>
      </c>
    </row>
    <row r="96" spans="1:6" s="878" customFormat="1" ht="72">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36">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8" t="s">
        <v>708</v>
      </c>
      <c r="C105" s="882" t="s">
        <v>709</v>
      </c>
      <c r="D105" s="818" t="s">
        <v>710</v>
      </c>
      <c r="E105" s="895">
        <v>0.2</v>
      </c>
      <c r="F105" s="882">
        <v>30</v>
      </c>
    </row>
    <row r="106" spans="1:6" s="878" customFormat="1" ht="48">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48">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8" t="s">
        <v>724</v>
      </c>
      <c r="C111" s="882" t="s">
        <v>725</v>
      </c>
      <c r="D111" s="818" t="s">
        <v>726</v>
      </c>
      <c r="E111" s="895">
        <v>0.2</v>
      </c>
      <c r="F111" s="882">
        <v>30</v>
      </c>
    </row>
    <row r="112" spans="1:6" s="878" customFormat="1" ht="36">
      <c r="A112" s="882">
        <v>52</v>
      </c>
      <c r="B112" s="3298"/>
      <c r="C112" s="882" t="s">
        <v>727</v>
      </c>
      <c r="D112" s="818" t="s">
        <v>728</v>
      </c>
      <c r="E112" s="895">
        <v>0.2</v>
      </c>
      <c r="F112" s="882">
        <v>30</v>
      </c>
    </row>
    <row r="113" spans="1:6" s="878" customFormat="1" ht="36">
      <c r="A113" s="882">
        <v>53</v>
      </c>
      <c r="B113" s="329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2991</v>
      </c>
    </row>
    <row r="2" spans="1:5" ht="15.6">
      <c r="A2" s="2900" t="s">
        <v>2983</v>
      </c>
      <c r="B2" s="2901">
        <f ca="1">SUMIF(B6:B13,"&lt;&gt;#ref!",B6:B13)</f>
        <v>2690</v>
      </c>
      <c r="C2" s="2900" t="s">
        <v>2984</v>
      </c>
      <c r="D2" s="2900" t="s">
        <v>2985</v>
      </c>
      <c r="E2" s="2901">
        <f ca="1">SUMIF(E6:E13,"&lt;&gt;#ref!",E6:E13)</f>
        <v>9152.0400000000009</v>
      </c>
    </row>
    <row r="3" spans="1:5" ht="15.6">
      <c r="A3" s="2900" t="s">
        <v>2986</v>
      </c>
      <c r="B3" s="2901">
        <f ca="1">ROUND(B2*10000/E2,0)</f>
        <v>2939</v>
      </c>
      <c r="C3" s="2900" t="s">
        <v>2992</v>
      </c>
      <c r="D3" s="2902"/>
      <c r="E3" s="2902"/>
    </row>
    <row r="4" spans="1:5" ht="15.6">
      <c r="A4" s="2903"/>
      <c r="B4" s="2902"/>
      <c r="C4" s="2902"/>
      <c r="D4" s="2902"/>
      <c r="E4" s="2902"/>
    </row>
    <row r="5" spans="1:5" ht="31.2">
      <c r="A5" s="2904" t="s">
        <v>2987</v>
      </c>
      <c r="B5" s="2900" t="s">
        <v>2988</v>
      </c>
      <c r="C5" s="2901"/>
      <c r="D5" s="2902"/>
      <c r="E5" s="2900" t="s">
        <v>2989</v>
      </c>
    </row>
    <row r="6" spans="1:5" ht="15.6">
      <c r="A6" s="2905" t="s">
        <v>2990</v>
      </c>
      <c r="B6" s="2901">
        <f ca="1">SUMIF(INDIRECT("'"&amp;A6&amp;"'"&amp;"!A:A"),"总价",INDIRECT("'"&amp;A6&amp;"'"&amp;"!B:B"))</f>
        <v>2690</v>
      </c>
      <c r="C6" s="2900" t="s">
        <v>2984</v>
      </c>
      <c r="D6" s="2902"/>
      <c r="E6" s="2573">
        <f ca="1">SUMIF(INDIRECT("'"&amp;A6&amp;"'"&amp;"!C:C"),"建筑面积",INDIRECT("'"&amp;A6&amp;"'"&amp;"!D:D"))</f>
        <v>9152.0400000000009</v>
      </c>
    </row>
    <row r="7" spans="1:5" ht="15.6">
      <c r="A7" s="2905"/>
      <c r="B7" s="2901" t="e">
        <f ca="1">SUMIF(INDIRECT("'"&amp;A7&amp;"'"&amp;"!A:A"),"总价",INDIRECT("'"&amp;A7&amp;"'"&amp;"!B:B"))</f>
        <v>#REF!</v>
      </c>
      <c r="C7" s="2900" t="s">
        <v>2984</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2984</v>
      </c>
      <c r="D8" s="2902"/>
      <c r="E8" s="2573" t="e">
        <f t="shared" ca="1" si="0"/>
        <v>#REF!</v>
      </c>
    </row>
    <row r="9" spans="1:5" ht="15.6">
      <c r="A9" s="2905"/>
      <c r="B9" s="2901" t="e">
        <f t="shared" ca="1" si="1"/>
        <v>#REF!</v>
      </c>
      <c r="C9" s="2900" t="s">
        <v>2984</v>
      </c>
      <c r="D9" s="2902"/>
      <c r="E9" s="2573" t="e">
        <f t="shared" ca="1" si="0"/>
        <v>#REF!</v>
      </c>
    </row>
    <row r="10" spans="1:5" ht="15.6">
      <c r="A10" s="2905"/>
      <c r="B10" s="2901" t="e">
        <f t="shared" ca="1" si="1"/>
        <v>#REF!</v>
      </c>
      <c r="C10" s="2900" t="s">
        <v>2984</v>
      </c>
      <c r="D10" s="2902"/>
      <c r="E10" s="2573" t="e">
        <f t="shared" ca="1" si="0"/>
        <v>#REF!</v>
      </c>
    </row>
    <row r="11" spans="1:5" ht="15.6">
      <c r="A11" s="2905"/>
      <c r="B11" s="2901" t="e">
        <f t="shared" ca="1" si="1"/>
        <v>#REF!</v>
      </c>
      <c r="C11" s="2900" t="s">
        <v>2984</v>
      </c>
      <c r="D11" s="2902"/>
      <c r="E11" s="2573" t="e">
        <f t="shared" ca="1" si="0"/>
        <v>#REF!</v>
      </c>
    </row>
    <row r="12" spans="1:5" ht="15.6">
      <c r="A12" s="2905"/>
      <c r="B12" s="2901" t="e">
        <f t="shared" ca="1" si="1"/>
        <v>#REF!</v>
      </c>
      <c r="C12" s="2900" t="s">
        <v>2984</v>
      </c>
      <c r="D12" s="2902"/>
      <c r="E12" s="2573" t="e">
        <f t="shared" ca="1" si="0"/>
        <v>#REF!</v>
      </c>
    </row>
    <row r="13" spans="1:5" ht="15.6">
      <c r="A13" s="2905"/>
      <c r="B13" s="2901" t="e">
        <f t="shared" ca="1" si="1"/>
        <v>#REF!</v>
      </c>
      <c r="C13" s="2900" t="s">
        <v>2984</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1" sqref="W21"/>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4" t="s">
        <v>1145</v>
      </c>
      <c r="C1" s="3304"/>
      <c r="D1" s="3304"/>
      <c r="E1" s="3304"/>
      <c r="F1" s="3304"/>
      <c r="G1" s="3303" t="s">
        <v>1146</v>
      </c>
      <c r="H1" s="3303"/>
      <c r="I1" s="3303"/>
      <c r="J1" s="3303"/>
      <c r="K1" s="3303"/>
      <c r="L1" s="3303"/>
      <c r="N1" s="3303" t="s">
        <v>1147</v>
      </c>
      <c r="O1" s="3303"/>
      <c r="P1" s="3303"/>
      <c r="Q1" s="3303"/>
      <c r="R1" s="1446"/>
      <c r="S1" s="3303" t="s">
        <v>1148</v>
      </c>
      <c r="T1" s="3303"/>
      <c r="U1" s="3303"/>
      <c r="V1" s="3303"/>
      <c r="X1" s="3302" t="s">
        <v>1149</v>
      </c>
      <c r="Y1" s="3303"/>
      <c r="Z1" s="3303"/>
      <c r="AA1" s="3303"/>
      <c r="AB1" s="3303"/>
      <c r="AD1" s="3302" t="s">
        <v>1150</v>
      </c>
      <c r="AE1" s="3303"/>
      <c r="AF1" s="3303"/>
      <c r="AG1" s="3303"/>
      <c r="AH1" s="3303"/>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4">
      <c r="A3" s="2925" t="s">
        <v>3026</v>
      </c>
      <c r="B3" s="2917"/>
      <c r="C3" s="2917"/>
      <c r="D3" s="2918"/>
      <c r="E3" s="2918"/>
      <c r="F3" s="2917"/>
      <c r="G3" s="2919"/>
      <c r="H3" s="2920"/>
      <c r="I3" s="2921">
        <f>ROUND(AVERAGE($I4:$I30),2)</f>
        <v>1.85</v>
      </c>
      <c r="J3" s="2921">
        <f>ROUND(AVERAGE($J4:$J30),2)</f>
        <v>1.28</v>
      </c>
      <c r="K3" s="2921">
        <f>ROUND(AVERAGE($K4:$K30),2)</f>
        <v>2.0299999999999998</v>
      </c>
      <c r="L3" s="2921">
        <f>ROUND(AVERAGE($L4:$L30),2)</f>
        <v>1.31</v>
      </c>
      <c r="N3" s="2919"/>
      <c r="O3" s="2922"/>
      <c r="P3" s="2922"/>
      <c r="Q3" s="2922"/>
      <c r="R3" s="2922"/>
      <c r="S3" s="2919"/>
      <c r="T3" s="2922"/>
      <c r="U3" s="2922"/>
      <c r="V3" s="2922"/>
      <c r="W3" s="2914"/>
      <c r="X3" s="2923">
        <f>ROUND(SUMPRODUCT(PRODUCT(1+N3:N$29)),4)</f>
        <v>1.5605</v>
      </c>
      <c r="Y3" s="2923">
        <f>ROUND(SUMPRODUCT(PRODUCT(1+O3:O$29)),4)</f>
        <v>1.3577999999999999</v>
      </c>
      <c r="Z3" s="2923">
        <f t="shared" ref="Z3:Z27" si="0">Y3</f>
        <v>1.3577999999999999</v>
      </c>
      <c r="AA3" s="2923">
        <f>ROUND(SUMPRODUCT(PRODUCT(1+P3:P$29)),4)</f>
        <v>1.6254999999999999</v>
      </c>
      <c r="AB3" s="2923">
        <f>ROUND(SUMPRODUCT(PRODUCT(1+Q3:Q$29)),4)</f>
        <v>1.3815999999999999</v>
      </c>
      <c r="AD3" s="2924">
        <f>ROUND(AVERAGE(I3:I$30)/100,4)</f>
        <v>1.8499999999999999E-2</v>
      </c>
      <c r="AE3" s="2924">
        <f>ROUND(AVERAGE(J3:J$30)/100,4)</f>
        <v>1.2800000000000001E-2</v>
      </c>
      <c r="AF3" s="2924">
        <f t="shared" ref="AF3:AF28" si="1">AE3</f>
        <v>1.2800000000000001E-2</v>
      </c>
      <c r="AG3" s="2924">
        <f>ROUND(AVERAGE(K3:K$30)/100,4)</f>
        <v>2.0299999999999999E-2</v>
      </c>
      <c r="AH3" s="2924">
        <f>ROUND(AVERAGE(L3:L$30)/100,4)</f>
        <v>1.3100000000000001E-2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3263</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87">
        <v>2020</v>
      </c>
      <c r="H5" s="1729">
        <v>2</v>
      </c>
      <c r="I5" s="2912">
        <v>0</v>
      </c>
      <c r="J5" s="2912">
        <v>0</v>
      </c>
      <c r="K5" s="2912">
        <v>0</v>
      </c>
      <c r="L5" s="2912">
        <v>0</v>
      </c>
      <c r="N5" s="1467">
        <f t="shared" ref="N5" si="7">I5/100</f>
        <v>0</v>
      </c>
      <c r="O5" s="1467">
        <f t="shared" ref="O5" si="8">J5/100</f>
        <v>0</v>
      </c>
      <c r="P5" s="1467">
        <f t="shared" ref="P5" si="9">K5/100</f>
        <v>0</v>
      </c>
      <c r="Q5" s="1467">
        <f t="shared" ref="Q5" si="10">L5/100</f>
        <v>0</v>
      </c>
      <c r="R5" s="1731"/>
      <c r="S5" s="1732"/>
      <c r="T5" s="1731"/>
      <c r="U5" s="1731"/>
      <c r="V5" s="1731"/>
      <c r="W5" s="2915" t="s">
        <v>3027</v>
      </c>
      <c r="X5" s="1725">
        <f>ROUND(IF(项目基本情况!B7="出让",SUMPRODUCT(PRODUCT(1+N5:N$30)),SUMPRODUCT(PRODUCT(1+N5:N$29))),4)</f>
        <v>1.5605</v>
      </c>
      <c r="Y5" s="1725">
        <f>ROUND(IF(项目基本情况!B7="出让",SUMPRODUCT(PRODUCT(1+O5:O$30)),SUMPRODUCT(PRODUCT(1+O5:O$29))),4)</f>
        <v>1.3577999999999999</v>
      </c>
      <c r="Z5" s="1725">
        <f t="shared" ref="Z5" si="11">Y5</f>
        <v>1.3577999999999999</v>
      </c>
      <c r="AA5" s="1725">
        <f>ROUND(IF(项目基本情况!B7="出让",SUMPRODUCT(PRODUCT(1+P5:P$30)),SUMPRODUCT(PRODUCT(1+P5:P$29))),4)</f>
        <v>1.6254999999999999</v>
      </c>
      <c r="AB5" s="1725">
        <f>ROUND(IF(项目基本情况!B7="出让",SUMPRODUCT(PRODUCT(1+Q5:Q$30)),SUMPRODUCT(PRODUCT(1+Q5:Q$29))),4)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3264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87">
        <v>2020</v>
      </c>
      <c r="H6" s="1464">
        <v>1</v>
      </c>
      <c r="I6" s="1464">
        <v>0.12</v>
      </c>
      <c r="J6" s="1464">
        <v>-0.4</v>
      </c>
      <c r="K6" s="1464">
        <v>0.21</v>
      </c>
      <c r="L6" s="147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81">
        <f>E6/E7-1</f>
        <v>2.0999999999999908E-3</v>
      </c>
      <c r="V6" s="1481">
        <f>F6/F7-1</f>
        <v>2.6999999999999247E-3</v>
      </c>
      <c r="W6" s="1789"/>
      <c r="X6" s="1787">
        <f>ROUND(IF(项目基本情况!B8="出让",SUMPRODUCT(PRODUCT(1+N6:N$30)),SUMPRODUCT(PRODUCT(1+N6:N$29))),4)</f>
        <v>1.5605</v>
      </c>
      <c r="Y6" s="1787">
        <f>ROUND(IF(项目基本情况!B8="出让",SUMPRODUCT(PRODUCT(1+O6:O$30)),SUMPRODUCT(PRODUCT(1+O6:O$29))),4)</f>
        <v>1.3577999999999999</v>
      </c>
      <c r="Z6" s="1787">
        <f t="shared" ref="Z6" si="23">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4">AE6</f>
        <v>1.3299999999999999E-2</v>
      </c>
      <c r="AG6" s="1788">
        <f>ROUND(AVERAGE(K6:K$30)/100,4)</f>
        <v>2.1100000000000001E-2</v>
      </c>
      <c r="AH6" s="1788">
        <f>ROUND(AVERAGE(L6:L$30)/100,4)</f>
        <v>1.3599999999999999E-2</v>
      </c>
    </row>
    <row r="7" spans="1:34" s="1466" customFormat="1">
      <c r="A7" s="1461" t="s">
        <v>3044</v>
      </c>
      <c r="B7" s="1477">
        <f t="shared" ref="B7" si="25">B8*(1+N7)</f>
        <v>479.34737379023579</v>
      </c>
      <c r="C7" s="1477">
        <f t="shared" ref="C7" si="26">C8*(1+O7)</f>
        <v>351.4265287986122</v>
      </c>
      <c r="D7" s="1477">
        <f t="shared" ref="D7" si="27">C7</f>
        <v>351.4265287986122</v>
      </c>
      <c r="E7" s="1477">
        <f t="shared" ref="E7" si="28">E8*(1+P7)</f>
        <v>685.98209703803116</v>
      </c>
      <c r="F7" s="1477">
        <f t="shared" ref="F7" si="29">F8*(1+Q7)</f>
        <v>316.78315206651001</v>
      </c>
      <c r="G7" s="2950">
        <v>2019</v>
      </c>
      <c r="H7" s="1464">
        <v>4</v>
      </c>
      <c r="I7" s="1464">
        <v>0.45</v>
      </c>
      <c r="J7" s="1464">
        <v>-0.12</v>
      </c>
      <c r="K7" s="1464">
        <v>0.54</v>
      </c>
      <c r="L7" s="1478">
        <v>0.48</v>
      </c>
      <c r="M7" s="1471"/>
      <c r="N7" s="1472">
        <f t="shared" ref="N7:N12" si="30">I7/100</f>
        <v>4.5000000000000005E-3</v>
      </c>
      <c r="O7" s="1473">
        <f t="shared" ref="O7" si="31">J7/100</f>
        <v>-1.1999999999999999E-3</v>
      </c>
      <c r="P7" s="1473">
        <f t="shared" ref="P7" si="32">K7/100</f>
        <v>5.4000000000000003E-3</v>
      </c>
      <c r="Q7" s="1473">
        <f t="shared" ref="Q7" si="33">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4">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5">AE7</f>
        <v>1.4E-2</v>
      </c>
      <c r="AG7" s="1788">
        <f>ROUND(AVERAGE(K7:K$30)/100,4)</f>
        <v>2.1899999999999999E-2</v>
      </c>
      <c r="AH7" s="1788">
        <f>ROUND(AVERAGE(L7:L$30)/100,4)</f>
        <v>1.4E-2</v>
      </c>
    </row>
    <row r="8" spans="1:34" s="1466" customFormat="1" ht="13.8" thickBot="1">
      <c r="A8" s="1461" t="s">
        <v>3040</v>
      </c>
      <c r="B8" s="1477">
        <f t="shared" ref="B8" si="36">B9*(1+N8)</f>
        <v>477.19997390765138</v>
      </c>
      <c r="C8" s="1477">
        <f t="shared" ref="C8" si="37">C9*(1+O8)</f>
        <v>351.84874729536665</v>
      </c>
      <c r="D8" s="1477">
        <f t="shared" ref="D8" si="38">C8</f>
        <v>351.84874729536665</v>
      </c>
      <c r="E8" s="1477">
        <f t="shared" ref="E8" si="39">E9*(1+P8)</f>
        <v>682.29768951465201</v>
      </c>
      <c r="F8" s="1477">
        <f t="shared" ref="F8" si="40">F9*(1+Q8)</f>
        <v>315.26985675409043</v>
      </c>
      <c r="G8" s="2949">
        <v>2019</v>
      </c>
      <c r="H8" s="1464">
        <v>3</v>
      </c>
      <c r="I8" s="1464">
        <v>0.61</v>
      </c>
      <c r="J8" s="1464">
        <v>0.67</v>
      </c>
      <c r="K8" s="1464">
        <v>0.6</v>
      </c>
      <c r="L8" s="1478">
        <v>1.03</v>
      </c>
      <c r="M8" s="1471"/>
      <c r="N8" s="1472">
        <f t="shared" si="30"/>
        <v>6.0999999999999995E-3</v>
      </c>
      <c r="O8" s="1473">
        <f t="shared" ref="O8" si="41">J8/100</f>
        <v>6.7000000000000002E-3</v>
      </c>
      <c r="P8" s="1473">
        <f t="shared" ref="P8" si="42">K8/100</f>
        <v>6.0000000000000001E-3</v>
      </c>
      <c r="Q8" s="1473">
        <f t="shared" ref="Q8" si="43">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4">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5">AE8</f>
        <v>1.47E-2</v>
      </c>
      <c r="AG8" s="1788">
        <f>ROUND(AVERAGE(K8:K$30)/100,4)</f>
        <v>2.2599999999999999E-2</v>
      </c>
      <c r="AH8" s="1788">
        <f>ROUND(AVERAGE(L8:L$30)/100,4)</f>
        <v>1.44E-2</v>
      </c>
    </row>
    <row r="9" spans="1:34" s="1466" customFormat="1">
      <c r="A9" s="1461" t="s">
        <v>3038</v>
      </c>
      <c r="B9" s="1477">
        <f t="shared" ref="B9" si="46">B10*(1+N9)</f>
        <v>474.30670301923408</v>
      </c>
      <c r="C9" s="1477">
        <f t="shared" ref="C9" si="47">C10*(1+O9)</f>
        <v>349.50705005996491</v>
      </c>
      <c r="D9" s="1477">
        <f t="shared" ref="D9" si="48">C9</f>
        <v>349.50705005996491</v>
      </c>
      <c r="E9" s="1477">
        <f t="shared" ref="E9" si="49">E10*(1+P9)</f>
        <v>678.22831959706957</v>
      </c>
      <c r="F9" s="1477">
        <f t="shared" ref="F9" si="50">F10*(1+Q9)</f>
        <v>312.0556832169558</v>
      </c>
      <c r="G9" s="2945">
        <v>2019</v>
      </c>
      <c r="H9" s="1462">
        <v>2</v>
      </c>
      <c r="I9" s="1462">
        <v>1.53</v>
      </c>
      <c r="J9" s="1462">
        <v>1.01</v>
      </c>
      <c r="K9" s="1462">
        <v>1.62</v>
      </c>
      <c r="L9" s="1463">
        <v>1.25</v>
      </c>
      <c r="M9" s="1471"/>
      <c r="N9" s="1472">
        <f t="shared" si="30"/>
        <v>1.5300000000000001E-2</v>
      </c>
      <c r="O9" s="1473">
        <f t="shared" ref="O9" si="51">J9/100</f>
        <v>1.01E-2</v>
      </c>
      <c r="P9" s="1473">
        <f t="shared" ref="P9" si="52">K9/100</f>
        <v>1.6200000000000003E-2</v>
      </c>
      <c r="Q9" s="1473">
        <f t="shared" ref="Q9" si="53">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4">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5">AE9</f>
        <v>1.4999999999999999E-2</v>
      </c>
      <c r="AG9" s="1788">
        <f>ROUND(AVERAGE(K9:K$30)/100,4)</f>
        <v>2.3300000000000001E-2</v>
      </c>
      <c r="AH9" s="1788">
        <f>ROUND(AVERAGE(L9:L$30)/100,4)</f>
        <v>1.46E-2</v>
      </c>
    </row>
    <row r="10" spans="1:34" s="1466" customFormat="1" ht="13.8" thickBot="1">
      <c r="A10" s="1461" t="s">
        <v>3036</v>
      </c>
      <c r="B10" s="1477">
        <f t="shared" ref="B10" si="56">B11*(1+N10)</f>
        <v>467.15916775261894</v>
      </c>
      <c r="C10" s="1477">
        <f t="shared" ref="C10" si="57">C11*(1+O10)</f>
        <v>346.01232557169084</v>
      </c>
      <c r="D10" s="1477">
        <f t="shared" ref="D10" si="58">C10</f>
        <v>346.01232557169084</v>
      </c>
      <c r="E10" s="1477">
        <f t="shared" ref="E10" si="59">E11*(1+P10)</f>
        <v>667.41617752122568</v>
      </c>
      <c r="F10" s="1477">
        <f t="shared" ref="F10" si="60">F11*(1+Q10)</f>
        <v>308.20314391798104</v>
      </c>
      <c r="G10" s="2929">
        <v>2019</v>
      </c>
      <c r="H10" s="1464">
        <v>1</v>
      </c>
      <c r="I10" s="1464">
        <v>0.6</v>
      </c>
      <c r="J10" s="1464">
        <v>0.37</v>
      </c>
      <c r="K10" s="1464">
        <v>0.63</v>
      </c>
      <c r="L10" s="1478">
        <v>1.1299999999999999</v>
      </c>
      <c r="M10" s="1471"/>
      <c r="N10" s="1472">
        <f t="shared" si="30"/>
        <v>6.0000000000000001E-3</v>
      </c>
      <c r="O10" s="1473">
        <f t="shared" ref="O10" si="61">J10/100</f>
        <v>3.7000000000000002E-3</v>
      </c>
      <c r="P10" s="1473">
        <f t="shared" ref="P10" si="62">K10/100</f>
        <v>6.3E-3</v>
      </c>
      <c r="Q10" s="1473">
        <f t="shared" ref="Q10" si="63">L10/100</f>
        <v>1.1299999999999999E-2</v>
      </c>
      <c r="R10" s="1474"/>
      <c r="S10" s="1472">
        <f>B10/B11-1</f>
        <v>6.0000000000000053E-3</v>
      </c>
      <c r="T10" s="1473">
        <f t="shared" ref="T10" si="64">C10/C11-1</f>
        <v>3.7000000000000366E-3</v>
      </c>
      <c r="U10" s="1481">
        <f>E10/E11-1</f>
        <v>6.2999999999999723E-3</v>
      </c>
      <c r="V10" s="1481">
        <f>F10/F11-1</f>
        <v>1.1300000000000088E-2</v>
      </c>
      <c r="W10" s="1789"/>
      <c r="X10" s="1787">
        <f>ROUND(IF(项目基本情况!B8="出让",SUMPRODUCT(PRODUCT(1+N10:N$30)),SUMPRODUCT(PRODUCT(1+N10:N$29))),4)</f>
        <v>1.5189999999999999</v>
      </c>
      <c r="Y10" s="1787">
        <f>ROUND(IF(项目基本情况!B8="出让",SUMPRODUCT(PRODUCT(1+O10:O$30)),SUMPRODUCT(PRODUCT(1+O10:O$29))),4)</f>
        <v>1.3423</v>
      </c>
      <c r="Z10" s="1787">
        <f t="shared" ref="Z10" si="65">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66">AE10</f>
        <v>1.5299999999999999E-2</v>
      </c>
      <c r="AG10" s="1788">
        <f>ROUND(AVERAGE(K10:K$30)/100,4)</f>
        <v>2.3699999999999999E-2</v>
      </c>
      <c r="AH10" s="1788">
        <f>ROUND(AVERAGE(L10:L$30)/100,4)</f>
        <v>1.47E-2</v>
      </c>
    </row>
    <row r="11" spans="1:34" s="1466" customFormat="1">
      <c r="A11" s="1461" t="s">
        <v>3039</v>
      </c>
      <c r="B11" s="2946">
        <f t="shared" ref="B11" si="67">B12*(1+N11)</f>
        <v>464.37293017158942</v>
      </c>
      <c r="C11" s="2946">
        <f t="shared" ref="C11" si="68">C12*(1+O11)</f>
        <v>344.73679941385956</v>
      </c>
      <c r="D11" s="2946">
        <f t="shared" ref="D11" si="69">C11</f>
        <v>344.73679941385956</v>
      </c>
      <c r="E11" s="2946">
        <f t="shared" ref="E11" si="70">E12*(1+P11)</f>
        <v>663.2377795103107</v>
      </c>
      <c r="F11" s="2947">
        <f t="shared" ref="F11" si="71">F12*(1+Q11)</f>
        <v>304.75936311478398</v>
      </c>
      <c r="G11" s="3300">
        <v>2018</v>
      </c>
      <c r="H11" s="1462">
        <v>4</v>
      </c>
      <c r="I11" s="1462">
        <v>0.96</v>
      </c>
      <c r="J11" s="1462">
        <v>1.03</v>
      </c>
      <c r="K11" s="1462">
        <v>0.92</v>
      </c>
      <c r="L11" s="1463">
        <v>1.29</v>
      </c>
      <c r="M11" s="1471"/>
      <c r="N11" s="1472">
        <f t="shared" si="30"/>
        <v>9.5999999999999992E-3</v>
      </c>
      <c r="O11" s="1473">
        <f t="shared" ref="O11" si="72">J11/100</f>
        <v>1.03E-2</v>
      </c>
      <c r="P11" s="1473">
        <f t="shared" ref="P11" si="73">K11/100</f>
        <v>9.1999999999999998E-3</v>
      </c>
      <c r="Q11" s="1473">
        <f t="shared" ref="Q11" si="74">L11/100</f>
        <v>1.29E-2</v>
      </c>
      <c r="R11" s="1474"/>
      <c r="S11" s="1472"/>
      <c r="T11" s="1473"/>
      <c r="U11" s="1473"/>
      <c r="V11" s="1473"/>
      <c r="W11" s="1789"/>
      <c r="X11" s="1787">
        <f>ROUND(SUMPRODUCT(PRODUCT(1+N11:N$29)),4)</f>
        <v>1.5099</v>
      </c>
      <c r="Y11" s="1787">
        <f>ROUND(SUMPRODUCT(PRODUCT(1+O11:O$29)),4)</f>
        <v>1.3372999999999999</v>
      </c>
      <c r="Z11" s="1787">
        <f t="shared" ref="Z11" si="75">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76">AE11</f>
        <v>1.5800000000000002E-2</v>
      </c>
      <c r="AG11" s="1788">
        <f>ROUND(AVERAGE(K11:K$30)/100,4)</f>
        <v>2.4500000000000001E-2</v>
      </c>
      <c r="AH11" s="1788">
        <f>ROUND(AVERAGE(L11:L$30)/100,4)</f>
        <v>1.49E-2</v>
      </c>
    </row>
    <row r="12" spans="1:34" s="1466" customFormat="1" ht="14.4" customHeight="1">
      <c r="A12" s="1461" t="s">
        <v>3033</v>
      </c>
      <c r="B12" s="1477">
        <f t="shared" ref="B12" si="77">B13*(1+N12)</f>
        <v>459.95733971036987</v>
      </c>
      <c r="C12" s="1477">
        <f t="shared" ref="C12" si="78">C13*(1+O12)</f>
        <v>341.22221064422405</v>
      </c>
      <c r="D12" s="1477">
        <f t="shared" ref="D12" si="79">C12</f>
        <v>341.22221064422405</v>
      </c>
      <c r="E12" s="1477">
        <f t="shared" ref="E12" si="80">E13*(1+P12)</f>
        <v>657.19161663724799</v>
      </c>
      <c r="F12" s="1477">
        <f t="shared" ref="F12" si="81">F13*(1+Q12)</f>
        <v>300.87803644464805</v>
      </c>
      <c r="G12" s="3300"/>
      <c r="H12" s="1464">
        <v>3</v>
      </c>
      <c r="I12" s="1464">
        <v>1.51</v>
      </c>
      <c r="J12" s="1464">
        <v>1.41</v>
      </c>
      <c r="K12" s="1464">
        <v>1.52</v>
      </c>
      <c r="L12" s="1478">
        <v>1.74</v>
      </c>
      <c r="M12" s="1471"/>
      <c r="N12" s="1472">
        <f t="shared" si="30"/>
        <v>1.5100000000000001E-2</v>
      </c>
      <c r="O12" s="1473">
        <f t="shared" ref="O12" si="82">J12/100</f>
        <v>1.41E-2</v>
      </c>
      <c r="P12" s="1473">
        <f t="shared" ref="P12" si="83">K12/100</f>
        <v>1.52E-2</v>
      </c>
      <c r="Q12" s="1473">
        <f t="shared" ref="Q12" si="84">L12/100</f>
        <v>1.7399999999999999E-2</v>
      </c>
      <c r="R12" s="1474"/>
      <c r="S12" s="1472"/>
      <c r="T12" s="1473"/>
      <c r="U12" s="1473"/>
      <c r="V12" s="1473"/>
      <c r="W12" s="1789"/>
      <c r="X12" s="1787">
        <f>ROUND(SUMPRODUCT(PRODUCT(1+N12:N$29)),4)</f>
        <v>1.4956</v>
      </c>
      <c r="Y12" s="1787">
        <f>ROUND(SUMPRODUCT(PRODUCT(1+O12:O$29)),4)</f>
        <v>1.3237000000000001</v>
      </c>
      <c r="Z12" s="1787">
        <f t="shared" ref="Z12" si="85">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86">AE12</f>
        <v>1.61E-2</v>
      </c>
      <c r="AG12" s="1788">
        <f>ROUND(AVERAGE(K12:K$30)/100,4)</f>
        <v>2.53E-2</v>
      </c>
      <c r="AH12" s="1788">
        <f>ROUND(AVERAGE(L12:L$30)/100,4)</f>
        <v>1.4999999999999999E-2</v>
      </c>
    </row>
    <row r="13" spans="1:34" s="1466" customFormat="1" ht="14.4" customHeight="1">
      <c r="A13" s="1461" t="s">
        <v>3032</v>
      </c>
      <c r="B13" s="1477">
        <f t="shared" ref="B13" si="87">B14*(1+N13)</f>
        <v>453.11529869999993</v>
      </c>
      <c r="C13" s="1477">
        <f t="shared" ref="C13" si="88">C14*(1+O13)</f>
        <v>336.47787264000004</v>
      </c>
      <c r="D13" s="1477">
        <f t="shared" ref="D13" si="89">C13</f>
        <v>336.47787264000004</v>
      </c>
      <c r="E13" s="1477">
        <f t="shared" ref="E13" si="90">E14*(1+P13)</f>
        <v>647.35186823999993</v>
      </c>
      <c r="F13" s="1477">
        <f t="shared" ref="F13" si="91">F14*(1+Q13)</f>
        <v>295.73229452000004</v>
      </c>
      <c r="G13" s="3300"/>
      <c r="H13" s="1465">
        <v>2</v>
      </c>
      <c r="I13" s="1465">
        <v>1.49</v>
      </c>
      <c r="J13" s="1465">
        <v>0.96</v>
      </c>
      <c r="K13" s="1465">
        <v>1.58</v>
      </c>
      <c r="L13" s="1479">
        <v>2.44</v>
      </c>
      <c r="M13" s="1471"/>
      <c r="N13" s="1472">
        <f t="shared" ref="N13" si="92">I13/100</f>
        <v>1.49E-2</v>
      </c>
      <c r="O13" s="1473">
        <f t="shared" ref="O13" si="93">J13/100</f>
        <v>9.5999999999999992E-3</v>
      </c>
      <c r="P13" s="1473">
        <f t="shared" ref="P13" si="94">K13/100</f>
        <v>1.5800000000000002E-2</v>
      </c>
      <c r="Q13" s="1473">
        <f t="shared" ref="Q13" si="95">L13/100</f>
        <v>2.4399999999999998E-2</v>
      </c>
      <c r="R13" s="1474"/>
      <c r="S13" s="1472"/>
      <c r="T13" s="1473"/>
      <c r="U13" s="1473"/>
      <c r="V13" s="1473"/>
      <c r="W13" s="1789"/>
      <c r="X13" s="1787">
        <f>ROUND(SUMPRODUCT(PRODUCT(1+N13:N$29)),4)</f>
        <v>1.4733000000000001</v>
      </c>
      <c r="Y13" s="1787">
        <f>ROUND(SUMPRODUCT(PRODUCT(1+O13:O$29)),4)</f>
        <v>1.3052999999999999</v>
      </c>
      <c r="Z13" s="1787">
        <f t="shared" ref="Z13" si="96">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97">AE13</f>
        <v>1.6199999999999999E-2</v>
      </c>
      <c r="AG13" s="1788">
        <f>ROUND(AVERAGE(K13:K$30)/100,4)</f>
        <v>2.5899999999999999E-2</v>
      </c>
      <c r="AH13" s="1788">
        <f>ROUND(AVERAGE(L13:L$30)/100,4)</f>
        <v>1.49E-2</v>
      </c>
    </row>
    <row r="14" spans="1:34" s="1466" customFormat="1" ht="15" customHeight="1" thickBot="1">
      <c r="A14" s="1461" t="s">
        <v>3025</v>
      </c>
      <c r="B14" s="1477">
        <f t="shared" ref="B14" si="98">B15*(1+N14)</f>
        <v>446.46299999999997</v>
      </c>
      <c r="C14" s="1477">
        <f t="shared" ref="C14" si="99">C15*(1+O14)</f>
        <v>333.27840000000003</v>
      </c>
      <c r="D14" s="1477">
        <f t="shared" ref="D14" si="100">C14</f>
        <v>333.27840000000003</v>
      </c>
      <c r="E14" s="1477">
        <f t="shared" ref="E14" si="101">E15*(1+P14)</f>
        <v>637.28279999999995</v>
      </c>
      <c r="F14" s="1477">
        <f t="shared" ref="F14" si="102">F15*(1+Q14)</f>
        <v>288.68830000000003</v>
      </c>
      <c r="G14" s="3309"/>
      <c r="H14" s="1464">
        <v>1</v>
      </c>
      <c r="I14" s="1464">
        <v>1.7</v>
      </c>
      <c r="J14" s="1464">
        <v>1.92</v>
      </c>
      <c r="K14" s="1464">
        <v>1.64</v>
      </c>
      <c r="L14" s="1478">
        <v>2.0099999999999998</v>
      </c>
      <c r="M14" s="1471"/>
      <c r="N14" s="1472">
        <f t="shared" ref="N14:N19" si="103">I14/100</f>
        <v>1.7000000000000001E-2</v>
      </c>
      <c r="O14" s="1473">
        <f t="shared" ref="O14" si="104">J14/100</f>
        <v>1.9199999999999998E-2</v>
      </c>
      <c r="P14" s="1473">
        <f t="shared" ref="P14" si="105">K14/100</f>
        <v>1.6399999999999998E-2</v>
      </c>
      <c r="Q14" s="1473">
        <f t="shared" ref="Q14" si="106">L14/100</f>
        <v>2.0099999999999996E-2</v>
      </c>
      <c r="R14" s="1474"/>
      <c r="S14" s="1472">
        <f>B14/B15-1</f>
        <v>1.6999999999999904E-2</v>
      </c>
      <c r="T14" s="1473">
        <f t="shared" ref="T14" si="107">C14/C15-1</f>
        <v>1.9200000000000106E-2</v>
      </c>
      <c r="U14" s="1481">
        <f>E14/E15-1</f>
        <v>1.639999999999997E-2</v>
      </c>
      <c r="V14" s="1481">
        <f>F14/F15-1</f>
        <v>2.0100000000000007E-2</v>
      </c>
      <c r="W14" s="1789"/>
      <c r="X14" s="1787">
        <f>ROUND(SUMPRODUCT(PRODUCT(1+N14:N$29)),4)</f>
        <v>1.4517</v>
      </c>
      <c r="Y14" s="1787">
        <f>ROUND(SUMPRODUCT(PRODUCT(1+O14:O$29)),4)</f>
        <v>1.2928999999999999</v>
      </c>
      <c r="Z14" s="1787">
        <f t="shared" ref="Z14" si="108">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09">AE14</f>
        <v>1.66E-2</v>
      </c>
      <c r="AG14" s="1788">
        <f>ROUND(AVERAGE(K14:K$30)/100,4)</f>
        <v>2.6499999999999999E-2</v>
      </c>
      <c r="AH14" s="1788">
        <f>ROUND(AVERAGE(L14:L$30)/100,4)</f>
        <v>1.43E-2</v>
      </c>
    </row>
    <row r="15" spans="1:34">
      <c r="A15" s="1461" t="s">
        <v>3022</v>
      </c>
      <c r="B15" s="1469">
        <v>439</v>
      </c>
      <c r="C15" s="1469">
        <v>327</v>
      </c>
      <c r="D15" s="1469">
        <f>C15</f>
        <v>327</v>
      </c>
      <c r="E15" s="1469">
        <v>627</v>
      </c>
      <c r="F15" s="1470">
        <v>283</v>
      </c>
      <c r="G15" s="3305">
        <v>2017</v>
      </c>
      <c r="H15" s="1462">
        <v>4</v>
      </c>
      <c r="I15" s="1462">
        <v>1.71</v>
      </c>
      <c r="J15" s="1462">
        <v>1.78</v>
      </c>
      <c r="K15" s="1462">
        <v>1.71</v>
      </c>
      <c r="L15" s="1463">
        <v>1.43</v>
      </c>
      <c r="N15" s="1472">
        <f t="shared" si="103"/>
        <v>1.7100000000000001E-2</v>
      </c>
      <c r="O15" s="1473">
        <f t="shared" ref="O15" si="110">J15/100</f>
        <v>1.78E-2</v>
      </c>
      <c r="P15" s="1473">
        <f t="shared" ref="P15" si="111">K15/100</f>
        <v>1.7100000000000001E-2</v>
      </c>
      <c r="Q15" s="1473">
        <f t="shared" ref="Q15" si="112">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 customHeight="1">
      <c r="A16" s="1461" t="s">
        <v>3023</v>
      </c>
      <c r="B16" s="1477">
        <f t="shared" ref="B16:B17" si="113">B17*(1+N16)</f>
        <v>431.80730811680002</v>
      </c>
      <c r="C16" s="1477">
        <f t="shared" ref="C16:C17" si="114">C17*(1+O16)</f>
        <v>320.57880516480003</v>
      </c>
      <c r="D16" s="1477">
        <f t="shared" ref="D16:D17" si="115">C16</f>
        <v>320.57880516480003</v>
      </c>
      <c r="E16" s="1477">
        <f t="shared" ref="E16:E17" si="116">E17*(1+P16)</f>
        <v>615.96110553196797</v>
      </c>
      <c r="F16" s="1477">
        <f t="shared" ref="F16:F17" si="117">F17*(1+Q16)</f>
        <v>279.46777300108801</v>
      </c>
      <c r="G16" s="3300"/>
      <c r="H16" s="1464">
        <v>3</v>
      </c>
      <c r="I16" s="1464">
        <v>2.98</v>
      </c>
      <c r="J16" s="1464">
        <v>2.11</v>
      </c>
      <c r="K16" s="1464">
        <v>3.24</v>
      </c>
      <c r="L16" s="1478">
        <v>1.72</v>
      </c>
      <c r="M16" s="1471"/>
      <c r="N16" s="1472">
        <f t="shared" si="103"/>
        <v>2.98E-2</v>
      </c>
      <c r="O16" s="1473">
        <f t="shared" ref="O16" si="118">J16/100</f>
        <v>2.1099999999999997E-2</v>
      </c>
      <c r="P16" s="1473">
        <f t="shared" ref="P16" si="119">K16/100</f>
        <v>3.2400000000000005E-2</v>
      </c>
      <c r="Q16" s="1473">
        <f t="shared" ref="Q16" si="120">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 customHeight="1">
      <c r="A17" s="1461" t="s">
        <v>1380</v>
      </c>
      <c r="B17" s="1477">
        <f t="shared" si="113"/>
        <v>419.31181600000002</v>
      </c>
      <c r="C17" s="1477">
        <f t="shared" si="114"/>
        <v>313.95436800000004</v>
      </c>
      <c r="D17" s="1477">
        <f t="shared" si="115"/>
        <v>313.95436800000004</v>
      </c>
      <c r="E17" s="1477">
        <f t="shared" si="116"/>
        <v>596.63028431999999</v>
      </c>
      <c r="F17" s="1477">
        <f t="shared" si="117"/>
        <v>274.74220703999998</v>
      </c>
      <c r="G17" s="3300"/>
      <c r="H17" s="1465">
        <v>2</v>
      </c>
      <c r="I17" s="1465">
        <v>3.4</v>
      </c>
      <c r="J17" s="1465">
        <v>2</v>
      </c>
      <c r="K17" s="1465">
        <v>3.82</v>
      </c>
      <c r="L17" s="1479">
        <v>1.68</v>
      </c>
      <c r="M17" s="1471"/>
      <c r="N17" s="1472">
        <f t="shared" si="103"/>
        <v>3.4000000000000002E-2</v>
      </c>
      <c r="O17" s="1473">
        <f t="shared" ref="O17" si="121">J17/100</f>
        <v>0.02</v>
      </c>
      <c r="P17" s="1473">
        <f t="shared" ref="P17" si="122">K17/100</f>
        <v>3.8199999999999998E-2</v>
      </c>
      <c r="Q17" s="1473">
        <f t="shared" ref="Q17" si="123">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9"/>
      <c r="H18" s="1464">
        <v>1</v>
      </c>
      <c r="I18" s="1464">
        <v>3.45</v>
      </c>
      <c r="J18" s="1464">
        <v>1.92</v>
      </c>
      <c r="K18" s="1464">
        <v>3.92</v>
      </c>
      <c r="L18" s="1478">
        <v>1.58</v>
      </c>
      <c r="M18" s="1471"/>
      <c r="N18" s="1472">
        <f t="shared" si="103"/>
        <v>3.4500000000000003E-2</v>
      </c>
      <c r="O18" s="1473">
        <f t="shared" ref="O18:Q33" si="124">J18/100</f>
        <v>1.9199999999999998E-2</v>
      </c>
      <c r="P18" s="1473">
        <f t="shared" si="124"/>
        <v>3.9199999999999999E-2</v>
      </c>
      <c r="Q18" s="1473">
        <f t="shared" si="124"/>
        <v>1.5800000000000002E-2</v>
      </c>
      <c r="R18" s="1474"/>
      <c r="S18" s="1472">
        <f>B18/B19-1</f>
        <v>3.4499999999999975E-2</v>
      </c>
      <c r="T18" s="1473">
        <f t="shared" ref="T18:V18" si="125">C18/C19-1</f>
        <v>1.9200000000000106E-2</v>
      </c>
      <c r="U18" s="1481">
        <f>E18/E19-1</f>
        <v>3.9199999999999902E-2</v>
      </c>
      <c r="V18" s="1481">
        <f>F18/F19-1</f>
        <v>1.5800000000000036E-2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5">
        <v>2016</v>
      </c>
      <c r="H19" s="1462">
        <v>4</v>
      </c>
      <c r="I19" s="1462">
        <v>4.5599999999999996</v>
      </c>
      <c r="J19" s="1462">
        <v>2.15</v>
      </c>
      <c r="K19" s="1462">
        <v>5.32</v>
      </c>
      <c r="L19" s="1463">
        <v>1.57</v>
      </c>
      <c r="N19" s="1472">
        <f t="shared" si="103"/>
        <v>4.5599999999999995E-2</v>
      </c>
      <c r="O19" s="1473">
        <f t="shared" si="124"/>
        <v>2.1499999999999998E-2</v>
      </c>
      <c r="P19" s="1473">
        <f t="shared" si="124"/>
        <v>5.3200000000000004E-2</v>
      </c>
      <c r="Q19" s="1473">
        <f t="shared" si="124"/>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26">B19/(1+N19)</f>
        <v>374.90436113236416</v>
      </c>
      <c r="C20" s="1477">
        <f t="shared" si="126"/>
        <v>295.64366128242779</v>
      </c>
      <c r="D20" s="1477">
        <f t="shared" ref="D20:D79" si="127">C20</f>
        <v>295.64366128242779</v>
      </c>
      <c r="E20" s="1477">
        <f t="shared" ref="E20:F22" si="128">E19/(1+P19)</f>
        <v>525.06646410938095</v>
      </c>
      <c r="F20" s="1477">
        <f t="shared" si="128"/>
        <v>261.88835286009646</v>
      </c>
      <c r="G20" s="3300"/>
      <c r="H20" s="1464">
        <v>3</v>
      </c>
      <c r="I20" s="1464">
        <v>4.12</v>
      </c>
      <c r="J20" s="1464">
        <v>2</v>
      </c>
      <c r="K20" s="1464">
        <v>4.79</v>
      </c>
      <c r="L20" s="1478">
        <v>1.97</v>
      </c>
      <c r="N20" s="1472">
        <f t="shared" ref="N20:Q54" si="129">I20/100</f>
        <v>4.1200000000000001E-2</v>
      </c>
      <c r="O20" s="1473">
        <f t="shared" si="124"/>
        <v>0.02</v>
      </c>
      <c r="P20" s="1473">
        <f t="shared" si="124"/>
        <v>4.7899999999999998E-2</v>
      </c>
      <c r="Q20" s="1473">
        <f t="shared" si="124"/>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26"/>
        <v>360.06949782209392</v>
      </c>
      <c r="C21" s="1477">
        <f t="shared" si="126"/>
        <v>289.84672674747821</v>
      </c>
      <c r="D21" s="1477">
        <f t="shared" si="127"/>
        <v>289.84672674747821</v>
      </c>
      <c r="E21" s="1477">
        <f t="shared" si="128"/>
        <v>501.06543001181495</v>
      </c>
      <c r="F21" s="1477">
        <f t="shared" si="128"/>
        <v>256.82882500744967</v>
      </c>
      <c r="G21" s="3300"/>
      <c r="H21" s="1465">
        <v>2</v>
      </c>
      <c r="I21" s="1465">
        <v>3.85</v>
      </c>
      <c r="J21" s="1465">
        <v>1.95</v>
      </c>
      <c r="K21" s="1465">
        <v>4.4800000000000004</v>
      </c>
      <c r="L21" s="1479">
        <v>1.41</v>
      </c>
      <c r="N21" s="1472">
        <f t="shared" si="129"/>
        <v>3.85E-2</v>
      </c>
      <c r="O21" s="1473">
        <f t="shared" si="124"/>
        <v>1.95E-2</v>
      </c>
      <c r="P21" s="1473">
        <f t="shared" si="124"/>
        <v>4.4800000000000006E-2</v>
      </c>
      <c r="Q21" s="1473">
        <f t="shared" si="124"/>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8" thickBot="1">
      <c r="A22" s="1461" t="s">
        <v>152</v>
      </c>
      <c r="B22" s="1477">
        <f t="shared" si="126"/>
        <v>346.720748986128</v>
      </c>
      <c r="C22" s="1477">
        <f t="shared" si="126"/>
        <v>284.30282172386285</v>
      </c>
      <c r="D22" s="1477">
        <f t="shared" si="127"/>
        <v>284.30282172386285</v>
      </c>
      <c r="E22" s="1477">
        <f t="shared" si="128"/>
        <v>479.58023546306947</v>
      </c>
      <c r="F22" s="1477">
        <f t="shared" si="128"/>
        <v>253.25788877571213</v>
      </c>
      <c r="G22" s="3301"/>
      <c r="H22" s="1464">
        <v>1</v>
      </c>
      <c r="I22" s="1464">
        <v>4.09</v>
      </c>
      <c r="J22" s="1464">
        <v>2.93</v>
      </c>
      <c r="K22" s="1464">
        <v>4.54</v>
      </c>
      <c r="L22" s="1478">
        <v>1.48</v>
      </c>
      <c r="N22" s="1472">
        <f t="shared" si="129"/>
        <v>4.0899999999999999E-2</v>
      </c>
      <c r="O22" s="1473">
        <f t="shared" si="124"/>
        <v>2.9300000000000003E-2</v>
      </c>
      <c r="P22" s="1473">
        <f t="shared" si="124"/>
        <v>4.5400000000000003E-2</v>
      </c>
      <c r="Q22" s="1473">
        <f t="shared" si="124"/>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8" thickBot="1">
      <c r="A23" s="1461" t="s">
        <v>151</v>
      </c>
      <c r="B23" s="1469">
        <v>333</v>
      </c>
      <c r="C23" s="1469">
        <v>277</v>
      </c>
      <c r="D23" s="1469">
        <f t="shared" si="127"/>
        <v>277</v>
      </c>
      <c r="E23" s="1469">
        <v>459</v>
      </c>
      <c r="F23" s="1470">
        <v>249</v>
      </c>
      <c r="G23" s="3299">
        <v>2015</v>
      </c>
      <c r="H23" s="1482">
        <v>4</v>
      </c>
      <c r="I23" s="1482">
        <v>1.63</v>
      </c>
      <c r="J23" s="1482">
        <v>1.1100000000000001</v>
      </c>
      <c r="K23" s="1482">
        <v>1.77</v>
      </c>
      <c r="L23" s="1483">
        <v>1.89</v>
      </c>
      <c r="N23" s="1484">
        <f t="shared" si="129"/>
        <v>1.6299999999999999E-2</v>
      </c>
      <c r="O23" s="1485">
        <f t="shared" si="124"/>
        <v>1.11E-2</v>
      </c>
      <c r="P23" s="1485">
        <f t="shared" si="124"/>
        <v>1.77E-2</v>
      </c>
      <c r="Q23" s="1485">
        <f t="shared" si="124"/>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0">B23/(1+N23)</f>
        <v>327.65915576109415</v>
      </c>
      <c r="C24" s="1477">
        <f t="shared" si="130"/>
        <v>273.95905449510434</v>
      </c>
      <c r="D24" s="1477">
        <f t="shared" si="127"/>
        <v>273.95905449510434</v>
      </c>
      <c r="E24" s="1477">
        <f t="shared" ref="E24:F26" si="131">E23/(1+P23)</f>
        <v>451.01699911565294</v>
      </c>
      <c r="F24" s="1477">
        <f t="shared" si="131"/>
        <v>244.38119540681129</v>
      </c>
      <c r="G24" s="3300"/>
      <c r="H24" s="1487">
        <v>3</v>
      </c>
      <c r="I24" s="1487">
        <v>1.65</v>
      </c>
      <c r="J24" s="1487">
        <v>0.92</v>
      </c>
      <c r="K24" s="1487">
        <v>1.88</v>
      </c>
      <c r="L24" s="1488">
        <v>1.26</v>
      </c>
      <c r="N24" s="1472">
        <f t="shared" si="129"/>
        <v>1.6500000000000001E-2</v>
      </c>
      <c r="O24" s="1489">
        <f t="shared" si="124"/>
        <v>9.1999999999999998E-3</v>
      </c>
      <c r="P24" s="1489">
        <f t="shared" si="124"/>
        <v>1.8799999999999997E-2</v>
      </c>
      <c r="Q24" s="1489">
        <f t="shared" si="124"/>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0"/>
        <v>322.34053690220776</v>
      </c>
      <c r="C25" s="1477">
        <f t="shared" si="130"/>
        <v>271.46160770422546</v>
      </c>
      <c r="D25" s="1477">
        <f t="shared" si="127"/>
        <v>271.46160770422546</v>
      </c>
      <c r="E25" s="1477">
        <f t="shared" si="131"/>
        <v>442.69434542172456</v>
      </c>
      <c r="F25" s="1477">
        <f t="shared" si="131"/>
        <v>241.34030753190925</v>
      </c>
      <c r="G25" s="3300"/>
      <c r="H25" s="1465">
        <v>2</v>
      </c>
      <c r="I25" s="1465">
        <v>0.77</v>
      </c>
      <c r="J25" s="1465">
        <v>0.69</v>
      </c>
      <c r="K25" s="1465">
        <v>0.8</v>
      </c>
      <c r="L25" s="1479">
        <v>0.88</v>
      </c>
      <c r="N25" s="1472">
        <f t="shared" si="129"/>
        <v>7.7000000000000002E-3</v>
      </c>
      <c r="O25" s="1489">
        <f t="shared" si="124"/>
        <v>6.8999999999999999E-3</v>
      </c>
      <c r="P25" s="1489">
        <f t="shared" si="124"/>
        <v>8.0000000000000002E-3</v>
      </c>
      <c r="Q25" s="1489">
        <f t="shared" si="124"/>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0"/>
        <v>319.87748030386797</v>
      </c>
      <c r="C26" s="1477">
        <f t="shared" si="130"/>
        <v>269.60135833173649</v>
      </c>
      <c r="D26" s="1477">
        <f t="shared" si="127"/>
        <v>269.60135833173649</v>
      </c>
      <c r="E26" s="1477">
        <f t="shared" si="131"/>
        <v>439.18089823583784</v>
      </c>
      <c r="F26" s="1477">
        <f t="shared" si="131"/>
        <v>239.23503918706311</v>
      </c>
      <c r="G26" s="3301"/>
      <c r="H26" s="1464">
        <v>1</v>
      </c>
      <c r="I26" s="1464">
        <v>0.51</v>
      </c>
      <c r="J26" s="1464">
        <v>0.54</v>
      </c>
      <c r="K26" s="1464">
        <v>0.48</v>
      </c>
      <c r="L26" s="1478">
        <v>0.93</v>
      </c>
      <c r="N26" s="1480">
        <f t="shared" si="129"/>
        <v>5.1000000000000004E-3</v>
      </c>
      <c r="O26" s="1481">
        <f t="shared" si="124"/>
        <v>5.4000000000000003E-3</v>
      </c>
      <c r="P26" s="1481">
        <f t="shared" si="124"/>
        <v>4.7999999999999996E-3</v>
      </c>
      <c r="Q26" s="1481">
        <f t="shared" si="124"/>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8" thickBot="1">
      <c r="A27" s="1461" t="s">
        <v>147</v>
      </c>
      <c r="B27" s="1490">
        <v>318</v>
      </c>
      <c r="C27" s="1490">
        <v>268</v>
      </c>
      <c r="D27" s="1490">
        <f t="shared" si="127"/>
        <v>268</v>
      </c>
      <c r="E27" s="1490">
        <v>437</v>
      </c>
      <c r="F27" s="1491">
        <v>237</v>
      </c>
      <c r="G27" s="3299">
        <v>2014</v>
      </c>
      <c r="H27" s="1482">
        <v>4</v>
      </c>
      <c r="I27" s="1482">
        <v>0.21</v>
      </c>
      <c r="J27" s="1482">
        <v>0.41</v>
      </c>
      <c r="K27" s="1482">
        <v>0.12</v>
      </c>
      <c r="L27" s="1483">
        <v>0.89</v>
      </c>
      <c r="N27" s="1472">
        <f t="shared" si="129"/>
        <v>2.0999999999999999E-3</v>
      </c>
      <c r="O27" s="1473">
        <f t="shared" si="124"/>
        <v>4.0999999999999995E-3</v>
      </c>
      <c r="P27" s="1473">
        <f t="shared" si="124"/>
        <v>1.1999999999999999E-3</v>
      </c>
      <c r="Q27" s="1473">
        <f t="shared" si="124"/>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2">B27/(1+N27)</f>
        <v>317.33359944117353</v>
      </c>
      <c r="C28" s="1477">
        <f t="shared" si="132"/>
        <v>266.90568668459315</v>
      </c>
      <c r="D28" s="1477">
        <f t="shared" si="127"/>
        <v>266.90568668459315</v>
      </c>
      <c r="E28" s="1477">
        <f t="shared" ref="E28:F30" si="133">E27/(1+P27)</f>
        <v>436.47622852576905</v>
      </c>
      <c r="F28" s="1477">
        <f t="shared" si="133"/>
        <v>234.90930716622066</v>
      </c>
      <c r="G28" s="3300"/>
      <c r="H28" s="1492">
        <v>3</v>
      </c>
      <c r="I28" s="1492">
        <v>0.83</v>
      </c>
      <c r="J28" s="1492">
        <v>1.47</v>
      </c>
      <c r="K28" s="1492">
        <v>0.65</v>
      </c>
      <c r="L28" s="1493">
        <v>0.72</v>
      </c>
      <c r="N28" s="1472">
        <f t="shared" si="129"/>
        <v>8.3000000000000001E-3</v>
      </c>
      <c r="O28" s="1473">
        <f t="shared" si="124"/>
        <v>1.47E-2</v>
      </c>
      <c r="P28" s="1473">
        <f t="shared" si="124"/>
        <v>6.5000000000000006E-3</v>
      </c>
      <c r="Q28" s="1473">
        <f t="shared" si="124"/>
        <v>7.1999999999999998E-3</v>
      </c>
      <c r="R28" s="1474"/>
      <c r="S28" s="1472"/>
      <c r="T28" s="1473"/>
      <c r="U28" s="1473"/>
      <c r="V28" s="1473"/>
      <c r="X28" s="1459">
        <f>ROUND(SUMPRODUCT(PRODUCT(1+N28:N$29)),4)</f>
        <v>1.0325</v>
      </c>
      <c r="Y28" s="1459">
        <f>ROUND(SUMPRODUCT(PRODUCT(1+O28:O$29)),4)</f>
        <v>1.0353000000000001</v>
      </c>
      <c r="Z28" s="1459">
        <f t="shared" ref="Z28:Z29" si="134">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8" thickBot="1">
      <c r="A29" s="1461" t="s">
        <v>145</v>
      </c>
      <c r="B29" s="1477">
        <f t="shared" si="132"/>
        <v>314.72141172386546</v>
      </c>
      <c r="C29" s="1477">
        <f t="shared" si="132"/>
        <v>263.03901319069001</v>
      </c>
      <c r="D29" s="1477">
        <f t="shared" si="127"/>
        <v>263.03901319069001</v>
      </c>
      <c r="E29" s="1477">
        <f t="shared" si="133"/>
        <v>433.65745506782821</v>
      </c>
      <c r="F29" s="1477">
        <f t="shared" si="133"/>
        <v>233.23005080045735</v>
      </c>
      <c r="G29" s="3300"/>
      <c r="H29" s="1482">
        <v>2</v>
      </c>
      <c r="I29" s="1482">
        <v>2.4</v>
      </c>
      <c r="J29" s="1482">
        <v>2.0299999999999998</v>
      </c>
      <c r="K29" s="1482">
        <v>2.59</v>
      </c>
      <c r="L29" s="1483">
        <v>1.52</v>
      </c>
      <c r="N29" s="1472">
        <f t="shared" si="129"/>
        <v>2.4E-2</v>
      </c>
      <c r="O29" s="1473">
        <f t="shared" si="124"/>
        <v>2.0299999999999999E-2</v>
      </c>
      <c r="P29" s="1473">
        <f t="shared" si="124"/>
        <v>2.5899999999999999E-2</v>
      </c>
      <c r="Q29" s="1473">
        <f t="shared" si="124"/>
        <v>1.52E-2</v>
      </c>
      <c r="R29" s="1474"/>
      <c r="S29" s="1472"/>
      <c r="T29" s="1473"/>
      <c r="U29" s="1473"/>
      <c r="V29" s="1473"/>
      <c r="X29" s="1459">
        <f>1+N29</f>
        <v>1.024</v>
      </c>
      <c r="Y29" s="1459">
        <f>1+O29</f>
        <v>1.0203</v>
      </c>
      <c r="Z29" s="1459">
        <f t="shared" si="134"/>
        <v>1.0203</v>
      </c>
      <c r="AA29" s="1459">
        <f>1+P29</f>
        <v>1.0259</v>
      </c>
      <c r="AB29" s="1459">
        <f>1+Q29</f>
        <v>1.0152000000000001</v>
      </c>
      <c r="AD29" s="1460">
        <f>ROUND(AVERAGE(I29:I$30)/100,4)</f>
        <v>2.69E-2</v>
      </c>
      <c r="AE29" s="1460">
        <f>ROUND(AVERAGE(J29:J$30)/100,4)</f>
        <v>2.1899999999999999E-2</v>
      </c>
      <c r="AF29" s="1460">
        <f t="shared" ref="AF29" si="135">AE29</f>
        <v>2.1899999999999999E-2</v>
      </c>
      <c r="AG29" s="1460">
        <f>ROUND(AVERAGE(K29:K$30)/100,4)</f>
        <v>2.9399999999999999E-2</v>
      </c>
      <c r="AH29" s="1460">
        <f>ROUND(AVERAGE(L29:L$30)/100,4)</f>
        <v>1.44E-2</v>
      </c>
    </row>
    <row r="30" spans="1:34" s="1498" customFormat="1" ht="13.8" thickBot="1">
      <c r="A30" s="1494" t="s">
        <v>144</v>
      </c>
      <c r="B30" s="1495">
        <f t="shared" si="132"/>
        <v>307.34512863658733</v>
      </c>
      <c r="C30" s="1495">
        <f t="shared" si="132"/>
        <v>257.80556031626975</v>
      </c>
      <c r="D30" s="1495">
        <f t="shared" si="127"/>
        <v>257.80556031626975</v>
      </c>
      <c r="E30" s="1495">
        <f t="shared" si="133"/>
        <v>422.70928459677179</v>
      </c>
      <c r="F30" s="1495">
        <f t="shared" si="133"/>
        <v>229.73803270336617</v>
      </c>
      <c r="G30" s="3301"/>
      <c r="H30" s="1496">
        <v>1</v>
      </c>
      <c r="I30" s="1496">
        <v>2.97</v>
      </c>
      <c r="J30" s="1496">
        <v>2.34</v>
      </c>
      <c r="K30" s="1496">
        <v>3.28</v>
      </c>
      <c r="L30" s="1497">
        <v>1.36</v>
      </c>
      <c r="N30" s="1499">
        <f t="shared" si="129"/>
        <v>2.9700000000000001E-2</v>
      </c>
      <c r="O30" s="1500">
        <f t="shared" si="124"/>
        <v>2.3399999999999997E-2</v>
      </c>
      <c r="P30" s="1500">
        <f t="shared" si="124"/>
        <v>3.2799999999999996E-2</v>
      </c>
      <c r="Q30" s="1500">
        <f t="shared" si="124"/>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1" t="s">
        <v>1158</v>
      </c>
      <c r="B31" s="1469">
        <v>299</v>
      </c>
      <c r="C31" s="1469">
        <v>252</v>
      </c>
      <c r="D31" s="1469">
        <f t="shared" si="127"/>
        <v>252</v>
      </c>
      <c r="E31" s="1469">
        <v>409</v>
      </c>
      <c r="F31" s="1470">
        <v>227</v>
      </c>
      <c r="G31" s="3306">
        <v>2013</v>
      </c>
      <c r="H31" s="1506">
        <v>4</v>
      </c>
      <c r="I31" s="1506">
        <v>1.83</v>
      </c>
      <c r="J31" s="1506">
        <v>1.68</v>
      </c>
      <c r="K31" s="1506">
        <v>1.97</v>
      </c>
      <c r="L31" s="1507">
        <v>0.87</v>
      </c>
      <c r="N31" s="1484">
        <f t="shared" si="129"/>
        <v>1.83E-2</v>
      </c>
      <c r="O31" s="1485">
        <f t="shared" si="124"/>
        <v>1.6799999999999999E-2</v>
      </c>
      <c r="P31" s="1485">
        <f t="shared" si="124"/>
        <v>1.9699999999999999E-2</v>
      </c>
      <c r="Q31" s="1485">
        <f t="shared" si="124"/>
        <v>8.6999999999999994E-3</v>
      </c>
      <c r="R31" s="1474"/>
      <c r="S31" s="1475"/>
      <c r="T31" s="1476"/>
      <c r="U31" s="1476"/>
      <c r="V31" s="1476"/>
      <c r="X31" s="1476"/>
      <c r="Y31" s="1476"/>
      <c r="Z31" s="1476"/>
    </row>
    <row r="32" spans="1:34">
      <c r="A32" s="1461" t="s">
        <v>1159</v>
      </c>
      <c r="B32" s="1477">
        <f t="shared" ref="B32:C34" si="136">B31/(1+N31)</f>
        <v>293.62663262299913</v>
      </c>
      <c r="C32" s="1477">
        <f t="shared" si="136"/>
        <v>247.83634933123525</v>
      </c>
      <c r="D32" s="1477">
        <f t="shared" si="127"/>
        <v>247.83634933123525</v>
      </c>
      <c r="E32" s="1477">
        <f t="shared" ref="E32:F34" si="137">E31/(1+P31)</f>
        <v>401.09836226341076</v>
      </c>
      <c r="F32" s="1477">
        <f t="shared" si="137"/>
        <v>225.04213343908003</v>
      </c>
      <c r="G32" s="3307"/>
      <c r="H32" s="1487">
        <v>3</v>
      </c>
      <c r="I32" s="1487">
        <v>1.86</v>
      </c>
      <c r="J32" s="1487">
        <v>1.72</v>
      </c>
      <c r="K32" s="1487">
        <v>1.98</v>
      </c>
      <c r="L32" s="1488">
        <v>0.88</v>
      </c>
      <c r="N32" s="1472">
        <f t="shared" si="129"/>
        <v>1.8600000000000002E-2</v>
      </c>
      <c r="O32" s="1489">
        <f t="shared" si="124"/>
        <v>1.72E-2</v>
      </c>
      <c r="P32" s="1489">
        <f t="shared" si="124"/>
        <v>1.9799999999999998E-2</v>
      </c>
      <c r="Q32" s="1489">
        <f t="shared" si="124"/>
        <v>8.8000000000000005E-3</v>
      </c>
      <c r="R32" s="1474"/>
      <c r="S32" s="1472"/>
      <c r="T32" s="1473"/>
      <c r="U32" s="1473"/>
      <c r="V32" s="1473"/>
    </row>
    <row r="33" spans="1:26">
      <c r="A33" s="1461" t="s">
        <v>1160</v>
      </c>
      <c r="B33" s="1477">
        <f t="shared" si="136"/>
        <v>288.2649053828776</v>
      </c>
      <c r="C33" s="1477">
        <f t="shared" si="136"/>
        <v>243.64564425013293</v>
      </c>
      <c r="D33" s="1477">
        <f t="shared" si="127"/>
        <v>243.64564425013293</v>
      </c>
      <c r="E33" s="1477">
        <f t="shared" si="137"/>
        <v>393.31080825986544</v>
      </c>
      <c r="F33" s="1477">
        <f t="shared" si="137"/>
        <v>223.07903790551154</v>
      </c>
      <c r="G33" s="3307"/>
      <c r="H33" s="1465">
        <v>2</v>
      </c>
      <c r="I33" s="1465">
        <v>2.04</v>
      </c>
      <c r="J33" s="1465">
        <v>2.33</v>
      </c>
      <c r="K33" s="1465">
        <v>2.0699999999999998</v>
      </c>
      <c r="L33" s="1479">
        <v>0.69</v>
      </c>
      <c r="N33" s="1472">
        <f t="shared" si="129"/>
        <v>2.0400000000000001E-2</v>
      </c>
      <c r="O33" s="1489">
        <f t="shared" si="124"/>
        <v>2.3300000000000001E-2</v>
      </c>
      <c r="P33" s="1489">
        <f t="shared" si="124"/>
        <v>2.07E-2</v>
      </c>
      <c r="Q33" s="1489">
        <f t="shared" si="124"/>
        <v>6.8999999999999999E-3</v>
      </c>
      <c r="R33" s="1474"/>
      <c r="S33" s="1472"/>
      <c r="T33" s="1473"/>
      <c r="U33" s="1473"/>
      <c r="V33" s="1473"/>
      <c r="X33" s="1508"/>
      <c r="Y33" s="1509"/>
    </row>
    <row r="34" spans="1:26">
      <c r="A34" s="1461" t="s">
        <v>1161</v>
      </c>
      <c r="B34" s="1477">
        <f t="shared" si="136"/>
        <v>282.50186729015837</v>
      </c>
      <c r="C34" s="1477">
        <f t="shared" si="136"/>
        <v>238.09796174155468</v>
      </c>
      <c r="D34" s="1477">
        <f t="shared" si="127"/>
        <v>238.09796174155468</v>
      </c>
      <c r="E34" s="1477">
        <f t="shared" si="137"/>
        <v>385.33438646014054</v>
      </c>
      <c r="F34" s="1477">
        <f t="shared" si="137"/>
        <v>221.55034055567739</v>
      </c>
      <c r="G34" s="3308"/>
      <c r="H34" s="1464">
        <v>1</v>
      </c>
      <c r="I34" s="1464">
        <v>1.67</v>
      </c>
      <c r="J34" s="1464">
        <v>1.31</v>
      </c>
      <c r="K34" s="1464">
        <v>1.85</v>
      </c>
      <c r="L34" s="1478">
        <v>0.96</v>
      </c>
      <c r="N34" s="1480">
        <f t="shared" si="129"/>
        <v>1.67E-2</v>
      </c>
      <c r="O34" s="1481">
        <f t="shared" si="129"/>
        <v>1.3100000000000001E-2</v>
      </c>
      <c r="P34" s="1481">
        <f t="shared" si="129"/>
        <v>1.8500000000000003E-2</v>
      </c>
      <c r="Q34" s="1481">
        <f t="shared" si="129"/>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8" thickBot="1">
      <c r="A35" s="1461" t="s">
        <v>1162</v>
      </c>
      <c r="B35" s="1511">
        <v>278</v>
      </c>
      <c r="C35" s="1511">
        <v>234</v>
      </c>
      <c r="D35" s="1511">
        <f t="shared" si="127"/>
        <v>234</v>
      </c>
      <c r="E35" s="1511">
        <v>379</v>
      </c>
      <c r="F35" s="1512">
        <v>220</v>
      </c>
      <c r="G35" s="3299">
        <v>2012</v>
      </c>
      <c r="H35" s="1482">
        <v>4</v>
      </c>
      <c r="I35" s="1482">
        <v>0.91</v>
      </c>
      <c r="J35" s="1482">
        <v>0.68</v>
      </c>
      <c r="K35" s="1482">
        <v>0.98</v>
      </c>
      <c r="L35" s="1483">
        <v>0.9</v>
      </c>
      <c r="N35" s="1472">
        <f t="shared" si="129"/>
        <v>9.1000000000000004E-3</v>
      </c>
      <c r="O35" s="1473">
        <f t="shared" si="129"/>
        <v>6.8000000000000005E-3</v>
      </c>
      <c r="P35" s="1473">
        <f t="shared" si="129"/>
        <v>9.7999999999999997E-3</v>
      </c>
      <c r="Q35" s="1473">
        <f t="shared" si="129"/>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27"/>
        <v>232.41954707985698</v>
      </c>
      <c r="E36" s="1477">
        <f t="shared" ref="E36:F38" si="138">E35/(1+P35)</f>
        <v>375.32184591008121</v>
      </c>
      <c r="F36" s="1477">
        <f t="shared" si="138"/>
        <v>218.03766105054513</v>
      </c>
      <c r="G36" s="3300"/>
      <c r="H36" s="1487">
        <v>3</v>
      </c>
      <c r="I36" s="1487">
        <v>0.09</v>
      </c>
      <c r="J36" s="1487">
        <v>0.28999999999999998</v>
      </c>
      <c r="K36" s="1487">
        <v>-0.01</v>
      </c>
      <c r="L36" s="1488">
        <v>0.57999999999999996</v>
      </c>
      <c r="N36" s="1472">
        <f t="shared" si="129"/>
        <v>8.9999999999999998E-4</v>
      </c>
      <c r="O36" s="1473">
        <f t="shared" si="129"/>
        <v>2.8999999999999998E-3</v>
      </c>
      <c r="P36" s="1473">
        <f t="shared" si="129"/>
        <v>-1E-4</v>
      </c>
      <c r="Q36" s="1473">
        <f t="shared" si="129"/>
        <v>5.7999999999999996E-3</v>
      </c>
      <c r="R36" s="1474"/>
      <c r="S36" s="1472"/>
      <c r="T36" s="1473"/>
      <c r="U36" s="1473"/>
      <c r="V36" s="1473"/>
    </row>
    <row r="37" spans="1:26">
      <c r="A37" s="1461" t="s">
        <v>1164</v>
      </c>
      <c r="B37" s="1477">
        <f>B36/(1+N36)</f>
        <v>275.24529281292263</v>
      </c>
      <c r="C37" s="1477">
        <f>C36/(1+O36)</f>
        <v>231.74747938962707</v>
      </c>
      <c r="D37" s="1477">
        <f t="shared" si="127"/>
        <v>231.74747938962707</v>
      </c>
      <c r="E37" s="1477">
        <f t="shared" si="138"/>
        <v>375.35938184826603</v>
      </c>
      <c r="F37" s="1477">
        <f t="shared" si="138"/>
        <v>216.78033510692495</v>
      </c>
      <c r="G37" s="3300"/>
      <c r="H37" s="1465">
        <v>2</v>
      </c>
      <c r="I37" s="1465">
        <v>0.02</v>
      </c>
      <c r="J37" s="1465">
        <v>0.12</v>
      </c>
      <c r="K37" s="1465">
        <v>-0.08</v>
      </c>
      <c r="L37" s="1479">
        <v>1.24</v>
      </c>
      <c r="N37" s="1472">
        <f t="shared" si="129"/>
        <v>2.0000000000000001E-4</v>
      </c>
      <c r="O37" s="1473">
        <f t="shared" si="129"/>
        <v>1.1999999999999999E-3</v>
      </c>
      <c r="P37" s="1473">
        <f t="shared" si="129"/>
        <v>-8.0000000000000004E-4</v>
      </c>
      <c r="Q37" s="1473">
        <f t="shared" si="129"/>
        <v>1.24E-2</v>
      </c>
      <c r="R37" s="1474"/>
      <c r="S37" s="1472"/>
      <c r="T37" s="1473"/>
      <c r="U37" s="1473"/>
      <c r="V37" s="1473"/>
    </row>
    <row r="38" spans="1:26" ht="13.8" thickBot="1">
      <c r="A38" s="1461" t="s">
        <v>1165</v>
      </c>
      <c r="B38" s="1477">
        <f>B37/(1+N37)</f>
        <v>275.19025476197027</v>
      </c>
      <c r="C38" s="1513">
        <v>232</v>
      </c>
      <c r="D38" s="1513">
        <f t="shared" si="127"/>
        <v>232</v>
      </c>
      <c r="E38" s="1477">
        <f t="shared" si="138"/>
        <v>375.65990977608692</v>
      </c>
      <c r="F38" s="1477">
        <f t="shared" si="138"/>
        <v>214.12518283971252</v>
      </c>
      <c r="G38" s="3301"/>
      <c r="H38" s="1464">
        <v>1</v>
      </c>
      <c r="I38" s="1464">
        <v>0.02</v>
      </c>
      <c r="J38" s="1464">
        <v>0.13</v>
      </c>
      <c r="K38" s="1464">
        <v>-0.04</v>
      </c>
      <c r="L38" s="1478">
        <v>0.46</v>
      </c>
      <c r="N38" s="1472">
        <f t="shared" si="129"/>
        <v>2.0000000000000001E-4</v>
      </c>
      <c r="O38" s="1473">
        <f t="shared" si="129"/>
        <v>1.2999999999999999E-3</v>
      </c>
      <c r="P38" s="1473">
        <f t="shared" si="129"/>
        <v>-4.0000000000000002E-4</v>
      </c>
      <c r="Q38" s="1473">
        <f t="shared" si="129"/>
        <v>4.5999999999999999E-3</v>
      </c>
      <c r="R38" s="1474"/>
      <c r="S38" s="1480">
        <f>B38/B39-1</f>
        <v>6.9183549807361189E-4</v>
      </c>
      <c r="T38" s="1481">
        <f>C38/C39-1</f>
        <v>0</v>
      </c>
      <c r="U38" s="1481">
        <f>E38/E39-1</f>
        <v>-9.0449527636460303E-4</v>
      </c>
      <c r="V38" s="1481">
        <f>F38/F39-1</f>
        <v>5.2825485432512753E-3</v>
      </c>
      <c r="X38" s="1460"/>
      <c r="Y38" s="1460"/>
      <c r="Z38" s="1460"/>
    </row>
    <row r="39" spans="1:26" ht="13.8" thickBot="1">
      <c r="A39" s="1461" t="s">
        <v>1166</v>
      </c>
      <c r="B39" s="1469">
        <v>275</v>
      </c>
      <c r="C39" s="1469">
        <v>232</v>
      </c>
      <c r="D39" s="1469">
        <f t="shared" si="127"/>
        <v>232</v>
      </c>
      <c r="E39" s="1469">
        <v>376</v>
      </c>
      <c r="F39" s="1470">
        <v>213</v>
      </c>
      <c r="G39" s="3299">
        <v>2011</v>
      </c>
      <c r="H39" s="1482">
        <v>4</v>
      </c>
      <c r="I39" s="1482">
        <v>-0.2</v>
      </c>
      <c r="J39" s="1482">
        <v>0.04</v>
      </c>
      <c r="K39" s="1482">
        <v>-0.34</v>
      </c>
      <c r="L39" s="1483">
        <v>0.46</v>
      </c>
      <c r="N39" s="1484">
        <f t="shared" si="129"/>
        <v>-2E-3</v>
      </c>
      <c r="O39" s="1485">
        <f t="shared" si="129"/>
        <v>4.0000000000000002E-4</v>
      </c>
      <c r="P39" s="1485">
        <f t="shared" si="129"/>
        <v>-3.4000000000000002E-3</v>
      </c>
      <c r="Q39" s="1485">
        <f t="shared" si="129"/>
        <v>4.5999999999999999E-3</v>
      </c>
      <c r="R39" s="1474"/>
      <c r="S39" s="1475"/>
      <c r="T39" s="1476"/>
      <c r="U39" s="1476"/>
      <c r="V39" s="1476"/>
      <c r="X39" s="1476"/>
      <c r="Y39" s="1476"/>
      <c r="Z39" s="1476"/>
    </row>
    <row r="40" spans="1:26">
      <c r="A40" s="1461" t="s">
        <v>1167</v>
      </c>
      <c r="B40" s="1477">
        <f t="shared" ref="B40:C42" si="139">B39/(1+N39)</f>
        <v>275.55110220440883</v>
      </c>
      <c r="C40" s="1477">
        <f t="shared" si="139"/>
        <v>231.90723710515795</v>
      </c>
      <c r="D40" s="1477">
        <f t="shared" si="127"/>
        <v>231.90723710515795</v>
      </c>
      <c r="E40" s="1477">
        <f t="shared" ref="E40:F42" si="140">E39/(1+P39)</f>
        <v>377.28276138872161</v>
      </c>
      <c r="F40" s="1477">
        <f t="shared" si="140"/>
        <v>212.02468644236512</v>
      </c>
      <c r="G40" s="3300">
        <v>2011</v>
      </c>
      <c r="H40" s="1487">
        <v>3</v>
      </c>
      <c r="I40" s="1487">
        <v>0.13</v>
      </c>
      <c r="J40" s="1487">
        <v>0.75</v>
      </c>
      <c r="K40" s="1487">
        <v>-0.08</v>
      </c>
      <c r="L40" s="1488">
        <v>0.53</v>
      </c>
      <c r="N40" s="1472">
        <f t="shared" si="129"/>
        <v>1.2999999999999999E-3</v>
      </c>
      <c r="O40" s="1489">
        <f t="shared" si="129"/>
        <v>7.4999999999999997E-3</v>
      </c>
      <c r="P40" s="1489">
        <f t="shared" si="129"/>
        <v>-8.0000000000000004E-4</v>
      </c>
      <c r="Q40" s="1489">
        <f t="shared" si="129"/>
        <v>5.3E-3</v>
      </c>
      <c r="R40" s="1474"/>
      <c r="S40" s="1472"/>
      <c r="T40" s="1473"/>
      <c r="U40" s="1473"/>
      <c r="V40" s="1473"/>
    </row>
    <row r="41" spans="1:26">
      <c r="A41" s="1461" t="s">
        <v>1168</v>
      </c>
      <c r="B41" s="1477">
        <f t="shared" si="139"/>
        <v>275.19335084830601</v>
      </c>
      <c r="C41" s="1477">
        <f t="shared" si="139"/>
        <v>230.18088050139744</v>
      </c>
      <c r="D41" s="1477">
        <f t="shared" si="127"/>
        <v>230.18088050139744</v>
      </c>
      <c r="E41" s="1477">
        <f t="shared" si="140"/>
        <v>377.58482925212331</v>
      </c>
      <c r="F41" s="1477">
        <f t="shared" si="140"/>
        <v>210.90687997847917</v>
      </c>
      <c r="G41" s="3300">
        <v>2011</v>
      </c>
      <c r="H41" s="1465">
        <v>2</v>
      </c>
      <c r="I41" s="1465">
        <v>-0.4</v>
      </c>
      <c r="J41" s="1465">
        <v>0.17</v>
      </c>
      <c r="K41" s="1465">
        <v>-0.57999999999999996</v>
      </c>
      <c r="L41" s="1479">
        <v>-0.2</v>
      </c>
      <c r="N41" s="1472">
        <f t="shared" si="129"/>
        <v>-4.0000000000000001E-3</v>
      </c>
      <c r="O41" s="1489">
        <f t="shared" si="129"/>
        <v>1.7000000000000001E-3</v>
      </c>
      <c r="P41" s="1489">
        <f t="shared" si="129"/>
        <v>-5.7999999999999996E-3</v>
      </c>
      <c r="Q41" s="1489">
        <f t="shared" si="129"/>
        <v>-2E-3</v>
      </c>
      <c r="R41" s="1474"/>
      <c r="S41" s="1472"/>
      <c r="T41" s="1473"/>
      <c r="U41" s="1473"/>
      <c r="V41" s="1473"/>
    </row>
    <row r="42" spans="1:26" ht="13.8" thickBot="1">
      <c r="A42" s="1461" t="s">
        <v>1169</v>
      </c>
      <c r="B42" s="1477">
        <f t="shared" si="139"/>
        <v>276.29854502841971</v>
      </c>
      <c r="C42" s="1477">
        <f t="shared" si="139"/>
        <v>229.79023709833027</v>
      </c>
      <c r="D42" s="1477">
        <f t="shared" si="127"/>
        <v>229.79023709833027</v>
      </c>
      <c r="E42" s="1477">
        <f t="shared" si="140"/>
        <v>379.78759731655936</v>
      </c>
      <c r="F42" s="1477">
        <f t="shared" si="140"/>
        <v>211.32953905659235</v>
      </c>
      <c r="G42" s="3301">
        <v>2011</v>
      </c>
      <c r="H42" s="1464">
        <v>1</v>
      </c>
      <c r="I42" s="1464">
        <v>2.65</v>
      </c>
      <c r="J42" s="1464">
        <v>3.76</v>
      </c>
      <c r="K42" s="1464">
        <v>1.89</v>
      </c>
      <c r="L42" s="1478">
        <v>7.95</v>
      </c>
      <c r="N42" s="1480">
        <f t="shared" si="129"/>
        <v>2.6499999999999999E-2</v>
      </c>
      <c r="O42" s="1481">
        <f t="shared" si="129"/>
        <v>3.7599999999999995E-2</v>
      </c>
      <c r="P42" s="1481">
        <f t="shared" si="129"/>
        <v>1.89E-2</v>
      </c>
      <c r="Q42" s="1481">
        <f t="shared" si="129"/>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8" thickBot="1">
      <c r="A43" s="1461" t="s">
        <v>1170</v>
      </c>
      <c r="B43" s="1469">
        <v>269</v>
      </c>
      <c r="C43" s="1469">
        <v>221</v>
      </c>
      <c r="D43" s="1469">
        <f t="shared" si="127"/>
        <v>221</v>
      </c>
      <c r="E43" s="1469">
        <v>373</v>
      </c>
      <c r="F43" s="1470">
        <v>196</v>
      </c>
      <c r="G43" s="3299">
        <v>2010</v>
      </c>
      <c r="H43" s="1482">
        <v>4</v>
      </c>
      <c r="I43" s="1482">
        <v>5.72</v>
      </c>
      <c r="J43" s="1482">
        <v>6.57</v>
      </c>
      <c r="K43" s="1482">
        <v>5.72</v>
      </c>
      <c r="L43" s="1483">
        <v>2.72</v>
      </c>
      <c r="N43" s="1472">
        <f t="shared" si="129"/>
        <v>5.7200000000000001E-2</v>
      </c>
      <c r="O43" s="1473">
        <f t="shared" si="129"/>
        <v>6.5700000000000008E-2</v>
      </c>
      <c r="P43" s="1473">
        <f t="shared" si="129"/>
        <v>5.7200000000000001E-2</v>
      </c>
      <c r="Q43" s="1473">
        <f t="shared" si="129"/>
        <v>2.7200000000000002E-2</v>
      </c>
      <c r="R43" s="1474"/>
      <c r="S43" s="1475"/>
      <c r="T43" s="1476"/>
      <c r="U43" s="1476"/>
      <c r="V43" s="1476"/>
      <c r="X43" s="1476"/>
      <c r="Y43" s="1476"/>
      <c r="Z43" s="1476"/>
    </row>
    <row r="44" spans="1:26">
      <c r="A44" s="1461" t="s">
        <v>1171</v>
      </c>
      <c r="B44" s="1477">
        <f t="shared" ref="B44:C46" si="141">B43/(1+N43)</f>
        <v>254.44570563753314</v>
      </c>
      <c r="C44" s="1477">
        <f t="shared" si="141"/>
        <v>207.37543398705074</v>
      </c>
      <c r="D44" s="1477">
        <f t="shared" si="127"/>
        <v>207.37543398705074</v>
      </c>
      <c r="E44" s="1477">
        <f t="shared" ref="E44:F46" si="142">E43/(1+P43)</f>
        <v>352.81876655315932</v>
      </c>
      <c r="F44" s="1477">
        <f t="shared" si="142"/>
        <v>190.809968847352</v>
      </c>
      <c r="G44" s="3300">
        <v>2010</v>
      </c>
      <c r="H44" s="1487">
        <v>3</v>
      </c>
      <c r="I44" s="1487">
        <v>4.7300000000000004</v>
      </c>
      <c r="J44" s="1487">
        <v>3.9</v>
      </c>
      <c r="K44" s="1487">
        <v>5.03</v>
      </c>
      <c r="L44" s="1488">
        <v>4.21</v>
      </c>
      <c r="N44" s="1472">
        <f t="shared" si="129"/>
        <v>4.7300000000000002E-2</v>
      </c>
      <c r="O44" s="1473">
        <f t="shared" si="129"/>
        <v>3.9E-2</v>
      </c>
      <c r="P44" s="1473">
        <f t="shared" si="129"/>
        <v>5.0300000000000004E-2</v>
      </c>
      <c r="Q44" s="1473">
        <f t="shared" si="129"/>
        <v>4.2099999999999999E-2</v>
      </c>
      <c r="R44" s="1474"/>
      <c r="S44" s="1472"/>
      <c r="T44" s="1473"/>
      <c r="U44" s="1473"/>
      <c r="V44" s="1473"/>
    </row>
    <row r="45" spans="1:26">
      <c r="A45" s="1461" t="s">
        <v>1172</v>
      </c>
      <c r="B45" s="1477">
        <f t="shared" si="141"/>
        <v>242.95398227588385</v>
      </c>
      <c r="C45" s="1477">
        <f t="shared" si="141"/>
        <v>199.59137053614126</v>
      </c>
      <c r="D45" s="1477">
        <f t="shared" si="127"/>
        <v>199.59137053614126</v>
      </c>
      <c r="E45" s="1477">
        <f t="shared" si="142"/>
        <v>335.92189522342125</v>
      </c>
      <c r="F45" s="1477">
        <f t="shared" si="142"/>
        <v>183.10139991109489</v>
      </c>
      <c r="G45" s="3300">
        <v>2010</v>
      </c>
      <c r="H45" s="1465">
        <v>2</v>
      </c>
      <c r="I45" s="1465">
        <v>4.6900000000000004</v>
      </c>
      <c r="J45" s="1465">
        <v>3.55</v>
      </c>
      <c r="K45" s="1465">
        <v>5.07</v>
      </c>
      <c r="L45" s="1479">
        <v>4.2300000000000004</v>
      </c>
      <c r="N45" s="1472">
        <f t="shared" si="129"/>
        <v>4.6900000000000004E-2</v>
      </c>
      <c r="O45" s="1473">
        <f t="shared" si="129"/>
        <v>3.5499999999999997E-2</v>
      </c>
      <c r="P45" s="1473">
        <f t="shared" si="129"/>
        <v>5.0700000000000002E-2</v>
      </c>
      <c r="Q45" s="1473">
        <f t="shared" si="129"/>
        <v>4.2300000000000004E-2</v>
      </c>
      <c r="R45" s="1474"/>
      <c r="S45" s="1472"/>
      <c r="T45" s="1473"/>
      <c r="U45" s="1473"/>
      <c r="V45" s="1473"/>
    </row>
    <row r="46" spans="1:26" ht="13.8" thickBot="1">
      <c r="A46" s="1461" t="s">
        <v>1173</v>
      </c>
      <c r="B46" s="1477">
        <f t="shared" si="141"/>
        <v>232.06990378821649</v>
      </c>
      <c r="C46" s="1477">
        <f t="shared" si="141"/>
        <v>192.74878854286936</v>
      </c>
      <c r="D46" s="1477">
        <f t="shared" si="127"/>
        <v>192.74878854286936</v>
      </c>
      <c r="E46" s="1477">
        <f t="shared" si="142"/>
        <v>319.71247284992984</v>
      </c>
      <c r="F46" s="1477">
        <f t="shared" si="142"/>
        <v>175.67053622862409</v>
      </c>
      <c r="G46" s="3301">
        <v>2010</v>
      </c>
      <c r="H46" s="1464">
        <v>1</v>
      </c>
      <c r="I46" s="1464">
        <v>5.4</v>
      </c>
      <c r="J46" s="1464">
        <v>3.2</v>
      </c>
      <c r="K46" s="1464">
        <v>6.16</v>
      </c>
      <c r="L46" s="1478">
        <v>4.51</v>
      </c>
      <c r="N46" s="1472">
        <f t="shared" si="129"/>
        <v>5.4000000000000006E-2</v>
      </c>
      <c r="O46" s="1473">
        <f t="shared" si="129"/>
        <v>3.2000000000000001E-2</v>
      </c>
      <c r="P46" s="1473">
        <f t="shared" si="129"/>
        <v>6.1600000000000002E-2</v>
      </c>
      <c r="Q46" s="1473">
        <f t="shared" si="129"/>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8" thickBot="1">
      <c r="A47" s="1461" t="s">
        <v>1174</v>
      </c>
      <c r="B47" s="1469">
        <v>220</v>
      </c>
      <c r="C47" s="1469">
        <v>187</v>
      </c>
      <c r="D47" s="1469">
        <f t="shared" si="127"/>
        <v>187</v>
      </c>
      <c r="E47" s="1469">
        <v>301</v>
      </c>
      <c r="F47" s="1470">
        <v>168</v>
      </c>
      <c r="G47" s="3299">
        <v>2009</v>
      </c>
      <c r="H47" s="1482">
        <v>4</v>
      </c>
      <c r="I47" s="1482">
        <v>2.2999999999999998</v>
      </c>
      <c r="J47" s="1482">
        <v>1.04</v>
      </c>
      <c r="K47" s="1482">
        <v>2.84</v>
      </c>
      <c r="L47" s="1483">
        <v>0.67</v>
      </c>
      <c r="N47" s="1484">
        <f t="shared" si="129"/>
        <v>2.3E-2</v>
      </c>
      <c r="O47" s="1485">
        <f t="shared" si="129"/>
        <v>1.04E-2</v>
      </c>
      <c r="P47" s="1485">
        <f t="shared" si="129"/>
        <v>2.8399999999999998E-2</v>
      </c>
      <c r="Q47" s="1485">
        <f t="shared" si="129"/>
        <v>6.7000000000000002E-3</v>
      </c>
      <c r="R47" s="1474"/>
      <c r="S47" s="1475"/>
      <c r="T47" s="1476"/>
      <c r="U47" s="1476"/>
      <c r="V47" s="1476"/>
      <c r="X47" s="1476"/>
      <c r="Y47" s="1476"/>
      <c r="Z47" s="1476"/>
    </row>
    <row r="48" spans="1:26">
      <c r="A48" s="1461" t="s">
        <v>1175</v>
      </c>
      <c r="B48" s="1477">
        <f t="shared" ref="B48:C50" si="143">B47/(1+N47)</f>
        <v>215.05376344086022</v>
      </c>
      <c r="C48" s="1477">
        <f t="shared" si="143"/>
        <v>185.0752177355503</v>
      </c>
      <c r="D48" s="1477">
        <f t="shared" si="127"/>
        <v>185.0752177355503</v>
      </c>
      <c r="E48" s="1477">
        <f t="shared" ref="E48:F50" si="144">E47/(1+P47)</f>
        <v>292.68767016725008</v>
      </c>
      <c r="F48" s="1477">
        <f t="shared" si="144"/>
        <v>166.88189132810174</v>
      </c>
      <c r="G48" s="3300">
        <v>2009</v>
      </c>
      <c r="H48" s="1487">
        <v>3</v>
      </c>
      <c r="I48" s="1487">
        <v>2.1</v>
      </c>
      <c r="J48" s="1487">
        <v>1.86</v>
      </c>
      <c r="K48" s="1487">
        <v>2.29</v>
      </c>
      <c r="L48" s="1488">
        <v>0.85</v>
      </c>
      <c r="N48" s="1472">
        <f t="shared" si="129"/>
        <v>2.1000000000000001E-2</v>
      </c>
      <c r="O48" s="1489">
        <f t="shared" si="129"/>
        <v>1.8600000000000002E-2</v>
      </c>
      <c r="P48" s="1489">
        <f t="shared" si="129"/>
        <v>2.29E-2</v>
      </c>
      <c r="Q48" s="1489">
        <f t="shared" si="129"/>
        <v>8.5000000000000006E-3</v>
      </c>
      <c r="R48" s="1474"/>
      <c r="S48" s="1472"/>
      <c r="T48" s="1473"/>
      <c r="U48" s="1473"/>
      <c r="V48" s="1473"/>
    </row>
    <row r="49" spans="1:26">
      <c r="A49" s="1461" t="s">
        <v>1176</v>
      </c>
      <c r="B49" s="1477">
        <f t="shared" si="143"/>
        <v>210.630522469011</v>
      </c>
      <c r="C49" s="1477">
        <f t="shared" si="143"/>
        <v>181.69567812247232</v>
      </c>
      <c r="D49" s="1477">
        <f t="shared" si="127"/>
        <v>181.69567812247232</v>
      </c>
      <c r="E49" s="1477">
        <f t="shared" si="144"/>
        <v>286.13517466736738</v>
      </c>
      <c r="F49" s="1477">
        <f t="shared" si="144"/>
        <v>165.47535084591149</v>
      </c>
      <c r="G49" s="3300">
        <v>2009</v>
      </c>
      <c r="H49" s="1465">
        <v>2</v>
      </c>
      <c r="I49" s="1465">
        <v>0.86</v>
      </c>
      <c r="J49" s="1465">
        <v>-1.1299999999999999</v>
      </c>
      <c r="K49" s="1465">
        <v>1.79</v>
      </c>
      <c r="L49" s="1479">
        <v>-2.0699999999999998</v>
      </c>
      <c r="N49" s="1472">
        <f t="shared" si="129"/>
        <v>8.6E-3</v>
      </c>
      <c r="O49" s="1489">
        <f t="shared" si="129"/>
        <v>-1.1299999999999999E-2</v>
      </c>
      <c r="P49" s="1489">
        <f t="shared" si="129"/>
        <v>1.7899999999999999E-2</v>
      </c>
      <c r="Q49" s="1489">
        <f t="shared" si="129"/>
        <v>-2.07E-2</v>
      </c>
      <c r="R49" s="1474"/>
      <c r="S49" s="1472"/>
      <c r="T49" s="1473"/>
      <c r="U49" s="1473"/>
      <c r="V49" s="1473"/>
    </row>
    <row r="50" spans="1:26">
      <c r="A50" s="1461" t="s">
        <v>1177</v>
      </c>
      <c r="B50" s="1477">
        <f t="shared" si="143"/>
        <v>208.83454537875372</v>
      </c>
      <c r="C50" s="1477">
        <f t="shared" si="143"/>
        <v>183.77230517090351</v>
      </c>
      <c r="D50" s="1477">
        <f t="shared" si="127"/>
        <v>183.77230517090351</v>
      </c>
      <c r="E50" s="1477">
        <f t="shared" si="144"/>
        <v>281.10342338870947</v>
      </c>
      <c r="F50" s="1477">
        <f t="shared" si="144"/>
        <v>168.97309388942256</v>
      </c>
      <c r="G50" s="3301">
        <v>2009</v>
      </c>
      <c r="H50" s="1464">
        <v>1</v>
      </c>
      <c r="I50" s="1464">
        <v>-2.64</v>
      </c>
      <c r="J50" s="1464">
        <v>-2.5299999999999998</v>
      </c>
      <c r="K50" s="1464">
        <v>-3.02</v>
      </c>
      <c r="L50" s="1478">
        <v>1.52</v>
      </c>
      <c r="N50" s="1480">
        <f t="shared" si="129"/>
        <v>-2.64E-2</v>
      </c>
      <c r="O50" s="1481">
        <f t="shared" si="129"/>
        <v>-2.53E-2</v>
      </c>
      <c r="P50" s="1481">
        <f t="shared" si="129"/>
        <v>-3.0200000000000001E-2</v>
      </c>
      <c r="Q50" s="1481">
        <f t="shared" si="129"/>
        <v>1.52E-2</v>
      </c>
      <c r="R50" s="1474"/>
      <c r="S50" s="1480">
        <f>B50/B51-1</f>
        <v>-2.4137638417038754E-2</v>
      </c>
      <c r="T50" s="1481">
        <f>C50/C51-1</f>
        <v>-2.248773845264096E-2</v>
      </c>
      <c r="U50" s="1481">
        <f>E50/E51-1</f>
        <v>-2.7323794502735366E-2</v>
      </c>
      <c r="V50" s="1481">
        <f>F50/F51-1</f>
        <v>1.7910204153148035E-2</v>
      </c>
      <c r="X50" s="1460"/>
      <c r="Y50" s="1460"/>
      <c r="Z50" s="1460"/>
    </row>
    <row r="51" spans="1:26" ht="13.8" thickBot="1">
      <c r="A51" s="1461" t="s">
        <v>1178</v>
      </c>
      <c r="B51" s="1511">
        <v>214</v>
      </c>
      <c r="C51" s="1511">
        <v>188</v>
      </c>
      <c r="D51" s="1511">
        <f t="shared" si="127"/>
        <v>188</v>
      </c>
      <c r="E51" s="1511">
        <v>289</v>
      </c>
      <c r="F51" s="1512">
        <v>166</v>
      </c>
      <c r="G51" s="3299">
        <v>2008</v>
      </c>
      <c r="H51" s="1482">
        <v>4</v>
      </c>
      <c r="I51" s="1482">
        <v>1.73</v>
      </c>
      <c r="J51" s="1482">
        <v>0.03</v>
      </c>
      <c r="K51" s="1482">
        <v>2.59</v>
      </c>
      <c r="L51" s="1483">
        <v>-1.66</v>
      </c>
      <c r="N51" s="1472">
        <f t="shared" si="129"/>
        <v>1.7299999999999999E-2</v>
      </c>
      <c r="O51" s="1473">
        <f t="shared" si="129"/>
        <v>2.9999999999999997E-4</v>
      </c>
      <c r="P51" s="1473">
        <f t="shared" si="129"/>
        <v>2.5899999999999999E-2</v>
      </c>
      <c r="Q51" s="1473">
        <f t="shared" si="129"/>
        <v>-1.66E-2</v>
      </c>
      <c r="R51" s="1474"/>
      <c r="S51" s="1475"/>
      <c r="T51" s="1476"/>
      <c r="U51" s="1476"/>
      <c r="V51" s="1476"/>
      <c r="X51" s="1476"/>
      <c r="Y51" s="1476"/>
      <c r="Z51" s="1476"/>
    </row>
    <row r="52" spans="1:26">
      <c r="A52" s="1461" t="s">
        <v>1179</v>
      </c>
      <c r="B52" s="1477">
        <f t="shared" ref="B52:C54" si="145">B51/(1+N51)</f>
        <v>210.36075887152265</v>
      </c>
      <c r="C52" s="1477">
        <f t="shared" si="145"/>
        <v>187.94361691492554</v>
      </c>
      <c r="D52" s="1477">
        <f t="shared" si="127"/>
        <v>187.94361691492554</v>
      </c>
      <c r="E52" s="1477">
        <f t="shared" ref="E52:F54" si="146">E51/(1+P51)</f>
        <v>281.70386977288234</v>
      </c>
      <c r="F52" s="1477">
        <f t="shared" si="146"/>
        <v>168.80211511083994</v>
      </c>
      <c r="G52" s="3300">
        <v>2008</v>
      </c>
      <c r="H52" s="1487">
        <v>3</v>
      </c>
      <c r="I52" s="1487">
        <v>1.96</v>
      </c>
      <c r="J52" s="1487">
        <v>2.36</v>
      </c>
      <c r="K52" s="1487">
        <v>1.82</v>
      </c>
      <c r="L52" s="1488">
        <v>2.2200000000000002</v>
      </c>
      <c r="N52" s="1472">
        <f t="shared" si="129"/>
        <v>1.9599999999999999E-2</v>
      </c>
      <c r="O52" s="1473">
        <f t="shared" si="129"/>
        <v>2.3599999999999999E-2</v>
      </c>
      <c r="P52" s="1473">
        <f t="shared" si="129"/>
        <v>1.8200000000000001E-2</v>
      </c>
      <c r="Q52" s="1473">
        <f t="shared" si="129"/>
        <v>2.2200000000000001E-2</v>
      </c>
      <c r="R52" s="1474"/>
      <c r="S52" s="1472"/>
      <c r="T52" s="1473"/>
      <c r="U52" s="1473"/>
      <c r="V52" s="1473"/>
    </row>
    <row r="53" spans="1:26">
      <c r="A53" s="1461" t="s">
        <v>1180</v>
      </c>
      <c r="B53" s="1477">
        <f t="shared" si="145"/>
        <v>206.31694671589116</v>
      </c>
      <c r="C53" s="1477">
        <f t="shared" si="145"/>
        <v>183.61041121036101</v>
      </c>
      <c r="D53" s="1477">
        <f t="shared" si="127"/>
        <v>183.61041121036101</v>
      </c>
      <c r="E53" s="1477">
        <f t="shared" si="146"/>
        <v>276.66850301795557</v>
      </c>
      <c r="F53" s="1477">
        <f t="shared" si="146"/>
        <v>165.1360938278614</v>
      </c>
      <c r="G53" s="3300">
        <v>2008</v>
      </c>
      <c r="H53" s="1465">
        <v>2</v>
      </c>
      <c r="I53" s="1465">
        <v>4.93</v>
      </c>
      <c r="J53" s="1465">
        <v>7.38</v>
      </c>
      <c r="K53" s="1465">
        <v>3.98</v>
      </c>
      <c r="L53" s="1479">
        <v>6.86</v>
      </c>
      <c r="N53" s="1472">
        <f t="shared" si="129"/>
        <v>4.9299999999999997E-2</v>
      </c>
      <c r="O53" s="1473">
        <f t="shared" si="129"/>
        <v>7.3800000000000004E-2</v>
      </c>
      <c r="P53" s="1473">
        <f t="shared" si="129"/>
        <v>3.9800000000000002E-2</v>
      </c>
      <c r="Q53" s="1473">
        <f t="shared" si="129"/>
        <v>6.8600000000000008E-2</v>
      </c>
      <c r="R53" s="1474"/>
      <c r="S53" s="1472"/>
      <c r="T53" s="1473"/>
      <c r="U53" s="1473"/>
      <c r="V53" s="1473"/>
    </row>
    <row r="54" spans="1:26" s="1517" customFormat="1" ht="13.8" thickBot="1">
      <c r="A54" s="1461" t="s">
        <v>1181</v>
      </c>
      <c r="B54" s="1514">
        <f t="shared" si="145"/>
        <v>196.62341248059772</v>
      </c>
      <c r="C54" s="1514">
        <f t="shared" si="145"/>
        <v>170.99125648199012</v>
      </c>
      <c r="D54" s="1514">
        <f t="shared" si="127"/>
        <v>170.99125648199012</v>
      </c>
      <c r="E54" s="1514">
        <f t="shared" si="146"/>
        <v>266.07857570490052</v>
      </c>
      <c r="F54" s="1514">
        <f t="shared" si="146"/>
        <v>154.53499328828505</v>
      </c>
      <c r="G54" s="3301">
        <v>2008</v>
      </c>
      <c r="H54" s="1515">
        <v>1</v>
      </c>
      <c r="I54" s="1515">
        <v>4.1399999999999997</v>
      </c>
      <c r="J54" s="1515">
        <v>3.45</v>
      </c>
      <c r="K54" s="1515">
        <v>4.95</v>
      </c>
      <c r="L54" s="1516">
        <v>4.82</v>
      </c>
      <c r="N54" s="1518">
        <f t="shared" si="129"/>
        <v>4.1399999999999999E-2</v>
      </c>
      <c r="O54" s="1519">
        <f t="shared" si="129"/>
        <v>3.4500000000000003E-2</v>
      </c>
      <c r="P54" s="1519">
        <f t="shared" si="129"/>
        <v>4.9500000000000002E-2</v>
      </c>
      <c r="Q54" s="1519">
        <f t="shared" si="129"/>
        <v>4.82E-2</v>
      </c>
      <c r="R54" s="1520"/>
      <c r="S54" s="1518">
        <f>B54/B55-1</f>
        <v>4.5869215322328349E-2</v>
      </c>
      <c r="T54" s="1519">
        <f>C54/C55-1</f>
        <v>3.6310645345394743E-2</v>
      </c>
      <c r="U54" s="1519">
        <f>E54/E55-1</f>
        <v>4.7553447657088688E-2</v>
      </c>
      <c r="V54" s="1519">
        <f>F54/F55-1</f>
        <v>4.4155360055980086E-2</v>
      </c>
      <c r="X54" s="1521"/>
      <c r="Y54" s="1521"/>
      <c r="Z54" s="1521"/>
    </row>
    <row r="55" spans="1:26" ht="13.8" thickBot="1">
      <c r="A55" s="1461" t="s">
        <v>1182</v>
      </c>
      <c r="B55" s="1469">
        <v>188</v>
      </c>
      <c r="C55" s="1469">
        <v>165</v>
      </c>
      <c r="D55" s="1469">
        <f t="shared" si="127"/>
        <v>165</v>
      </c>
      <c r="E55" s="1469">
        <v>254</v>
      </c>
      <c r="F55" s="1470">
        <v>148</v>
      </c>
      <c r="G55" s="3299">
        <v>2007</v>
      </c>
      <c r="H55" s="1522">
        <v>4</v>
      </c>
      <c r="I55" s="1522">
        <v>5.51</v>
      </c>
      <c r="J55" s="1522">
        <v>4.8899999999999997</v>
      </c>
      <c r="K55" s="1522">
        <v>6.43</v>
      </c>
      <c r="L55" s="1523">
        <v>5.36</v>
      </c>
      <c r="N55" s="1524">
        <f t="shared" ref="N55:O58" si="147">B55/B56-1</f>
        <v>4.1339718365245526E-2</v>
      </c>
      <c r="O55" s="1525">
        <f t="shared" si="147"/>
        <v>4.0324492593776018E-2</v>
      </c>
      <c r="P55" s="1525">
        <f t="shared" ref="P55:Q58" si="148">E55/E56-1</f>
        <v>6.1625555347990968E-2</v>
      </c>
      <c r="Q55" s="1525">
        <f t="shared" si="148"/>
        <v>4.6757569250590603E-2</v>
      </c>
      <c r="R55" s="1474"/>
      <c r="S55" s="1475"/>
      <c r="T55" s="1476"/>
      <c r="U55" s="1476"/>
      <c r="V55" s="1476"/>
      <c r="X55" s="1476"/>
      <c r="Y55" s="1476"/>
      <c r="Z55" s="1476"/>
    </row>
    <row r="56" spans="1:26">
      <c r="A56" s="1461" t="s">
        <v>1183</v>
      </c>
      <c r="B56" s="1477">
        <f t="shared" ref="B56:C58" si="149">B57+(B$55-B$59)*I56/SUM(I$55:I$58)</f>
        <v>180.5366651097618</v>
      </c>
      <c r="C56" s="1477">
        <f t="shared" si="149"/>
        <v>158.60435967302453</v>
      </c>
      <c r="D56" s="1477">
        <f t="shared" si="127"/>
        <v>158.60435967302453</v>
      </c>
      <c r="E56" s="1477">
        <f t="shared" ref="E56:F58" si="150">E57+(E$55-E$59)*K56/SUM(K$55:K$58)</f>
        <v>239.25573260785075</v>
      </c>
      <c r="F56" s="1477">
        <f t="shared" si="150"/>
        <v>141.38899430740037</v>
      </c>
      <c r="G56" s="3300">
        <v>2007</v>
      </c>
      <c r="H56" s="1487">
        <v>3</v>
      </c>
      <c r="I56" s="1487">
        <v>8.65</v>
      </c>
      <c r="J56" s="1487">
        <v>8.06</v>
      </c>
      <c r="K56" s="1487">
        <v>9.94</v>
      </c>
      <c r="L56" s="1488">
        <v>5.8</v>
      </c>
      <c r="N56" s="1524">
        <f t="shared" si="147"/>
        <v>6.940217571740015E-2</v>
      </c>
      <c r="O56" s="1525">
        <f t="shared" si="147"/>
        <v>7.1197482471153428E-2</v>
      </c>
      <c r="P56" s="1525">
        <f t="shared" si="148"/>
        <v>0.10529679922579582</v>
      </c>
      <c r="Q56" s="1525">
        <f t="shared" si="148"/>
        <v>5.3292245059512133E-2</v>
      </c>
      <c r="R56" s="1474"/>
      <c r="S56" s="1472"/>
      <c r="T56" s="1473"/>
      <c r="U56" s="1473"/>
      <c r="V56" s="1473"/>
      <c r="X56" s="1526"/>
      <c r="Y56" s="1526"/>
      <c r="Z56" s="1526"/>
    </row>
    <row r="57" spans="1:26">
      <c r="A57" s="1461" t="s">
        <v>1184</v>
      </c>
      <c r="B57" s="1477">
        <f t="shared" si="149"/>
        <v>168.82017748715555</v>
      </c>
      <c r="C57" s="1477">
        <f t="shared" si="149"/>
        <v>148.06267029972753</v>
      </c>
      <c r="D57" s="1477">
        <f t="shared" si="127"/>
        <v>148.06267029972753</v>
      </c>
      <c r="E57" s="1477">
        <f t="shared" si="150"/>
        <v>216.46288379323747</v>
      </c>
      <c r="F57" s="1477">
        <f t="shared" si="150"/>
        <v>134.23529411764704</v>
      </c>
      <c r="G57" s="3300">
        <v>2007</v>
      </c>
      <c r="H57" s="1465">
        <v>2</v>
      </c>
      <c r="I57" s="1465">
        <v>3.67</v>
      </c>
      <c r="J57" s="1465">
        <v>2.3199999999999998</v>
      </c>
      <c r="K57" s="1465">
        <v>5.0199999999999996</v>
      </c>
      <c r="L57" s="1479">
        <v>6.71</v>
      </c>
      <c r="N57" s="1524">
        <f t="shared" si="147"/>
        <v>3.0339138143848032E-2</v>
      </c>
      <c r="O57" s="1525">
        <f t="shared" si="147"/>
        <v>2.0922341588790472E-2</v>
      </c>
      <c r="P57" s="1525">
        <f t="shared" si="148"/>
        <v>5.6164796592717003E-2</v>
      </c>
      <c r="Q57" s="1525">
        <f t="shared" si="148"/>
        <v>6.5704536723887319E-2</v>
      </c>
      <c r="R57" s="1474"/>
      <c r="S57" s="1472"/>
      <c r="T57" s="1473"/>
      <c r="U57" s="1473"/>
      <c r="V57" s="1473"/>
      <c r="X57" s="1526"/>
      <c r="Y57" s="1526"/>
      <c r="Z57" s="1526"/>
    </row>
    <row r="58" spans="1:26">
      <c r="A58" s="1461" t="s">
        <v>1185</v>
      </c>
      <c r="B58" s="1477">
        <f t="shared" si="149"/>
        <v>163.84913591779542</v>
      </c>
      <c r="C58" s="1477">
        <f t="shared" si="149"/>
        <v>145.0283378746594</v>
      </c>
      <c r="D58" s="1477">
        <f t="shared" si="127"/>
        <v>145.0283378746594</v>
      </c>
      <c r="E58" s="1477">
        <f t="shared" si="150"/>
        <v>204.95180722891567</v>
      </c>
      <c r="F58" s="1477">
        <f t="shared" si="150"/>
        <v>125.95920303605313</v>
      </c>
      <c r="G58" s="3301">
        <v>2007</v>
      </c>
      <c r="H58" s="1464">
        <v>1</v>
      </c>
      <c r="I58" s="1464">
        <v>3.58</v>
      </c>
      <c r="J58" s="1464">
        <v>3.08</v>
      </c>
      <c r="K58" s="1464">
        <v>4.34</v>
      </c>
      <c r="L58" s="1478">
        <v>3.21</v>
      </c>
      <c r="N58" s="1527">
        <f t="shared" si="147"/>
        <v>3.0497710174814063E-2</v>
      </c>
      <c r="O58" s="1528">
        <f t="shared" si="147"/>
        <v>2.8569772160704998E-2</v>
      </c>
      <c r="P58" s="1528">
        <f t="shared" si="148"/>
        <v>5.1034908866234296E-2</v>
      </c>
      <c r="Q58" s="1528">
        <f t="shared" si="14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8" thickBot="1">
      <c r="A59" s="1461" t="s">
        <v>1186</v>
      </c>
      <c r="B59" s="1490">
        <v>159</v>
      </c>
      <c r="C59" s="1490">
        <v>141</v>
      </c>
      <c r="D59" s="1490">
        <f t="shared" si="127"/>
        <v>141</v>
      </c>
      <c r="E59" s="1490">
        <v>195</v>
      </c>
      <c r="F59" s="1491">
        <v>122</v>
      </c>
      <c r="G59" s="3299">
        <v>2006</v>
      </c>
      <c r="H59" s="1482">
        <v>4</v>
      </c>
      <c r="I59" s="1482">
        <v>3.79</v>
      </c>
      <c r="J59" s="1482">
        <v>2.21</v>
      </c>
      <c r="K59" s="1482">
        <v>5.65</v>
      </c>
      <c r="L59" s="1483">
        <v>5.41</v>
      </c>
      <c r="N59" s="1524">
        <f t="shared" ref="N59:O62" si="151">I59/SUM(I$59:I$62)*(B$59/B$63-1)</f>
        <v>7.245466462748526E-2</v>
      </c>
      <c r="O59" s="1525">
        <f t="shared" si="151"/>
        <v>2.3237230038062766E-2</v>
      </c>
      <c r="P59" s="1525">
        <f t="shared" ref="P59:Q62" si="152">K59/SUM(K$59:K$62)*(E$59/E$63-1)</f>
        <v>0.16146893866323722</v>
      </c>
      <c r="Q59" s="1525">
        <f t="shared" si="152"/>
        <v>5.0755230321793784E-2</v>
      </c>
      <c r="R59" s="1474"/>
      <c r="S59" s="1475"/>
      <c r="T59" s="1476"/>
      <c r="U59" s="1476"/>
      <c r="V59" s="1476"/>
      <c r="X59" s="1526"/>
      <c r="Y59" s="1526"/>
      <c r="Z59" s="1526"/>
    </row>
    <row r="60" spans="1:26">
      <c r="A60" s="1461" t="s">
        <v>1187</v>
      </c>
      <c r="B60" s="1477">
        <f t="shared" ref="B60:C62" si="153">B61+(B$59-B$63)*I60/SUM(I$59:I$62)</f>
        <v>149.00125628140702</v>
      </c>
      <c r="C60" s="1477">
        <f t="shared" si="153"/>
        <v>137.95592286501378</v>
      </c>
      <c r="D60" s="1477">
        <f t="shared" si="127"/>
        <v>137.95592286501378</v>
      </c>
      <c r="E60" s="1477">
        <f t="shared" ref="E60:F62" si="154">E61+(E$59-E$63)*K60/SUM(K$59:K$62)</f>
        <v>169.97231450719823</v>
      </c>
      <c r="F60" s="1477">
        <f t="shared" si="154"/>
        <v>116.21390374331551</v>
      </c>
      <c r="G60" s="3300">
        <v>2006</v>
      </c>
      <c r="H60" s="1487">
        <v>3</v>
      </c>
      <c r="I60" s="1487">
        <v>0.92</v>
      </c>
      <c r="J60" s="1487">
        <v>1.08</v>
      </c>
      <c r="K60" s="1487">
        <v>0.73</v>
      </c>
      <c r="L60" s="1488">
        <v>1.08</v>
      </c>
      <c r="N60" s="1524">
        <f t="shared" si="151"/>
        <v>1.7587939698492462E-2</v>
      </c>
      <c r="O60" s="1525">
        <f t="shared" si="151"/>
        <v>1.1355750425840628E-2</v>
      </c>
      <c r="P60" s="1525">
        <f t="shared" si="152"/>
        <v>2.0862358446754544E-2</v>
      </c>
      <c r="Q60" s="1525">
        <f t="shared" si="152"/>
        <v>1.0132282578103011E-2</v>
      </c>
      <c r="R60" s="1474"/>
      <c r="S60" s="1472"/>
      <c r="T60" s="1473"/>
      <c r="U60" s="1473"/>
      <c r="V60" s="1473"/>
      <c r="X60" s="1526"/>
      <c r="Y60" s="1526"/>
      <c r="Z60" s="1526"/>
    </row>
    <row r="61" spans="1:26">
      <c r="A61" s="1461" t="s">
        <v>1188</v>
      </c>
      <c r="B61" s="1477">
        <f t="shared" si="153"/>
        <v>146.57412060301507</v>
      </c>
      <c r="C61" s="1477">
        <f t="shared" si="153"/>
        <v>136.46831955922866</v>
      </c>
      <c r="D61" s="1477">
        <f t="shared" si="127"/>
        <v>136.46831955922866</v>
      </c>
      <c r="E61" s="1477">
        <f t="shared" si="154"/>
        <v>166.73864894795128</v>
      </c>
      <c r="F61" s="1477">
        <f t="shared" si="154"/>
        <v>115.05882352941177</v>
      </c>
      <c r="G61" s="3300">
        <v>2006</v>
      </c>
      <c r="H61" s="1465">
        <v>2</v>
      </c>
      <c r="I61" s="1465">
        <v>0.96</v>
      </c>
      <c r="J61" s="1465">
        <v>0.25</v>
      </c>
      <c r="K61" s="1465">
        <v>1.9</v>
      </c>
      <c r="L61" s="1479">
        <v>0.95</v>
      </c>
      <c r="N61" s="1524">
        <f t="shared" si="151"/>
        <v>1.8352632728861701E-2</v>
      </c>
      <c r="O61" s="1525">
        <f t="shared" si="151"/>
        <v>2.6286459319075526E-3</v>
      </c>
      <c r="P61" s="1525">
        <f t="shared" si="152"/>
        <v>5.4299289107991269E-2</v>
      </c>
      <c r="Q61" s="1525">
        <f t="shared" si="152"/>
        <v>8.9126559714794995E-3</v>
      </c>
      <c r="R61" s="1474"/>
      <c r="S61" s="1472"/>
      <c r="T61" s="1473"/>
      <c r="U61" s="1473"/>
      <c r="V61" s="1473"/>
      <c r="X61" s="1526"/>
      <c r="Y61" s="1526"/>
      <c r="Z61" s="1526"/>
    </row>
    <row r="62" spans="1:26">
      <c r="A62" s="1461" t="s">
        <v>1189</v>
      </c>
      <c r="B62" s="1477">
        <f t="shared" si="153"/>
        <v>144.04145728643215</v>
      </c>
      <c r="C62" s="1477">
        <f t="shared" si="153"/>
        <v>136.12396694214877</v>
      </c>
      <c r="D62" s="1477">
        <f t="shared" si="127"/>
        <v>136.12396694214877</v>
      </c>
      <c r="E62" s="1477">
        <f t="shared" si="154"/>
        <v>158.32225913621264</v>
      </c>
      <c r="F62" s="1477">
        <f t="shared" si="154"/>
        <v>114.04278074866311</v>
      </c>
      <c r="G62" s="3301">
        <v>2006</v>
      </c>
      <c r="H62" s="1464">
        <v>1</v>
      </c>
      <c r="I62" s="1464">
        <v>2.29</v>
      </c>
      <c r="J62" s="1464">
        <v>3.72</v>
      </c>
      <c r="K62" s="1464">
        <v>0.75</v>
      </c>
      <c r="L62" s="1478">
        <v>0.04</v>
      </c>
      <c r="N62" s="1527">
        <f t="shared" si="151"/>
        <v>4.3778675988638847E-2</v>
      </c>
      <c r="O62" s="1528">
        <f t="shared" si="151"/>
        <v>3.9114251466784385E-2</v>
      </c>
      <c r="P62" s="1528">
        <f t="shared" si="152"/>
        <v>2.1433929911049188E-2</v>
      </c>
      <c r="Q62" s="1528">
        <f t="shared" si="15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8" thickBot="1">
      <c r="A63" s="1461" t="s">
        <v>1190</v>
      </c>
      <c r="B63" s="1490">
        <v>138</v>
      </c>
      <c r="C63" s="1490">
        <v>131</v>
      </c>
      <c r="D63" s="1490">
        <f t="shared" si="127"/>
        <v>131</v>
      </c>
      <c r="E63" s="1490">
        <v>155</v>
      </c>
      <c r="F63" s="1491">
        <v>114</v>
      </c>
      <c r="G63" s="3299">
        <v>2005</v>
      </c>
      <c r="H63" s="1482">
        <v>4</v>
      </c>
      <c r="I63" s="1482">
        <v>3.29</v>
      </c>
      <c r="J63" s="1482">
        <v>1.44</v>
      </c>
      <c r="K63" s="1482">
        <v>0.66</v>
      </c>
      <c r="L63" s="1483">
        <v>7.78</v>
      </c>
      <c r="N63" s="1524">
        <f t="shared" ref="N63:O66" si="155">I63/SUM(I$63:I$66)*(B$63/B$67-1)</f>
        <v>9.9404603216919935E-2</v>
      </c>
      <c r="O63" s="1525">
        <f t="shared" si="155"/>
        <v>4.7636550760861554E-2</v>
      </c>
      <c r="P63" s="1525">
        <f t="shared" ref="P63:Q66" si="156">K63/SUM(K$63:K$66)*(E$63/E$67-1)</f>
        <v>8.3756345177664976E-2</v>
      </c>
      <c r="Q63" s="1525">
        <f t="shared" si="156"/>
        <v>5.2148766661559584E-2</v>
      </c>
      <c r="R63" s="1474"/>
      <c r="S63" s="1475"/>
      <c r="T63" s="1476"/>
      <c r="U63" s="1476"/>
      <c r="V63" s="1476"/>
      <c r="X63" s="1526"/>
      <c r="Y63" s="1526"/>
      <c r="Z63" s="1526"/>
    </row>
    <row r="64" spans="1:26">
      <c r="A64" s="1461" t="s">
        <v>1191</v>
      </c>
      <c r="B64" s="1477">
        <f t="shared" ref="B64:C66" si="157">B65+(B$63-B$67)*I64/SUM(I$63:I$66)</f>
        <v>125.9720430107527</v>
      </c>
      <c r="C64" s="1477">
        <f t="shared" si="157"/>
        <v>125.1883408071749</v>
      </c>
      <c r="D64" s="1477">
        <f t="shared" si="127"/>
        <v>125.1883408071749</v>
      </c>
      <c r="E64" s="1477">
        <f t="shared" ref="E64:F66" si="158">E65+(E$63-E$67)*K64/SUM(K$63:K$66)</f>
        <v>144.61421319796952</v>
      </c>
      <c r="F64" s="1477">
        <f t="shared" si="158"/>
        <v>108.42008196721311</v>
      </c>
      <c r="G64" s="3300">
        <v>2005</v>
      </c>
      <c r="H64" s="1487">
        <v>3</v>
      </c>
      <c r="I64" s="1487">
        <v>0.46</v>
      </c>
      <c r="J64" s="1487">
        <v>0.32</v>
      </c>
      <c r="K64" s="1487">
        <v>0.42</v>
      </c>
      <c r="L64" s="1488">
        <v>0.64</v>
      </c>
      <c r="N64" s="1524">
        <f t="shared" si="155"/>
        <v>1.3898515951301874E-2</v>
      </c>
      <c r="O64" s="1525">
        <f t="shared" si="155"/>
        <v>1.0585900169080346E-2</v>
      </c>
      <c r="P64" s="1525">
        <f t="shared" si="156"/>
        <v>5.3299492385786795E-2</v>
      </c>
      <c r="Q64" s="1525">
        <f t="shared" si="156"/>
        <v>4.2898728359123568E-3</v>
      </c>
      <c r="R64" s="1474"/>
      <c r="S64" s="1472"/>
      <c r="T64" s="1473"/>
      <c r="U64" s="1473"/>
      <c r="V64" s="1473"/>
      <c r="X64" s="1526"/>
      <c r="Y64" s="1526"/>
      <c r="Z64" s="1526"/>
    </row>
    <row r="65" spans="1:26">
      <c r="A65" s="1461" t="s">
        <v>1192</v>
      </c>
      <c r="B65" s="1477">
        <f t="shared" si="157"/>
        <v>124.29032258064517</v>
      </c>
      <c r="C65" s="1477">
        <f t="shared" si="157"/>
        <v>123.8968609865471</v>
      </c>
      <c r="D65" s="1477">
        <f t="shared" si="127"/>
        <v>123.8968609865471</v>
      </c>
      <c r="E65" s="1477">
        <f t="shared" si="158"/>
        <v>138.00507614213197</v>
      </c>
      <c r="F65" s="1477">
        <f t="shared" si="158"/>
        <v>107.96106557377048</v>
      </c>
      <c r="G65" s="3300">
        <v>2005</v>
      </c>
      <c r="H65" s="1465">
        <v>2</v>
      </c>
      <c r="I65" s="1465">
        <v>0.47</v>
      </c>
      <c r="J65" s="1465">
        <v>0.1</v>
      </c>
      <c r="K65" s="1465">
        <v>0.52</v>
      </c>
      <c r="L65" s="1479">
        <v>0.79</v>
      </c>
      <c r="N65" s="1524">
        <f t="shared" si="155"/>
        <v>1.420065760241713E-2</v>
      </c>
      <c r="O65" s="1525">
        <f t="shared" si="155"/>
        <v>3.3080938028376083E-3</v>
      </c>
      <c r="P65" s="1525">
        <f t="shared" si="156"/>
        <v>6.598984771573603E-2</v>
      </c>
      <c r="Q65" s="1525">
        <f t="shared" si="156"/>
        <v>5.2953117818293153E-3</v>
      </c>
      <c r="R65" s="1474"/>
      <c r="S65" s="1472"/>
      <c r="T65" s="1473"/>
      <c r="U65" s="1473"/>
      <c r="V65" s="1473"/>
      <c r="X65" s="1526"/>
      <c r="Y65" s="1526"/>
      <c r="Z65" s="1526"/>
    </row>
    <row r="66" spans="1:26">
      <c r="A66" s="1461" t="s">
        <v>1193</v>
      </c>
      <c r="B66" s="1477">
        <f t="shared" si="157"/>
        <v>122.57204301075269</v>
      </c>
      <c r="C66" s="1477">
        <f t="shared" si="157"/>
        <v>123.4932735426009</v>
      </c>
      <c r="D66" s="1477">
        <f t="shared" si="127"/>
        <v>123.4932735426009</v>
      </c>
      <c r="E66" s="1477">
        <f t="shared" si="158"/>
        <v>129.82233502538071</v>
      </c>
      <c r="F66" s="1477">
        <f t="shared" si="158"/>
        <v>107.39446721311475</v>
      </c>
      <c r="G66" s="3301">
        <v>2005</v>
      </c>
      <c r="H66" s="1464">
        <v>1</v>
      </c>
      <c r="I66" s="1464">
        <v>0.43</v>
      </c>
      <c r="J66" s="1464">
        <v>0.37</v>
      </c>
      <c r="K66" s="1464">
        <v>0.37</v>
      </c>
      <c r="L66" s="1478">
        <v>0.55000000000000004</v>
      </c>
      <c r="N66" s="1527">
        <f t="shared" si="155"/>
        <v>1.2992090997956099E-2</v>
      </c>
      <c r="O66" s="1528">
        <f t="shared" si="155"/>
        <v>1.2239947070499151E-2</v>
      </c>
      <c r="P66" s="1528">
        <f t="shared" si="156"/>
        <v>4.6954314720812178E-2</v>
      </c>
      <c r="Q66" s="1528">
        <f t="shared" si="15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8" thickBot="1">
      <c r="A67" s="1461" t="s">
        <v>1194</v>
      </c>
      <c r="B67" s="1511">
        <v>121</v>
      </c>
      <c r="C67" s="1511">
        <v>122</v>
      </c>
      <c r="D67" s="1511">
        <f t="shared" si="127"/>
        <v>122</v>
      </c>
      <c r="E67" s="1511">
        <v>124</v>
      </c>
      <c r="F67" s="1512">
        <v>107</v>
      </c>
      <c r="G67" s="3299">
        <v>2004</v>
      </c>
      <c r="H67" s="1482">
        <v>4</v>
      </c>
      <c r="I67" s="1482">
        <v>0.33</v>
      </c>
      <c r="J67" s="1482">
        <v>0.5</v>
      </c>
      <c r="K67" s="1482">
        <v>0.5</v>
      </c>
      <c r="L67" s="1483">
        <v>0</v>
      </c>
      <c r="N67" s="1524">
        <f t="shared" ref="N67:O70" si="159">I67/SUM(I$67:I$70)*(B$67/B$71-1)</f>
        <v>1.3391770148526898E-2</v>
      </c>
      <c r="O67" s="1525">
        <f t="shared" si="159"/>
        <v>1.063264221158958E-2</v>
      </c>
      <c r="P67" s="1525">
        <f t="shared" ref="P67:Q70" si="160">K67/SUM(K$67:K$70)*(E$67/E$71-1)</f>
        <v>2.2244466688911134E-2</v>
      </c>
      <c r="Q67" s="1525">
        <f t="shared" si="160"/>
        <v>0</v>
      </c>
      <c r="R67" s="1474"/>
      <c r="S67" s="1475"/>
      <c r="T67" s="1476"/>
      <c r="U67" s="1476"/>
      <c r="V67" s="1476"/>
      <c r="X67" s="1526"/>
      <c r="Y67" s="1526"/>
      <c r="Z67" s="1526"/>
    </row>
    <row r="68" spans="1:26">
      <c r="A68" s="1461" t="s">
        <v>1195</v>
      </c>
      <c r="B68" s="1477">
        <f t="shared" ref="B68:C70" si="161">B69+(B$67-B$71)*I68/SUM(I$67:I$70)</f>
        <v>119.51351351351352</v>
      </c>
      <c r="C68" s="1477">
        <f t="shared" si="161"/>
        <v>120.7878787878788</v>
      </c>
      <c r="D68" s="1477">
        <f t="shared" si="127"/>
        <v>120.7878787878788</v>
      </c>
      <c r="E68" s="1477">
        <f t="shared" ref="E68:F70" si="162">E69+(E$67-E$71)*K68/SUM(K$67:K$70)</f>
        <v>121.5975975975976</v>
      </c>
      <c r="F68" s="1477">
        <f t="shared" si="162"/>
        <v>107</v>
      </c>
      <c r="G68" s="3300">
        <v>2004</v>
      </c>
      <c r="H68" s="1487">
        <v>3</v>
      </c>
      <c r="I68" s="1487">
        <v>0.56000000000000005</v>
      </c>
      <c r="J68" s="1487">
        <v>0.8</v>
      </c>
      <c r="K68" s="1487">
        <v>0.83</v>
      </c>
      <c r="L68" s="1488">
        <v>0.06</v>
      </c>
      <c r="N68" s="1524">
        <f t="shared" si="159"/>
        <v>2.2725428130833527E-2</v>
      </c>
      <c r="O68" s="1525">
        <f t="shared" si="159"/>
        <v>1.7012227538543329E-2</v>
      </c>
      <c r="P68" s="1525">
        <f t="shared" si="160"/>
        <v>3.6925814703592477E-2</v>
      </c>
      <c r="Q68" s="1525">
        <f t="shared" si="160"/>
        <v>2.8846153846153744E-2</v>
      </c>
      <c r="R68" s="1474"/>
      <c r="S68" s="1472"/>
      <c r="T68" s="1473"/>
      <c r="U68" s="1473"/>
      <c r="V68" s="1473"/>
      <c r="X68" s="1526"/>
      <c r="Y68" s="1526"/>
      <c r="Z68" s="1526"/>
    </row>
    <row r="69" spans="1:26">
      <c r="A69" s="1461" t="s">
        <v>1196</v>
      </c>
      <c r="B69" s="1477">
        <f t="shared" si="161"/>
        <v>116.99099099099099</v>
      </c>
      <c r="C69" s="1477">
        <f t="shared" si="161"/>
        <v>118.84848484848486</v>
      </c>
      <c r="D69" s="1477">
        <f t="shared" si="127"/>
        <v>118.84848484848486</v>
      </c>
      <c r="E69" s="1477">
        <f t="shared" si="162"/>
        <v>117.60960960960961</v>
      </c>
      <c r="F69" s="1477">
        <f t="shared" si="162"/>
        <v>104</v>
      </c>
      <c r="G69" s="3300">
        <v>2004</v>
      </c>
      <c r="H69" s="1465">
        <v>2</v>
      </c>
      <c r="I69" s="1465">
        <v>1</v>
      </c>
      <c r="J69" s="1465">
        <v>1.5</v>
      </c>
      <c r="K69" s="1465">
        <v>1.5</v>
      </c>
      <c r="L69" s="1479">
        <v>0</v>
      </c>
      <c r="N69" s="1524">
        <f t="shared" si="159"/>
        <v>4.0581121662202721E-2</v>
      </c>
      <c r="O69" s="1525">
        <f t="shared" si="159"/>
        <v>3.1897926634768738E-2</v>
      </c>
      <c r="P69" s="1525">
        <f t="shared" si="160"/>
        <v>6.6733400066733395E-2</v>
      </c>
      <c r="Q69" s="1525">
        <f t="shared" si="160"/>
        <v>0</v>
      </c>
      <c r="R69" s="1474"/>
      <c r="S69" s="1472"/>
      <c r="T69" s="1473"/>
      <c r="U69" s="1473"/>
      <c r="V69" s="1473"/>
      <c r="X69" s="1526"/>
      <c r="Y69" s="1526"/>
      <c r="Z69" s="1526"/>
    </row>
    <row r="70" spans="1:26" s="1517" customFormat="1" ht="13.8" thickBot="1">
      <c r="A70" s="1461" t="s">
        <v>1197</v>
      </c>
      <c r="B70" s="1514">
        <f t="shared" si="161"/>
        <v>112.48648648648648</v>
      </c>
      <c r="C70" s="1514">
        <f t="shared" si="161"/>
        <v>115.21212121212122</v>
      </c>
      <c r="D70" s="1514">
        <f t="shared" si="127"/>
        <v>115.21212121212122</v>
      </c>
      <c r="E70" s="1514">
        <f t="shared" si="162"/>
        <v>110.4024024024024</v>
      </c>
      <c r="F70" s="1514">
        <f t="shared" si="162"/>
        <v>104</v>
      </c>
      <c r="G70" s="3301">
        <v>2004</v>
      </c>
      <c r="H70" s="1515">
        <v>1</v>
      </c>
      <c r="I70" s="1515">
        <v>0.33</v>
      </c>
      <c r="J70" s="1515">
        <v>0.5</v>
      </c>
      <c r="K70" s="1515">
        <v>0.5</v>
      </c>
      <c r="L70" s="1516">
        <v>0</v>
      </c>
      <c r="N70" s="1529">
        <f t="shared" si="159"/>
        <v>1.3391770148526898E-2</v>
      </c>
      <c r="O70" s="1530">
        <f t="shared" si="159"/>
        <v>1.063264221158958E-2</v>
      </c>
      <c r="P70" s="1530">
        <f t="shared" si="160"/>
        <v>2.2244466688911134E-2</v>
      </c>
      <c r="Q70" s="1530">
        <f t="shared" si="160"/>
        <v>0</v>
      </c>
      <c r="R70" s="1520"/>
      <c r="S70" s="1518">
        <f>B70/B71-1</f>
        <v>1.3391770148526883E-2</v>
      </c>
      <c r="T70" s="1519">
        <f>C70/C71-1</f>
        <v>1.063264221158966E-2</v>
      </c>
      <c r="U70" s="1519">
        <f>E70/E71-1</f>
        <v>2.2244466688911224E-2</v>
      </c>
      <c r="V70" s="1519">
        <f>F70/F71-1</f>
        <v>0</v>
      </c>
      <c r="X70" s="1531"/>
      <c r="Y70" s="1531"/>
      <c r="Z70" s="1531"/>
    </row>
    <row r="71" spans="1:26" ht="13.8" thickBot="1">
      <c r="A71" s="1461" t="s">
        <v>1198</v>
      </c>
      <c r="B71" s="1532">
        <v>111</v>
      </c>
      <c r="C71" s="1532">
        <v>114</v>
      </c>
      <c r="D71" s="1532">
        <f t="shared" si="127"/>
        <v>114</v>
      </c>
      <c r="E71" s="1532">
        <v>108</v>
      </c>
      <c r="F71" s="1533">
        <v>104</v>
      </c>
      <c r="G71" s="329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3">B73+(B$71-B$75)/4</f>
        <v>109.75</v>
      </c>
      <c r="C72" s="1536">
        <f t="shared" si="163"/>
        <v>112.25</v>
      </c>
      <c r="D72" s="1536">
        <f t="shared" si="127"/>
        <v>112.25</v>
      </c>
      <c r="E72" s="1536">
        <f t="shared" ref="E72:F74" si="164">E73+(E$71-E$75)/4</f>
        <v>107.25</v>
      </c>
      <c r="F72" s="1536">
        <f t="shared" si="164"/>
        <v>103.5</v>
      </c>
      <c r="G72" s="3300">
        <v>2003</v>
      </c>
      <c r="H72" s="1487">
        <v>3</v>
      </c>
      <c r="I72" s="1534"/>
      <c r="J72" s="1534"/>
      <c r="K72" s="1534"/>
      <c r="L72" s="1534"/>
      <c r="X72" s="1526"/>
      <c r="Y72" s="1526"/>
      <c r="Z72" s="1526"/>
    </row>
    <row r="73" spans="1:26">
      <c r="A73" s="1461" t="s">
        <v>1200</v>
      </c>
      <c r="B73" s="1536">
        <f t="shared" si="163"/>
        <v>108.5</v>
      </c>
      <c r="C73" s="1536">
        <f t="shared" si="163"/>
        <v>110.5</v>
      </c>
      <c r="D73" s="1536">
        <f t="shared" si="127"/>
        <v>110.5</v>
      </c>
      <c r="E73" s="1536">
        <f t="shared" si="164"/>
        <v>106.5</v>
      </c>
      <c r="F73" s="1536">
        <f t="shared" si="164"/>
        <v>103</v>
      </c>
      <c r="G73" s="3300">
        <v>2003</v>
      </c>
      <c r="H73" s="1465">
        <v>2</v>
      </c>
      <c r="I73" s="1534"/>
      <c r="J73" s="1534"/>
      <c r="K73" s="1534"/>
      <c r="L73" s="1534"/>
      <c r="X73" s="1526"/>
      <c r="Y73" s="1526"/>
      <c r="Z73" s="1526"/>
    </row>
    <row r="74" spans="1:26" ht="13.8" thickBot="1">
      <c r="A74" s="1461" t="s">
        <v>1201</v>
      </c>
      <c r="B74" s="1536">
        <f t="shared" si="163"/>
        <v>107.25</v>
      </c>
      <c r="C74" s="1536">
        <f t="shared" si="163"/>
        <v>108.75</v>
      </c>
      <c r="D74" s="1536">
        <f t="shared" si="127"/>
        <v>108.75</v>
      </c>
      <c r="E74" s="1536">
        <f t="shared" si="164"/>
        <v>105.75</v>
      </c>
      <c r="F74" s="1536">
        <f t="shared" si="164"/>
        <v>102.5</v>
      </c>
      <c r="G74" s="3301">
        <v>2003</v>
      </c>
      <c r="H74" s="1537">
        <v>1</v>
      </c>
      <c r="I74" s="1534"/>
      <c r="J74" s="1534"/>
      <c r="K74" s="1534"/>
      <c r="L74" s="1534"/>
      <c r="S74" s="1472"/>
      <c r="T74" s="1473"/>
      <c r="U74" s="1473"/>
      <c r="X74" s="1526"/>
      <c r="Y74" s="1526"/>
      <c r="Z74" s="1526"/>
    </row>
    <row r="75" spans="1:26" ht="13.8" thickBot="1">
      <c r="A75" s="1461" t="s">
        <v>1202</v>
      </c>
      <c r="B75" s="1538">
        <v>106</v>
      </c>
      <c r="C75" s="1538">
        <v>107</v>
      </c>
      <c r="D75" s="1538">
        <f t="shared" si="127"/>
        <v>107</v>
      </c>
      <c r="E75" s="1538">
        <v>105</v>
      </c>
      <c r="F75" s="1539">
        <v>102</v>
      </c>
      <c r="G75" s="329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65">B77+(B$75-B$79)/4</f>
        <v>105</v>
      </c>
      <c r="C76" s="1536">
        <f t="shared" si="165"/>
        <v>106</v>
      </c>
      <c r="D76" s="1536">
        <f t="shared" si="127"/>
        <v>106</v>
      </c>
      <c r="E76" s="1536">
        <f t="shared" ref="E76:F78" si="166">E77+(E$75-E$79)/4</f>
        <v>104.5</v>
      </c>
      <c r="F76" s="1536">
        <f t="shared" si="166"/>
        <v>101.5</v>
      </c>
      <c r="G76" s="3300">
        <v>2002</v>
      </c>
      <c r="H76" s="1487">
        <v>3</v>
      </c>
      <c r="I76" s="1534"/>
      <c r="J76" s="1534"/>
      <c r="K76" s="1534"/>
      <c r="L76" s="1534"/>
      <c r="X76" s="1526"/>
      <c r="Y76" s="1526"/>
      <c r="Z76" s="1526"/>
    </row>
    <row r="77" spans="1:26">
      <c r="A77" s="1461" t="s">
        <v>1204</v>
      </c>
      <c r="B77" s="1536">
        <f t="shared" si="165"/>
        <v>104</v>
      </c>
      <c r="C77" s="1536">
        <f t="shared" si="165"/>
        <v>105</v>
      </c>
      <c r="D77" s="1536">
        <f t="shared" si="127"/>
        <v>105</v>
      </c>
      <c r="E77" s="1536">
        <f t="shared" si="166"/>
        <v>104</v>
      </c>
      <c r="F77" s="1536">
        <f t="shared" si="166"/>
        <v>101</v>
      </c>
      <c r="G77" s="3300">
        <v>2002</v>
      </c>
      <c r="H77" s="1465">
        <v>2</v>
      </c>
      <c r="I77" s="1534"/>
      <c r="J77" s="1534"/>
      <c r="K77" s="1534"/>
      <c r="L77" s="1534"/>
      <c r="X77" s="1526"/>
      <c r="Y77" s="1526"/>
      <c r="Z77" s="1526"/>
    </row>
    <row r="78" spans="1:26" s="1498" customFormat="1" ht="13.8" thickBot="1">
      <c r="A78" s="1494" t="s">
        <v>1205</v>
      </c>
      <c r="B78" s="1540">
        <f t="shared" si="165"/>
        <v>103</v>
      </c>
      <c r="C78" s="1540">
        <f t="shared" si="165"/>
        <v>104</v>
      </c>
      <c r="D78" s="1540">
        <f t="shared" si="127"/>
        <v>104</v>
      </c>
      <c r="E78" s="1540">
        <f t="shared" si="166"/>
        <v>103.5</v>
      </c>
      <c r="F78" s="1540">
        <f t="shared" si="166"/>
        <v>100.5</v>
      </c>
      <c r="G78" s="3301">
        <v>2002</v>
      </c>
      <c r="H78" s="1541">
        <v>1</v>
      </c>
      <c r="I78" s="1542"/>
      <c r="J78" s="1542"/>
      <c r="K78" s="1542"/>
      <c r="L78" s="1542"/>
      <c r="N78" s="1543"/>
      <c r="S78" s="1543"/>
      <c r="X78" s="1544"/>
      <c r="Y78" s="1544"/>
      <c r="Z78" s="1544"/>
    </row>
    <row r="79" spans="1:26" ht="13.5" thickBot="1">
      <c r="B79" s="1545">
        <v>102</v>
      </c>
      <c r="C79" s="1546">
        <v>103</v>
      </c>
      <c r="D79" s="1546">
        <f t="shared" si="127"/>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ht="409.6">
      <c r="A84" s="1549" t="s">
        <v>1209</v>
      </c>
      <c r="G84" s="1550"/>
      <c r="N84" s="1550"/>
      <c r="S84" s="1550"/>
    </row>
    <row r="91" spans="1:22" ht="13.8"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8"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1614</v>
      </c>
      <c r="B1" s="1957"/>
      <c r="C1" s="1957"/>
      <c r="D1" s="1957"/>
      <c r="E1" s="195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7.399999999999999">
      <c r="A3" s="2995" t="str">
        <f>IF(项目基本情况!B9="房地产市场价值","估价结果一览表（市场价值不需“结果表-1”）","估价结果一览表")</f>
        <v>估价结果一览表</v>
      </c>
      <c r="B3" s="2995"/>
      <c r="C3" s="2995"/>
      <c r="D3" s="2995"/>
      <c r="E3" s="2995"/>
    </row>
    <row r="4" spans="1:5" ht="18" thickBot="1">
      <c r="A4" s="1959"/>
      <c r="B4" s="2993" t="s">
        <v>1623</v>
      </c>
      <c r="C4" s="2993"/>
      <c r="D4" s="2993"/>
      <c r="E4" s="1959"/>
    </row>
    <row r="5" spans="1:5" ht="16.2" thickTop="1">
      <c r="A5" s="1957"/>
      <c r="B5" s="2991" t="s">
        <v>1615</v>
      </c>
      <c r="C5" s="1960" t="s">
        <v>1616</v>
      </c>
      <c r="D5" s="1040">
        <f ca="1">结果表!H101</f>
        <v>6482</v>
      </c>
      <c r="E5" s="1957"/>
    </row>
    <row r="6" spans="1:5" ht="15.6">
      <c r="A6" s="1957"/>
      <c r="B6" s="2991"/>
      <c r="C6" s="1960" t="s">
        <v>1617</v>
      </c>
      <c r="D6" s="1040" t="str">
        <f ca="1">NUMBERSTRING(INT(D5*10000),2)&amp;"元整"</f>
        <v>陆仟肆佰捌拾贰万元整</v>
      </c>
      <c r="E6" s="1957"/>
    </row>
    <row r="7" spans="1:5" ht="15.6">
      <c r="A7" s="1957"/>
      <c r="B7" s="2996"/>
      <c r="C7" s="1961" t="s">
        <v>1618</v>
      </c>
      <c r="D7" s="1041">
        <f ca="1">结果表!H102</f>
        <v>7083</v>
      </c>
      <c r="E7" s="1957"/>
    </row>
    <row r="8" spans="1:5" ht="15.6">
      <c r="A8" s="1957"/>
      <c r="B8" s="2997" t="str">
        <f>结果表!E103</f>
        <v>2.估价师知悉的法定优先受偿款</v>
      </c>
      <c r="C8" s="1962" t="s">
        <v>1619</v>
      </c>
      <c r="D8" s="1041">
        <f>结果表!H103</f>
        <v>0</v>
      </c>
      <c r="E8" s="1957"/>
    </row>
    <row r="9" spans="1:5" ht="15.6">
      <c r="A9" s="1957"/>
      <c r="B9" s="2999"/>
      <c r="C9" s="1960" t="s">
        <v>1617</v>
      </c>
      <c r="D9" s="1040" t="str">
        <f>NUMBERSTRING(INT(D8*10000),2)&amp;"元整"</f>
        <v>零元整</v>
      </c>
      <c r="E9" s="1957"/>
    </row>
    <row r="10" spans="1:5" ht="15.6">
      <c r="A10" s="1957"/>
      <c r="B10" s="1963" t="s">
        <v>1622</v>
      </c>
      <c r="C10" s="1964" t="s">
        <v>1620</v>
      </c>
      <c r="D10" s="1042">
        <f>结果表!H104</f>
        <v>0</v>
      </c>
      <c r="E10" s="1957"/>
    </row>
    <row r="11" spans="1:5" ht="15.6">
      <c r="A11" s="1957"/>
      <c r="B11" s="1963" t="s">
        <v>1624</v>
      </c>
      <c r="C11" s="1964" t="s">
        <v>1625</v>
      </c>
      <c r="D11" s="1042">
        <f>结果表!H105</f>
        <v>0</v>
      </c>
      <c r="E11" s="1957"/>
    </row>
    <row r="12" spans="1:5" ht="15.6">
      <c r="A12" s="1957"/>
      <c r="B12" s="1963" t="s">
        <v>1626</v>
      </c>
      <c r="C12" s="1964" t="s">
        <v>1625</v>
      </c>
      <c r="D12" s="1042">
        <f>结果表!H106</f>
        <v>0</v>
      </c>
      <c r="E12" s="1957"/>
    </row>
    <row r="13" spans="1:5" ht="15.6">
      <c r="A13" s="1957"/>
      <c r="B13" s="2990" t="str">
        <f>结果表!E107</f>
        <v>3.房地产抵押价值</v>
      </c>
      <c r="C13" s="1965" t="s">
        <v>1616</v>
      </c>
      <c r="D13" s="1043">
        <f ca="1">结果表!H107</f>
        <v>6482</v>
      </c>
      <c r="E13" s="1957"/>
    </row>
    <row r="14" spans="1:5" ht="15.6">
      <c r="A14" s="1957"/>
      <c r="B14" s="2991"/>
      <c r="C14" s="1960" t="s">
        <v>1617</v>
      </c>
      <c r="D14" s="1040" t="str">
        <f ca="1">NUMBERSTRING(INT(D13*10000),2)&amp;"元整"</f>
        <v>陆仟肆佰捌拾贰万元整</v>
      </c>
      <c r="E14" s="1957"/>
    </row>
    <row r="15" spans="1:5" ht="15.6">
      <c r="A15" s="1957"/>
      <c r="B15" s="2996"/>
      <c r="C15" s="1961" t="s">
        <v>1627</v>
      </c>
      <c r="D15" s="1052">
        <f ca="1">结果表!H108</f>
        <v>7083</v>
      </c>
      <c r="E15" s="1957"/>
    </row>
    <row r="16" spans="1:5" ht="15.6">
      <c r="A16" s="1957"/>
      <c r="B16" s="2997" t="str">
        <f>结果表!E109</f>
        <v>——</v>
      </c>
      <c r="C16" s="1965" t="s">
        <v>1628</v>
      </c>
      <c r="D16" s="1966" t="str">
        <f>结果表!H109</f>
        <v>——</v>
      </c>
      <c r="E16" s="1957"/>
    </row>
    <row r="17" spans="1:5" ht="15.6">
      <c r="A17" s="1957"/>
      <c r="B17" s="2998"/>
      <c r="C17" s="1960" t="s">
        <v>1629</v>
      </c>
      <c r="D17" s="1040" t="e">
        <f>NUMBERSTRING(INT(D16*10000),2)&amp;"元整"</f>
        <v>#VALUE!</v>
      </c>
      <c r="E17" s="1957"/>
    </row>
    <row r="18" spans="1:5" ht="15.6">
      <c r="A18" s="1957"/>
      <c r="B18" s="2999"/>
      <c r="C18" s="1961" t="s">
        <v>1618</v>
      </c>
      <c r="D18" s="1052" t="str">
        <f>结果表!H110</f>
        <v>——</v>
      </c>
      <c r="E18" s="1957"/>
    </row>
    <row r="19" spans="1:5" ht="15.6">
      <c r="A19" s="1957"/>
      <c r="B19" s="2990" t="str">
        <f>结果表!E111</f>
        <v>——</v>
      </c>
      <c r="C19" s="1965" t="s">
        <v>1616</v>
      </c>
      <c r="D19" s="1041" t="str">
        <f>结果表!H111</f>
        <v>——</v>
      </c>
      <c r="E19" s="1957"/>
    </row>
    <row r="20" spans="1:5" ht="15.6">
      <c r="A20" s="1957"/>
      <c r="B20" s="2991"/>
      <c r="C20" s="1960" t="s">
        <v>1629</v>
      </c>
      <c r="D20" s="1040" t="e">
        <f>NUMBERSTRING(INT(D19*10000),2)&amp;"元整"</f>
        <v>#VALUE!</v>
      </c>
      <c r="E20" s="1957"/>
    </row>
    <row r="21" spans="1:5" ht="16.2" thickBot="1">
      <c r="A21" s="1957"/>
      <c r="B21" s="2992"/>
      <c r="C21" s="1967" t="s">
        <v>1627</v>
      </c>
      <c r="D21" s="1053" t="str">
        <f>结果表!H112</f>
        <v>——</v>
      </c>
      <c r="E21" s="1957"/>
    </row>
    <row r="22" spans="1:5" ht="14.4" thickTop="1">
      <c r="A22" s="1957"/>
      <c r="B22" s="1968" t="s">
        <v>1630</v>
      </c>
      <c r="C22" s="1957"/>
      <c r="D22" s="1957"/>
      <c r="E22" s="1957"/>
    </row>
    <row r="23" spans="1:5">
      <c r="A23" s="1957"/>
      <c r="B23" s="1957"/>
      <c r="C23" s="1957"/>
      <c r="D23" s="1957"/>
      <c r="E23" s="1957"/>
    </row>
    <row r="24" spans="1:5" ht="17.399999999999999">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311" t="s">
        <v>2994</v>
      </c>
      <c r="D1" s="3312"/>
      <c r="E1" s="3312"/>
      <c r="F1" s="3312"/>
      <c r="G1" s="3312"/>
      <c r="H1" s="3312"/>
      <c r="I1" s="3312"/>
      <c r="J1" s="3312"/>
      <c r="K1" s="3312"/>
      <c r="L1" s="3312"/>
      <c r="M1" s="3312"/>
      <c r="N1" s="3312"/>
      <c r="O1" s="3312"/>
      <c r="P1" s="3312"/>
      <c r="Q1" s="3312"/>
      <c r="R1" s="3312"/>
      <c r="S1" s="3313"/>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3003</v>
      </c>
      <c r="B17" s="2907"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3005</v>
      </c>
      <c r="E19" s="1791"/>
      <c r="F19" s="1791"/>
      <c r="G19" s="1791"/>
      <c r="H19" s="1280"/>
      <c r="I19" s="168"/>
      <c r="J19" s="168"/>
      <c r="K19" s="168"/>
      <c r="L19" s="168"/>
      <c r="M19" s="168"/>
      <c r="N19" s="168"/>
      <c r="O19" s="168"/>
      <c r="P19" s="168"/>
      <c r="Q19" s="168"/>
      <c r="R19" s="788"/>
      <c r="S19" s="138"/>
    </row>
    <row r="20" spans="1:45" ht="16.2" thickBot="1">
      <c r="A20" s="715" t="s">
        <v>3006</v>
      </c>
      <c r="B20" s="338" t="e">
        <f ca="1">IF(D20="——",S22,S22-F20)</f>
        <v>#REF!</v>
      </c>
      <c r="C20" s="168"/>
      <c r="D20" s="2909" t="s">
        <v>3007</v>
      </c>
      <c r="E20" s="1792"/>
      <c r="F20" s="1204" t="e">
        <f ca="1">SUMIF(INDIRECT("'"&amp;H20&amp;"'"&amp;"!A:A"),"承租人权益价值",INDIRECT("'"&amp;H20&amp;"'"&amp;"!c:c"))</f>
        <v>#REF!</v>
      </c>
      <c r="G20" s="1204" t="s">
        <v>3008</v>
      </c>
      <c r="H20" s="2910"/>
      <c r="I20" s="168"/>
      <c r="J20" s="168"/>
      <c r="K20" s="168"/>
      <c r="L20" s="168"/>
      <c r="M20" s="168"/>
      <c r="N20" s="168"/>
      <c r="O20" s="168"/>
      <c r="P20" s="168"/>
      <c r="Q20" s="168"/>
      <c r="R20" s="788"/>
      <c r="S20" s="138"/>
    </row>
    <row r="21" spans="1:45" ht="15.6">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170" t="s">
        <v>33</v>
      </c>
      <c r="D22" s="3171"/>
      <c r="E22" s="3171"/>
      <c r="F22" s="3171"/>
      <c r="G22" s="3171"/>
      <c r="H22" s="3171"/>
      <c r="I22" s="3171"/>
      <c r="J22" s="3171"/>
      <c r="K22" s="3171"/>
      <c r="L22" s="3171"/>
      <c r="M22" s="3171"/>
      <c r="N22" s="3171"/>
      <c r="O22" s="3171"/>
      <c r="P22" s="3171"/>
      <c r="Q22" s="3310"/>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31076</v>
      </c>
      <c r="C2" s="2" t="s">
        <v>133</v>
      </c>
      <c r="D2" s="243"/>
      <c r="E2" s="243"/>
      <c r="F2" s="243"/>
      <c r="G2" s="243"/>
    </row>
    <row r="3" spans="1:7" s="244" customFormat="1" ht="18" customHeight="1" thickBot="1">
      <c r="A3" s="247" t="s">
        <v>85</v>
      </c>
      <c r="B3" s="248">
        <f ca="1">ROUND(B2*10000/'数据-汇总表'!E3,0)</f>
        <v>33955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174</v>
      </c>
      <c r="D10" s="1032">
        <f>'数据-汇总表'!E6</f>
        <v>9152.0400000000009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183</v>
      </c>
      <c r="D19" s="1036">
        <f>'数据-汇总表'!E3</f>
        <v>9152.0400000000009</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2042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6.4">
      <c r="A27" s="948" t="s">
        <v>787</v>
      </c>
      <c r="B27" s="288" t="s">
        <v>112</v>
      </c>
      <c r="C27" s="289">
        <f>C28</f>
        <v>2121</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2121</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27103</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3530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3203</v>
      </c>
      <c r="D34" s="261"/>
      <c r="E34" s="264"/>
      <c r="F34" s="301">
        <f>IF('数据-取费表'!B24=0,1,'数据-取费表'!N16)</f>
        <v>1</v>
      </c>
      <c r="G34" s="263" t="s">
        <v>116</v>
      </c>
    </row>
    <row r="35" spans="1:7" ht="13.5" customHeight="1">
      <c r="A35" s="951" t="s">
        <v>796</v>
      </c>
      <c r="B35" s="259" t="s">
        <v>60</v>
      </c>
      <c r="C35" s="264">
        <f>ROUND(C34*F35,0)</f>
        <v>96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183</v>
      </c>
      <c r="D37" s="261">
        <f>'数据-汇总表'!E3</f>
        <v>9152.0400000000009</v>
      </c>
      <c r="E37" s="293">
        <f>'数据-取费表'!B35</f>
        <v>200</v>
      </c>
      <c r="F37" s="303"/>
      <c r="G37" s="305" t="s">
        <v>119</v>
      </c>
    </row>
    <row r="38" spans="1:7" ht="13.5" customHeight="1">
      <c r="A38" s="951" t="s">
        <v>799</v>
      </c>
      <c r="B38" s="259" t="s">
        <v>63</v>
      </c>
      <c r="C38" s="264">
        <f>ROUND(C34*F38,0)</f>
        <v>48</v>
      </c>
      <c r="D38" s="264"/>
      <c r="E38" s="264"/>
      <c r="F38" s="303">
        <f>'数据-取费表'!B36</f>
        <v>1.4999999999999999E-2</v>
      </c>
      <c r="G38" s="263" t="s">
        <v>117</v>
      </c>
    </row>
    <row r="39" spans="1:7" s="258" customFormat="1" ht="13.5" customHeight="1">
      <c r="A39" s="948" t="s">
        <v>783</v>
      </c>
      <c r="B39" s="254" t="s">
        <v>104</v>
      </c>
      <c r="C39" s="276">
        <f>ROUND(C33*F20,0)</f>
        <v>71</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171</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168</v>
      </c>
      <c r="D42" s="282"/>
      <c r="E42" s="282"/>
      <c r="F42" s="283"/>
      <c r="G42" s="3175" t="s">
        <v>121</v>
      </c>
    </row>
    <row r="43" spans="1:7" ht="13.5" customHeight="1">
      <c r="A43" s="951" t="s">
        <v>792</v>
      </c>
      <c r="B43" s="259" t="s">
        <v>1060</v>
      </c>
      <c r="C43" s="282">
        <f ca="1">ROUND(IF('数据-取费表'!B22&lt;=1,C39*F22*'数据-取费表'!B21/2,C39*(POWER((1+F22),'数据-取费表'!B21/2)-1)),0)</f>
        <v>3</v>
      </c>
      <c r="D43" s="282"/>
      <c r="E43" s="282"/>
      <c r="F43" s="283"/>
      <c r="G43" s="3176"/>
    </row>
    <row r="44" spans="1:7" ht="13.5" customHeight="1">
      <c r="A44" s="951" t="s">
        <v>793</v>
      </c>
      <c r="B44" s="259" t="s">
        <v>1062</v>
      </c>
      <c r="C44" s="282">
        <f ca="1">ROUND(IF('数据-取费表'!B22&lt;=1,C40*F22*'数据-取费表'!B21/2,C40*(POWER((1+F22),'数据-取费表'!B21/2)-1)),4)</f>
        <v>5.0000000000000001E-4</v>
      </c>
      <c r="D44" s="282"/>
      <c r="E44" s="282"/>
      <c r="F44" s="283"/>
      <c r="G44" s="3177"/>
    </row>
    <row r="45" spans="1:7" s="258" customFormat="1" ht="13.5" customHeight="1">
      <c r="A45" s="948" t="s">
        <v>786</v>
      </c>
      <c r="B45" s="288" t="s">
        <v>112</v>
      </c>
      <c r="C45" s="289">
        <f>C46</f>
        <v>360</v>
      </c>
      <c r="D45" s="279">
        <f>C47</f>
        <v>1E-3</v>
      </c>
      <c r="E45" s="280" t="s">
        <v>129</v>
      </c>
      <c r="F45" s="290"/>
      <c r="G45" s="291" t="s">
        <v>1068</v>
      </c>
    </row>
    <row r="46" spans="1:7" s="258" customFormat="1" ht="13.5" customHeight="1">
      <c r="A46" s="951" t="s">
        <v>794</v>
      </c>
      <c r="B46" s="292" t="s">
        <v>1061</v>
      </c>
      <c r="C46" s="293">
        <f>ROUND((C33+C39)*F27,0)</f>
        <v>360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4414</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3973</v>
      </c>
      <c r="D51" s="276"/>
      <c r="E51" s="276"/>
      <c r="F51" s="308"/>
      <c r="G51" s="278" t="s">
        <v>64</v>
      </c>
    </row>
    <row r="52" spans="1:7" s="252" customFormat="1" ht="16.8" thickBot="1">
      <c r="A52" s="309" t="s">
        <v>65</v>
      </c>
      <c r="B52" s="310"/>
      <c r="C52" s="311">
        <f ca="1">C31+C51</f>
        <v>31076</v>
      </c>
      <c r="D52" s="310"/>
      <c r="E52" s="310"/>
      <c r="F52" s="310"/>
      <c r="G52" s="312"/>
    </row>
    <row r="55" spans="1:7" ht="15">
      <c r="B55" s="314" t="s">
        <v>66</v>
      </c>
      <c r="C55" s="315"/>
    </row>
    <row r="56" spans="1:7">
      <c r="B56" s="317" t="s">
        <v>67</v>
      </c>
      <c r="C56" s="318">
        <f ca="1">ROUND(C51/C52,3)</f>
        <v>0.128</v>
      </c>
    </row>
    <row r="57" spans="1:7">
      <c r="B57" s="317" t="s">
        <v>68</v>
      </c>
      <c r="C57" s="319">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4" t="s">
        <v>867</v>
      </c>
      <c r="B1" s="3314"/>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44000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
  <sheetViews>
    <sheetView workbookViewId="0">
      <selection activeCell="W26" sqref="W26"/>
    </sheetView>
  </sheetViews>
  <sheetFormatPr defaultRowHeight="14.4"/>
  <sheetData>
    <row r="2" spans="1:8">
      <c r="A2" s="2966" t="s">
        <v>3232</v>
      </c>
      <c r="C2" s="2965" t="s">
        <v>3234</v>
      </c>
      <c r="E2" s="2965" t="s">
        <v>3233</v>
      </c>
      <c r="H2" s="2965" t="s">
        <v>3235</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K26" sqref="K26"/>
    </sheetView>
  </sheetViews>
  <sheetFormatPr defaultRowHeight="14.4"/>
  <cols>
    <col min="1" max="1" width="12.88671875" customWidth="1"/>
    <col min="2" max="2" width="16.6640625" customWidth="1"/>
    <col min="5" max="5" width="11.109375" customWidth="1"/>
    <col min="6" max="6" width="11.44140625" customWidth="1"/>
    <col min="7" max="7" width="11.77734375" customWidth="1"/>
    <col min="8" max="8" width="12" customWidth="1"/>
    <col min="9" max="9" width="13.6640625" customWidth="1"/>
    <col min="10" max="10" width="12.44140625" customWidth="1"/>
    <col min="13" max="13" width="9.5546875" bestFit="1" customWidth="1"/>
  </cols>
  <sheetData>
    <row r="1" spans="1:13" ht="15" thickBot="1">
      <c r="A1" s="2969" t="s">
        <v>3244</v>
      </c>
      <c r="B1" s="2970">
        <v>44000</v>
      </c>
      <c r="C1" s="2971"/>
    </row>
    <row r="2" spans="1:13" ht="28.8">
      <c r="A2" s="2972" t="s">
        <v>3245</v>
      </c>
      <c r="B2" s="2973" t="s">
        <v>3246</v>
      </c>
      <c r="C2" s="2974" t="s">
        <v>3247</v>
      </c>
    </row>
    <row r="3" spans="1:13">
      <c r="A3" s="2975">
        <v>40</v>
      </c>
      <c r="B3" s="2976">
        <v>44391</v>
      </c>
      <c r="C3" s="72">
        <f>ROUNDDOWN(MIN((B3-$B$1)/365,A3),2)</f>
        <v>1.07</v>
      </c>
    </row>
    <row r="4" spans="1:13">
      <c r="A4" s="2975">
        <v>50</v>
      </c>
      <c r="B4" s="2976">
        <v>50028</v>
      </c>
      <c r="C4" s="72">
        <f>ROUNDDOWN(MIN((B4-$B$6)/365,A4),2)</f>
        <v>50</v>
      </c>
    </row>
    <row r="5" spans="1:13" ht="15" thickBot="1">
      <c r="A5" s="2977">
        <v>70</v>
      </c>
      <c r="B5" s="2978">
        <v>57333</v>
      </c>
      <c r="C5" s="2979">
        <f>ROUNDDOWN(MIN((B5-$B$6)/365,A5),2)</f>
        <v>70</v>
      </c>
    </row>
    <row r="6" spans="1:13">
      <c r="A6" s="2965"/>
      <c r="B6" s="2968"/>
    </row>
    <row r="7" spans="1:13">
      <c r="A7" s="2965" t="s">
        <v>3240</v>
      </c>
      <c r="B7">
        <v>9152.0400000000009</v>
      </c>
      <c r="E7" s="2965" t="s">
        <v>3250</v>
      </c>
      <c r="F7" s="2965" t="s">
        <v>3251</v>
      </c>
      <c r="G7" s="2965" t="s">
        <v>3252</v>
      </c>
      <c r="H7" s="2965" t="s">
        <v>3254</v>
      </c>
      <c r="I7" s="2965" t="s">
        <v>3255</v>
      </c>
      <c r="J7" s="2965" t="s">
        <v>1349</v>
      </c>
      <c r="L7" s="3327">
        <v>0.05</v>
      </c>
    </row>
    <row r="8" spans="1:13">
      <c r="A8" s="2965" t="s">
        <v>3241</v>
      </c>
      <c r="B8" s="2968">
        <v>43661</v>
      </c>
      <c r="E8" s="2968">
        <v>44000</v>
      </c>
      <c r="F8" s="2968">
        <v>44391</v>
      </c>
      <c r="G8" s="2981">
        <v>1.07</v>
      </c>
      <c r="H8" s="2981">
        <v>0.8</v>
      </c>
      <c r="I8" s="2981">
        <v>222698.67</v>
      </c>
      <c r="J8">
        <f t="shared" ref="J8:J15" si="0">I8*12*G8</f>
        <v>2859450.9228000003</v>
      </c>
    </row>
    <row r="9" spans="1:13">
      <c r="A9" s="2965" t="s">
        <v>3242</v>
      </c>
      <c r="B9" s="2968">
        <v>49139</v>
      </c>
      <c r="E9" s="2968">
        <v>44392</v>
      </c>
      <c r="F9" s="2968">
        <v>45121</v>
      </c>
      <c r="G9" s="2981">
        <v>2</v>
      </c>
      <c r="H9" s="2981">
        <v>1</v>
      </c>
      <c r="I9" s="2981">
        <v>278373.33</v>
      </c>
      <c r="J9">
        <f t="shared" si="0"/>
        <v>6680959.9199999999</v>
      </c>
      <c r="L9">
        <v>1</v>
      </c>
      <c r="M9">
        <f>L9*365*$B$7</f>
        <v>3340494.6</v>
      </c>
    </row>
    <row r="10" spans="1:13">
      <c r="A10" s="2965" t="s">
        <v>3243</v>
      </c>
      <c r="B10" s="2965">
        <v>15</v>
      </c>
      <c r="E10" s="2968">
        <v>45122</v>
      </c>
      <c r="F10" s="2968">
        <v>45852</v>
      </c>
      <c r="G10">
        <v>2</v>
      </c>
      <c r="H10">
        <v>1.1000000000000001</v>
      </c>
      <c r="I10">
        <v>306210.67</v>
      </c>
      <c r="J10">
        <f t="shared" si="0"/>
        <v>7349056.0800000001</v>
      </c>
      <c r="K10" s="3329">
        <f>H10/H9-1</f>
        <v>0.10000000000000009</v>
      </c>
      <c r="L10">
        <f t="shared" ref="L10:L24" si="1">L9*(1+$L$7)</f>
        <v>1.05</v>
      </c>
      <c r="M10">
        <f t="shared" ref="M10:M24" si="2">L10*365*$B$7</f>
        <v>3507519.3300000005</v>
      </c>
    </row>
    <row r="11" spans="1:13">
      <c r="A11" s="2965" t="s">
        <v>3249</v>
      </c>
      <c r="B11" s="2980">
        <v>14.07</v>
      </c>
      <c r="E11" s="2968">
        <v>45853</v>
      </c>
      <c r="F11" s="2968">
        <v>46582</v>
      </c>
      <c r="G11">
        <v>2</v>
      </c>
      <c r="H11">
        <v>1.2</v>
      </c>
      <c r="I11">
        <v>334048</v>
      </c>
      <c r="J11">
        <f t="shared" si="0"/>
        <v>8017152</v>
      </c>
      <c r="K11" s="3329">
        <f t="shared" ref="K11:K15" si="3">H11/H10-1</f>
        <v>9.0909090909090828E-2</v>
      </c>
      <c r="L11">
        <f t="shared" si="1"/>
        <v>1.1025</v>
      </c>
      <c r="M11">
        <f t="shared" si="2"/>
        <v>3682895.2965000006</v>
      </c>
    </row>
    <row r="12" spans="1:13">
      <c r="E12" s="2968">
        <v>46583</v>
      </c>
      <c r="F12" s="2968">
        <v>47313</v>
      </c>
      <c r="G12">
        <v>2</v>
      </c>
      <c r="H12">
        <v>1.4</v>
      </c>
      <c r="I12">
        <v>389722.67</v>
      </c>
      <c r="J12">
        <f t="shared" si="0"/>
        <v>9353344.0800000001</v>
      </c>
      <c r="K12" s="3329">
        <f t="shared" si="3"/>
        <v>0.16666666666666674</v>
      </c>
      <c r="L12">
        <f t="shared" si="1"/>
        <v>1.1576250000000001</v>
      </c>
      <c r="M12">
        <f t="shared" si="2"/>
        <v>3867040.0613250006</v>
      </c>
    </row>
    <row r="13" spans="1:13">
      <c r="E13" s="2968">
        <v>47314</v>
      </c>
      <c r="F13" s="2968">
        <v>48043</v>
      </c>
      <c r="G13">
        <v>2</v>
      </c>
      <c r="H13">
        <v>1.5</v>
      </c>
      <c r="I13">
        <v>417560</v>
      </c>
      <c r="J13">
        <f t="shared" si="0"/>
        <v>10021440</v>
      </c>
      <c r="K13" s="3329">
        <f t="shared" si="3"/>
        <v>7.1428571428571397E-2</v>
      </c>
      <c r="L13">
        <f t="shared" si="1"/>
        <v>1.2155062500000002</v>
      </c>
      <c r="M13">
        <f t="shared" si="2"/>
        <v>4060392.0643912512</v>
      </c>
    </row>
    <row r="14" spans="1:13">
      <c r="E14" s="2968">
        <v>48044</v>
      </c>
      <c r="F14" s="2968">
        <v>48774</v>
      </c>
      <c r="G14">
        <v>2</v>
      </c>
      <c r="H14">
        <v>1.6</v>
      </c>
      <c r="I14">
        <v>445397.33</v>
      </c>
      <c r="J14">
        <f t="shared" si="0"/>
        <v>10689535.92</v>
      </c>
      <c r="K14" s="3329">
        <f t="shared" si="3"/>
        <v>6.6666666666666652E-2</v>
      </c>
      <c r="L14">
        <f t="shared" si="1"/>
        <v>1.2762815625000004</v>
      </c>
      <c r="M14">
        <f t="shared" si="2"/>
        <v>4263411.6676108139</v>
      </c>
    </row>
    <row r="15" spans="1:13">
      <c r="E15" s="2968">
        <v>48775</v>
      </c>
      <c r="F15" s="2968">
        <v>49139</v>
      </c>
      <c r="G15">
        <v>1</v>
      </c>
      <c r="H15">
        <v>1.8</v>
      </c>
      <c r="I15">
        <v>501072</v>
      </c>
      <c r="J15">
        <f t="shared" si="0"/>
        <v>6012864</v>
      </c>
      <c r="K15" s="3329">
        <f t="shared" si="3"/>
        <v>0.125</v>
      </c>
      <c r="L15">
        <f t="shared" si="1"/>
        <v>1.3400956406250004</v>
      </c>
      <c r="M15">
        <f t="shared" si="2"/>
        <v>4476582.2509913547</v>
      </c>
    </row>
    <row r="16" spans="1:13">
      <c r="G16">
        <f>SUM(G8:G15)</f>
        <v>14.07</v>
      </c>
      <c r="H16" s="2984">
        <f>ROUND(J16/G16/B7/365,2)</f>
        <v>1.3</v>
      </c>
      <c r="I16">
        <f>SUM(I8:I15)</f>
        <v>2895082.67</v>
      </c>
      <c r="J16">
        <f>SUM(J8:J15)</f>
        <v>60983802.922800004</v>
      </c>
      <c r="L16">
        <f t="shared" si="1"/>
        <v>1.4071004226562505</v>
      </c>
      <c r="M16">
        <f t="shared" si="2"/>
        <v>4700411.3635409232</v>
      </c>
    </row>
    <row r="17" spans="9:13">
      <c r="I17" s="2965"/>
      <c r="J17">
        <f>J16-J8</f>
        <v>58124352.000000007</v>
      </c>
      <c r="L17">
        <f t="shared" si="1"/>
        <v>1.477455443789063</v>
      </c>
      <c r="M17">
        <f t="shared" si="2"/>
        <v>4935431.9317179685</v>
      </c>
    </row>
    <row r="18" spans="9:13">
      <c r="L18">
        <f t="shared" si="1"/>
        <v>1.5513282159785162</v>
      </c>
      <c r="M18">
        <f t="shared" si="2"/>
        <v>5182203.5283038672</v>
      </c>
    </row>
    <row r="19" spans="9:13">
      <c r="L19">
        <f t="shared" si="1"/>
        <v>1.628894626777442</v>
      </c>
      <c r="M19">
        <f t="shared" si="2"/>
        <v>5441313.704719061</v>
      </c>
    </row>
    <row r="20" spans="9:13">
      <c r="L20">
        <f t="shared" si="1"/>
        <v>1.7103393581163142</v>
      </c>
      <c r="M20">
        <f t="shared" si="2"/>
        <v>5713379.3899550149</v>
      </c>
    </row>
    <row r="21" spans="9:13">
      <c r="L21">
        <f t="shared" si="1"/>
        <v>1.7958563260221301</v>
      </c>
      <c r="M21">
        <f t="shared" si="2"/>
        <v>5999048.3594527654</v>
      </c>
    </row>
    <row r="22" spans="9:13">
      <c r="M22">
        <f>SUM(M8:M21)</f>
        <v>59170123.548508018</v>
      </c>
    </row>
  </sheetData>
  <phoneticPr fontId="143"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1634</v>
      </c>
      <c r="B2" s="3010" t="s">
        <v>1635</v>
      </c>
      <c r="C2" s="3010" t="s">
        <v>1636</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6">
      <c r="A3" s="3004"/>
      <c r="B3" s="3004"/>
      <c r="C3" s="3004"/>
      <c r="D3" s="1044" t="s">
        <v>1631</v>
      </c>
      <c r="E3" s="1044" t="s">
        <v>1637</v>
      </c>
      <c r="F3" s="1044" t="s">
        <v>1631</v>
      </c>
      <c r="G3" s="1044" t="s">
        <v>1632</v>
      </c>
      <c r="H3" s="1044" t="s">
        <v>1631</v>
      </c>
      <c r="I3" s="1044" t="s">
        <v>1632</v>
      </c>
    </row>
    <row r="4" spans="1:9" ht="30">
      <c r="A4" s="1971" t="str">
        <f>项目基本情况!S2</f>
        <v>北京市大兴区永兴路7号院1号楼-3层至4层101号房地产</v>
      </c>
      <c r="B4" s="1044">
        <f>项目基本情况!C17</f>
        <v>9152.0400000000009</v>
      </c>
      <c r="C4" s="1044">
        <f>项目基本情况!C18</f>
        <v>0</v>
      </c>
      <c r="D4" s="1044">
        <f ca="1">结果表!D118</f>
        <v>3189</v>
      </c>
      <c r="E4" s="1044">
        <f ca="1">结果表!E118</f>
        <v>3485</v>
      </c>
      <c r="F4" s="1044">
        <f ca="1">结果表!F118</f>
        <v>3293</v>
      </c>
      <c r="G4" s="1044">
        <f ca="1">结果表!G118</f>
        <v>3598</v>
      </c>
      <c r="H4" s="1044">
        <f ca="1">结果表!H118</f>
        <v>6482</v>
      </c>
      <c r="I4" s="1044">
        <f ca="1">结果表!I118</f>
        <v>7083</v>
      </c>
    </row>
    <row r="5" spans="1:9" ht="30" customHeight="1">
      <c r="A5" s="3004" t="s">
        <v>1633</v>
      </c>
      <c r="B5" s="3004"/>
      <c r="C5" s="3004"/>
      <c r="D5" s="3005" t="str">
        <f ca="1">结果表!D119</f>
        <v>叁仟壹佰捌拾玖万元整</v>
      </c>
      <c r="E5" s="3005"/>
      <c r="F5" s="3005" t="str">
        <f ca="1">结果表!F119</f>
        <v>叁仟贰佰玖拾叁万元整</v>
      </c>
      <c r="G5" s="3005"/>
      <c r="H5" s="3005" t="str">
        <f ca="1">结果表!H119</f>
        <v>陆仟肆佰捌拾贰万元整</v>
      </c>
      <c r="I5" s="3005"/>
    </row>
    <row r="6" spans="1:9" ht="15.6">
      <c r="A6" s="3003" t="str">
        <f>结果表!A120</f>
        <v>估价师知悉的法定优先受偿款</v>
      </c>
      <c r="B6" s="3003"/>
      <c r="C6" s="3003"/>
      <c r="D6" s="3003">
        <f>结果表!D120</f>
        <v>0</v>
      </c>
      <c r="E6" s="3003"/>
      <c r="F6" s="3003"/>
      <c r="G6" s="3003"/>
      <c r="H6" s="3003"/>
      <c r="I6" s="3003"/>
    </row>
    <row r="7" spans="1:9" ht="15">
      <c r="A7" s="3004" t="s">
        <v>1633</v>
      </c>
      <c r="B7" s="3004"/>
      <c r="C7" s="3004"/>
      <c r="D7" s="3006" t="str">
        <f>结果表!D121</f>
        <v>零元整</v>
      </c>
      <c r="E7" s="3007"/>
      <c r="F7" s="3007"/>
      <c r="G7" s="3007"/>
      <c r="H7" s="3007"/>
      <c r="I7" s="3008"/>
    </row>
    <row r="8" spans="1:9" ht="15.6">
      <c r="A8" s="3003" t="str">
        <f>结果表!A122</f>
        <v>房地产抵押价值</v>
      </c>
      <c r="B8" s="3003"/>
      <c r="C8" s="3003"/>
      <c r="D8" s="3003">
        <f ca="1">结果表!D122</f>
        <v>6482</v>
      </c>
      <c r="E8" s="3003"/>
      <c r="F8" s="3003"/>
      <c r="G8" s="3003"/>
      <c r="H8" s="3003"/>
      <c r="I8" s="3003"/>
    </row>
    <row r="9" spans="1:9" ht="15">
      <c r="A9" s="3004" t="s">
        <v>1633</v>
      </c>
      <c r="B9" s="3004"/>
      <c r="C9" s="3004"/>
      <c r="D9" s="3005" t="str">
        <f ca="1">结果表!D123</f>
        <v>陆仟肆佰捌拾贰万元整</v>
      </c>
      <c r="E9" s="3005"/>
      <c r="F9" s="3005"/>
      <c r="G9" s="3005"/>
      <c r="H9" s="3005"/>
      <c r="I9" s="3005"/>
    </row>
    <row r="10" spans="1:9" ht="15.6">
      <c r="A10" s="3003" t="str">
        <f>结果表!A124</f>
        <v/>
      </c>
      <c r="B10" s="3003"/>
      <c r="C10" s="3003"/>
      <c r="D10" s="3003" t="str">
        <f>结果表!D124</f>
        <v>——</v>
      </c>
      <c r="E10" s="3003"/>
      <c r="F10" s="3003"/>
      <c r="G10" s="3003"/>
      <c r="H10" s="3003"/>
      <c r="I10" s="3003"/>
    </row>
    <row r="11" spans="1:9" ht="15">
      <c r="A11" s="3004" t="s">
        <v>1633</v>
      </c>
      <c r="B11" s="3004"/>
      <c r="C11" s="3004"/>
      <c r="D11" s="3005" t="e">
        <f>结果表!D125</f>
        <v>#VALUE!</v>
      </c>
      <c r="E11" s="3005"/>
      <c r="F11" s="3005"/>
      <c r="G11" s="3005"/>
      <c r="H11" s="3005"/>
      <c r="I11" s="3005"/>
    </row>
    <row r="12" spans="1:9" ht="15.6">
      <c r="A12" s="3003" t="str">
        <f>结果表!A126</f>
        <v/>
      </c>
      <c r="B12" s="3003"/>
      <c r="C12" s="3003"/>
      <c r="D12" s="3003" t="str">
        <f>结果表!D126</f>
        <v>——</v>
      </c>
      <c r="E12" s="3003"/>
      <c r="F12" s="3003"/>
      <c r="G12" s="3003"/>
      <c r="H12" s="3003"/>
      <c r="I12" s="3003"/>
    </row>
    <row r="13" spans="1:9" ht="15.6" thickBot="1">
      <c r="A13" s="3000" t="s">
        <v>1633</v>
      </c>
      <c r="B13" s="3000"/>
      <c r="C13" s="3000"/>
      <c r="D13" s="3001" t="e">
        <f>结果表!D127</f>
        <v>#VALUE!</v>
      </c>
      <c r="E13" s="3001"/>
      <c r="F13" s="3001"/>
      <c r="G13" s="3001"/>
      <c r="H13" s="3001"/>
      <c r="I13" s="3001"/>
    </row>
    <row r="14" spans="1:9" ht="14.4" thickTop="1">
      <c r="A14" s="3002" t="s">
        <v>1638</v>
      </c>
      <c r="B14" s="3002"/>
      <c r="C14" s="3002"/>
      <c r="D14" s="3002"/>
      <c r="E14" s="3002"/>
      <c r="F14" s="3002"/>
      <c r="G14" s="3002"/>
      <c r="H14" s="3002"/>
      <c r="I14" s="3002"/>
    </row>
    <row r="16" spans="1:9" ht="17.399999999999999">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17" t="s">
        <v>1655</v>
      </c>
      <c r="B1" s="3017"/>
      <c r="C1" s="3017"/>
      <c r="D1" s="3017"/>
    </row>
    <row r="2" spans="1:4" ht="17.399999999999999">
      <c r="A2" s="3018" t="s">
        <v>1639</v>
      </c>
      <c r="B2" s="3018"/>
      <c r="C2" s="3018"/>
      <c r="D2" s="3018"/>
    </row>
    <row r="3" spans="1:4" ht="17.399999999999999">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7.399999999999999">
      <c r="A6" s="3018" t="s">
        <v>1645</v>
      </c>
      <c r="B6" s="3018"/>
      <c r="C6" s="3018"/>
      <c r="D6" s="3018"/>
    </row>
    <row r="7" spans="1:4" ht="17.399999999999999">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7.399999999999999">
      <c r="A10" s="1982" t="s">
        <v>1647</v>
      </c>
      <c r="B10" s="728"/>
      <c r="C10" s="728"/>
      <c r="D10" s="728"/>
    </row>
    <row r="11" spans="1:4" ht="30" customHeight="1">
      <c r="A11" s="3019" t="s">
        <v>1648</v>
      </c>
      <c r="B11" s="3011"/>
      <c r="C11" s="3011"/>
      <c r="D11" s="3011"/>
    </row>
    <row r="12" spans="1:4" ht="15.6">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1649</v>
      </c>
      <c r="B16" s="3013"/>
      <c r="C16" s="3013"/>
      <c r="D16" s="3013"/>
    </row>
    <row r="17" spans="1:4" ht="144" customHeight="1">
      <c r="A17" s="3013" t="s">
        <v>1650</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1651</v>
      </c>
      <c r="B22" s="3015"/>
      <c r="C22" s="3015"/>
      <c r="D22" s="3015"/>
    </row>
    <row r="23" spans="1:4">
      <c r="A23" s="1983"/>
      <c r="B23" s="1955"/>
      <c r="C23" s="1955"/>
      <c r="D23" s="1955"/>
    </row>
    <row r="24" spans="1:4">
      <c r="A24" s="1983"/>
      <c r="B24" s="1955"/>
      <c r="C24" s="1955"/>
      <c r="D24" s="1955"/>
    </row>
    <row r="25" spans="1:4" ht="17.399999999999999">
      <c r="A25" s="1984" t="s">
        <v>1652</v>
      </c>
    </row>
    <row r="26" spans="1:4" ht="17.399999999999999">
      <c r="A26" s="1953"/>
    </row>
    <row r="27" spans="1:4" ht="17.399999999999999">
      <c r="A27" s="1953" t="s">
        <v>1653</v>
      </c>
    </row>
    <row r="30" spans="1:4" ht="17.399999999999999">
      <c r="D30" s="1984" t="s">
        <v>1654</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4.4">
      <c r="A15" s="3025" t="s">
        <v>1662</v>
      </c>
      <c r="B15" s="3020" t="s">
        <v>136</v>
      </c>
      <c r="C15" s="3021"/>
    </row>
    <row r="16" spans="1:7" ht="14.4">
      <c r="A16" s="3026"/>
      <c r="B16" s="3020" t="s">
        <v>69</v>
      </c>
      <c r="C16" s="3021"/>
    </row>
    <row r="17" spans="1:3" ht="14.4">
      <c r="A17" s="3026"/>
      <c r="B17" s="3023" t="s">
        <v>1663</v>
      </c>
      <c r="C17" s="1998" t="s">
        <v>1662</v>
      </c>
    </row>
    <row r="18" spans="1:3" ht="14.4">
      <c r="A18" s="3026"/>
      <c r="B18" s="3023"/>
      <c r="C18" s="1998" t="s">
        <v>1664</v>
      </c>
    </row>
    <row r="19" spans="1:3" ht="14.4">
      <c r="A19" s="3026"/>
      <c r="B19" s="3023"/>
      <c r="C19" s="1998" t="s">
        <v>1665</v>
      </c>
    </row>
    <row r="20" spans="1:3" ht="14.4">
      <c r="A20" s="3027"/>
      <c r="B20" s="3022" t="s">
        <v>1666</v>
      </c>
      <c r="C20" s="3021"/>
    </row>
    <row r="21" spans="1:3" ht="14.4">
      <c r="A21" s="1999" t="s">
        <v>1667</v>
      </c>
      <c r="B21" s="2000"/>
      <c r="C21" s="2001"/>
    </row>
    <row r="22" spans="1:3" ht="14.4">
      <c r="A22" s="3024" t="s">
        <v>1668</v>
      </c>
      <c r="B22" s="3022" t="s">
        <v>1669</v>
      </c>
      <c r="C22" s="3021"/>
    </row>
    <row r="23" spans="1:3" ht="14.4">
      <c r="A23" s="3024"/>
      <c r="B23" s="3022" t="s">
        <v>1670</v>
      </c>
      <c r="C23" s="3021"/>
    </row>
    <row r="24" spans="1:3" ht="14.4">
      <c r="A24" s="3024"/>
      <c r="B24" s="3022" t="s">
        <v>1671</v>
      </c>
      <c r="C24" s="3021"/>
    </row>
    <row r="25" spans="1:3" ht="14.4">
      <c r="A25" s="3024"/>
      <c r="B25" s="3023" t="s">
        <v>1672</v>
      </c>
      <c r="C25" s="1998" t="s">
        <v>1673</v>
      </c>
    </row>
    <row r="26" spans="1:3" ht="14.4">
      <c r="A26" s="3024"/>
      <c r="B26" s="3023"/>
      <c r="C26" s="1998" t="s">
        <v>1674</v>
      </c>
    </row>
    <row r="27" spans="1:3" ht="14.4">
      <c r="A27" s="3024"/>
      <c r="B27" s="3023"/>
      <c r="C27" s="1998" t="s">
        <v>1675</v>
      </c>
    </row>
    <row r="28" spans="1:3" ht="14.4">
      <c r="A28" s="3024"/>
      <c r="B28" s="3023"/>
      <c r="C28" s="1998" t="s">
        <v>1676</v>
      </c>
    </row>
    <row r="29" spans="1:3" ht="14.4">
      <c r="A29" s="3024"/>
      <c r="B29" s="3023"/>
      <c r="C29" s="1998" t="s">
        <v>1677</v>
      </c>
    </row>
    <row r="30" spans="1:3" ht="14.4">
      <c r="A30" s="3024"/>
      <c r="B30" s="3023"/>
      <c r="C30" s="1998" t="s">
        <v>1678</v>
      </c>
    </row>
    <row r="31" spans="1:3" ht="14.4">
      <c r="A31" s="3024"/>
      <c r="B31" s="3023"/>
      <c r="C31" s="1998" t="s">
        <v>1679</v>
      </c>
    </row>
    <row r="32" spans="1:3" ht="14.4">
      <c r="A32" s="3024"/>
      <c r="B32" s="3023"/>
      <c r="C32" s="1998" t="s">
        <v>1680</v>
      </c>
    </row>
    <row r="33" spans="1:3" ht="14.4">
      <c r="A33" s="3024"/>
      <c r="B33" s="3023"/>
      <c r="C33" s="1998" t="s">
        <v>1681</v>
      </c>
    </row>
    <row r="34" spans="1:3">
      <c r="A34" s="2002" t="s">
        <v>76</v>
      </c>
    </row>
    <row r="37" spans="1:3">
      <c r="A37" s="2002" t="s">
        <v>1682</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44004</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6">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6">
        <v>44876</v>
      </c>
      <c r="D8" s="2347" t="s">
        <v>835</v>
      </c>
      <c r="E8" s="1022">
        <f ca="1">IF(F8&lt;B2,"已过期",2000110082)</f>
        <v>2000110082</v>
      </c>
      <c r="F8" s="1030">
        <v>46387</v>
      </c>
    </row>
    <row r="9" spans="1:6" ht="24" customHeight="1">
      <c r="A9" s="1701" t="s">
        <v>836</v>
      </c>
      <c r="B9" s="1022">
        <f ca="1">IF(C9&lt;B2,"已过期",1419970001)</f>
        <v>1419970001</v>
      </c>
      <c r="C9" s="2926">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6"/>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3034</v>
      </c>
      <c r="B14" s="1022">
        <f ca="1">IF(C14&lt;B2,"已过期",1120040230)</f>
        <v>1120040230</v>
      </c>
      <c r="C14" s="2344">
        <v>44864</v>
      </c>
      <c r="D14" s="2347" t="s">
        <v>3034</v>
      </c>
      <c r="E14" s="1022">
        <f ca="1">IF(F14&lt;B2,"已过期",98030020)</f>
        <v>98030020</v>
      </c>
      <c r="F14" s="1030">
        <v>47118</v>
      </c>
    </row>
    <row r="15" spans="1:6" ht="24" customHeight="1">
      <c r="A15" s="1702"/>
      <c r="B15" s="1022"/>
      <c r="C15" s="2344"/>
      <c r="D15" s="2348"/>
      <c r="E15" s="1022"/>
      <c r="F15" s="1023"/>
    </row>
    <row r="16" spans="1:6" ht="24" customHeight="1">
      <c r="A16" s="1701"/>
      <c r="B16" s="1022"/>
      <c r="C16" s="2926"/>
      <c r="D16" s="2347"/>
      <c r="E16" s="1022"/>
      <c r="F16" s="1030"/>
    </row>
    <row r="17" spans="1:7" ht="24" customHeight="1">
      <c r="A17" s="1701"/>
      <c r="B17" s="1022"/>
      <c r="C17" s="2344"/>
      <c r="D17" s="2347"/>
      <c r="E17" s="1022"/>
      <c r="F17" s="1030"/>
    </row>
    <row r="18" spans="1:7" ht="24" customHeight="1">
      <c r="A18" s="1701" t="s">
        <v>3041</v>
      </c>
      <c r="B18" s="1022">
        <v>1120190079</v>
      </c>
      <c r="C18" s="2926">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6">
        <v>44339</v>
      </c>
      <c r="D22" s="2347" t="s">
        <v>841</v>
      </c>
      <c r="E22" s="1022">
        <f ca="1">IF(F22&lt;B2,"已过期",2000110137)</f>
        <v>2000110137</v>
      </c>
      <c r="F22" s="1030">
        <v>46387</v>
      </c>
    </row>
    <row r="23" spans="1:7" ht="24" customHeight="1">
      <c r="A23" s="1701" t="s">
        <v>3043</v>
      </c>
      <c r="B23" s="1022">
        <v>1119980106</v>
      </c>
      <c r="C23" s="2344">
        <v>44969</v>
      </c>
      <c r="D23" s="2347"/>
      <c r="E23" s="1022"/>
      <c r="F23" s="1022"/>
    </row>
    <row r="24" spans="1:7" s="1024" customFormat="1" ht="24" customHeight="1">
      <c r="A24" s="1702" t="s">
        <v>1328</v>
      </c>
      <c r="B24" s="1702" t="s">
        <v>1328</v>
      </c>
      <c r="C24" s="2345" t="s">
        <v>1328</v>
      </c>
      <c r="D24" s="2348" t="s">
        <v>1328</v>
      </c>
      <c r="E24" s="1702" t="s">
        <v>1328</v>
      </c>
      <c r="F24" s="1702" t="s">
        <v>1328</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收益法</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租约</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2020-06-22T01:39:00Z</dcterms:modified>
</cp:coreProperties>
</file>