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54"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7" r:id="rId14"/>
    <sheet name="数据-汇总表" sheetId="6" r:id="rId15"/>
    <sheet name="数据-取费表" sheetId="1" r:id="rId16"/>
    <sheet name="估价对象房地状况" sheetId="20" r:id="rId17"/>
    <sheet name="系统读取表" sheetId="74" r:id="rId18"/>
    <sheet name="结果表" sheetId="9" state="hidden" r:id="rId19"/>
    <sheet name="结果表(公寓)" sheetId="81" r:id="rId20"/>
    <sheet name="结果表(合院)" sheetId="82" r:id="rId21"/>
    <sheet name="成本法（公寓）" sheetId="68" r:id="rId22"/>
    <sheet name="成本法 (元)" sheetId="69" state="hidden" r:id="rId23"/>
    <sheet name="成本法（合院）" sheetId="83" r:id="rId24"/>
    <sheet name="土地比较法-住宅、综合" sheetId="39" r:id="rId25"/>
    <sheet name="比较法-商业（公寓）" sheetId="33" r:id="rId26"/>
    <sheet name="比较法-商业(合院)" sheetId="80" r:id="rId27"/>
    <sheet name="土地案例" sheetId="78" r:id="rId28"/>
    <sheet name="假设开发法" sheetId="12" r:id="rId29"/>
    <sheet name="Sheet3" sheetId="79" r:id="rId30"/>
    <sheet name="收益法" sheetId="15" state="hidden" r:id="rId31"/>
    <sheet name="收益法 (元)" sheetId="67" state="hidden" r:id="rId32"/>
    <sheet name="收益法（汇总）" sheetId="70" state="hidden" r:id="rId33"/>
    <sheet name="酒店收入计算" sheetId="66"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5" hidden="1">'比较法-商业（公寓）'!$A$1:$L$49</definedName>
    <definedName name="_xlnm._FilterDatabase" localSheetId="26" hidden="1">'比较法-商业(合院)'!$A$1:$L$49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5">'比较法-商业（公寓）'!$A$1:$K$54,'比较法-商业（公寓）'!$A$57:$M$131</definedName>
    <definedName name="_xlnm.Print_Area" localSheetId="26">'比较法-商业(合院)'!$A$1:$K$54,'比较法-商业(合院)'!$A$57:$M$131</definedName>
    <definedName name="_xlnm.Print_Area" localSheetId="34">'比较法-住宅'!$A$1:$K$54,'比较法-住宅'!$A$57:$M$131</definedName>
    <definedName name="_xlnm.Print_Area" localSheetId="22">'成本法 (元)'!$A$1:$G$57</definedName>
    <definedName name="_xlnm.Print_Area" localSheetId="21">'成本法（公寓）'!$A$1:$G$57</definedName>
    <definedName name="_xlnm.Print_Area" localSheetId="23">'成本法（合院）'!$A$1:$G$57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8">假设开发法!$A$1:$K$32</definedName>
    <definedName name="_xlnm.Print_Area" localSheetId="18">结果表!$A$1:$I$127</definedName>
    <definedName name="_xlnm.Print_Area" localSheetId="19">'结果表(公寓)'!$A$1:$I$127</definedName>
    <definedName name="_xlnm.Print_Area" localSheetId="20">'结果表(合院)'!$A$1:$I$127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2">'收益法（汇总）'!$A$1:$F$13</definedName>
    <definedName name="_xlnm.Print_Area" localSheetId="14">'数据-汇总表'!$A$1:$P$32</definedName>
    <definedName name="_xlnm.Print_Area" localSheetId="39">'土地比较法-工业'!$A$1:$K$61,'土地比较法-工业'!$A$64:$M$121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'比较法-商业(合院)'!$B$116:$M$116</definedName>
    <definedName name="商业层高">'比较法-商业（公寓）'!$B$116:$M$116</definedName>
    <definedName name="商业成新度" localSheetId="26">'比较法-商业(合院)'!$B$109:$M$109</definedName>
    <definedName name="商业成新度">'比较法-商业（公寓）'!$B$109:$M$109</definedName>
    <definedName name="商业繁华度">定义!$L$1:$L$6</definedName>
    <definedName name="商业公共部分装修" localSheetId="26">'比较法-商业(合院)'!$B$107:$M$107</definedName>
    <definedName name="商业公共部分装修">'比较法-商业（公寓）'!$B$107:$M$107</definedName>
    <definedName name="商业基础设施水平" localSheetId="26">'比较法-商业(合院)'!$B$112:$M$112</definedName>
    <definedName name="商业基础设施水平">'比较法-商业（公寓）'!$B$112:$M$112</definedName>
    <definedName name="商业建筑结构" localSheetId="26">'比较法-商业(合院)'!$B$105:$M$105</definedName>
    <definedName name="商业建筑结构">'比较法-商业（公寓）'!$B$105:$M$105</definedName>
    <definedName name="商业交易情况" localSheetId="26">'比较法-商业(合院)'!$A$61:$M$61</definedName>
    <definedName name="商业交易情况">'比较法-商业（公寓）'!$A$61:$M$61</definedName>
    <definedName name="商业街名称">修正!$C$59:$C$119</definedName>
    <definedName name="商业进深比" localSheetId="26">'比较法-商业(合院)'!$B$120:$M$120</definedName>
    <definedName name="商业进深比">'比较法-商业（公寓）'!$B$120:$M$120</definedName>
    <definedName name="商业类型" localSheetId="26">'比较法-商业(合院)'!$B$100:$M$100</definedName>
    <definedName name="商业类型">'比较法-商业（公寓）'!$B$100:$M$100</definedName>
    <definedName name="商业临街状况" localSheetId="26">'比较法-商业(合院)'!$B$86:$M$86</definedName>
    <definedName name="商业临街状况">'比较法-商业（公寓）'!$B$86:$M$86</definedName>
    <definedName name="商业楼层" localSheetId="26">'比较法-商业(合院)'!$B$92:$M$92</definedName>
    <definedName name="商业楼层">'比较法-商业（公寓）'!$B$92:$M$92</definedName>
    <definedName name="商业内部装修" localSheetId="26">'比较法-商业(合院)'!$B$122:$M$122</definedName>
    <definedName name="商业内部装修">'比较法-商业（公寓）'!$B$122:$M$122</definedName>
    <definedName name="商业人流量" localSheetId="26">'比较法-商业(合院)'!$B$90:$M$90</definedName>
    <definedName name="商业人流量">'比较法-商业（公寓）'!$B$90:$M$90</definedName>
    <definedName name="商业业态" localSheetId="26">'比较法-商业(合院)'!$B$114:$M$114</definedName>
    <definedName name="商业业态">'比较法-商业（公寓）'!$B$114:$M$114</definedName>
    <definedName name="商业用途" localSheetId="26">'比较法-商业(合院)'!$B$63:$M$63</definedName>
    <definedName name="商业用途">'比较法-商业（公寓）'!$B$63:$M$63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I15" i="74"/>
  <c r="H15" i="74"/>
  <c r="C15" i="74"/>
  <c r="B15" i="74"/>
  <c r="I14" i="74"/>
  <c r="H14" i="74"/>
  <c r="C14" i="74"/>
  <c r="B14" i="74"/>
  <c r="E104" i="80" l="1"/>
  <c r="F104" i="80" s="1"/>
  <c r="G104" i="80" s="1"/>
  <c r="D104" i="80"/>
  <c r="E104" i="33"/>
  <c r="F104" i="33" s="1"/>
  <c r="G104" i="33" s="1"/>
  <c r="D104" i="33"/>
  <c r="P21" i="77"/>
  <c r="O21" i="77"/>
  <c r="F48" i="83" l="1"/>
  <c r="F38" i="83"/>
  <c r="E37" i="83"/>
  <c r="F36" i="83"/>
  <c r="F35" i="83"/>
  <c r="F30" i="83"/>
  <c r="C48" i="83" s="1"/>
  <c r="C30" i="83"/>
  <c r="F21" i="83"/>
  <c r="F40" i="83" s="1"/>
  <c r="F20" i="83"/>
  <c r="F39" i="83" s="1"/>
  <c r="C19" i="83"/>
  <c r="E10" i="83"/>
  <c r="E9" i="83"/>
  <c r="F7" i="83"/>
  <c r="G1" i="83"/>
  <c r="A126" i="82"/>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A2" i="82"/>
  <c r="H1" i="82"/>
  <c r="A126" i="81"/>
  <c r="A122" i="81"/>
  <c r="A120" i="81"/>
  <c r="A118"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C18" i="81" s="1"/>
  <c r="D18" i="81" s="1"/>
  <c r="L4" i="81"/>
  <c r="K4" i="81"/>
  <c r="A2" i="81"/>
  <c r="H1" i="81"/>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H30" i="80" s="1"/>
  <c r="AB30" i="80" s="1"/>
  <c r="B94" i="80"/>
  <c r="B92" i="80"/>
  <c r="H28" i="80" s="1"/>
  <c r="AB28" i="80" s="1"/>
  <c r="D91" i="80"/>
  <c r="E91" i="80" s="1"/>
  <c r="F91" i="80" s="1"/>
  <c r="G91" i="80" s="1"/>
  <c r="H91" i="80" s="1"/>
  <c r="I91" i="80" s="1"/>
  <c r="J91" i="80" s="1"/>
  <c r="K91" i="80" s="1"/>
  <c r="L91" i="80" s="1"/>
  <c r="M91" i="80" s="1"/>
  <c r="B90" i="80"/>
  <c r="H27" i="80" s="1"/>
  <c r="AB27" i="80" s="1"/>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J17" i="80" s="1"/>
  <c r="AC17"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E54" i="80"/>
  <c r="F54" i="80" s="1"/>
  <c r="P49" i="80"/>
  <c r="P48" i="80"/>
  <c r="K48" i="80"/>
  <c r="T47" i="80"/>
  <c r="R47" i="80"/>
  <c r="P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F30" i="80"/>
  <c r="AA30" i="80" s="1"/>
  <c r="Q29" i="80"/>
  <c r="Z29" i="80" s="1"/>
  <c r="J29" i="80"/>
  <c r="AC29" i="80" s="1"/>
  <c r="H29" i="80"/>
  <c r="AB29" i="80" s="1"/>
  <c r="F29" i="80"/>
  <c r="AA29" i="80" s="1"/>
  <c r="Q28" i="80"/>
  <c r="Z28" i="80" s="1"/>
  <c r="J28" i="80"/>
  <c r="AC28" i="80" s="1"/>
  <c r="F28" i="80"/>
  <c r="AA28" i="80" s="1"/>
  <c r="Q27" i="80"/>
  <c r="Z27" i="80" s="1"/>
  <c r="J27" i="80"/>
  <c r="AC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H17" i="80"/>
  <c r="AB17" i="80" s="1"/>
  <c r="C17" i="80"/>
  <c r="Q15" i="80"/>
  <c r="Z15" i="80" s="1"/>
  <c r="J15" i="80"/>
  <c r="AC15" i="80" s="1"/>
  <c r="H15" i="80"/>
  <c r="AB15" i="80" s="1"/>
  <c r="F15" i="80"/>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C11" i="80"/>
  <c r="H11" i="80" s="1"/>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I7" i="80"/>
  <c r="J7" i="80" s="1"/>
  <c r="G7" i="80"/>
  <c r="H7" i="80" s="1"/>
  <c r="E7" i="80"/>
  <c r="F7" i="80" s="1"/>
  <c r="C7" i="80"/>
  <c r="C58" i="80" s="1"/>
  <c r="D58" i="80" s="1"/>
  <c r="E58" i="80" s="1"/>
  <c r="F58" i="80" s="1"/>
  <c r="G58" i="80" s="1"/>
  <c r="H58" i="80" s="1"/>
  <c r="I58" i="80" s="1"/>
  <c r="J58" i="80" s="1"/>
  <c r="K58" i="80" s="1"/>
  <c r="L58" i="80" s="1"/>
  <c r="M58" i="80" s="1"/>
  <c r="N58" i="80" s="1"/>
  <c r="O58" i="80" s="1"/>
  <c r="D3" i="80"/>
  <c r="C11" i="33"/>
  <c r="I7" i="33"/>
  <c r="G7" i="33"/>
  <c r="E7" i="33"/>
  <c r="K20" i="77"/>
  <c r="L20" i="77"/>
  <c r="L9" i="77"/>
  <c r="L10" i="77"/>
  <c r="L11" i="77"/>
  <c r="L12" i="77"/>
  <c r="L13" i="77"/>
  <c r="L14" i="77"/>
  <c r="L15" i="77"/>
  <c r="L16" i="77"/>
  <c r="L17" i="77"/>
  <c r="L18" i="77"/>
  <c r="L19" i="77"/>
  <c r="L8" i="77"/>
  <c r="K14" i="77"/>
  <c r="K13" i="77"/>
  <c r="K12" i="77"/>
  <c r="K10" i="77"/>
  <c r="K9" i="77"/>
  <c r="K7" i="77"/>
  <c r="L7" i="77"/>
  <c r="L3" i="77"/>
  <c r="L4" i="77"/>
  <c r="L5" i="77"/>
  <c r="L6" i="77"/>
  <c r="L2" i="77"/>
  <c r="I46" i="39"/>
  <c r="G46" i="39"/>
  <c r="E46" i="39"/>
  <c r="I38" i="39"/>
  <c r="G38" i="39"/>
  <c r="E38" i="39"/>
  <c r="C11" i="39"/>
  <c r="C10" i="39"/>
  <c r="E71" i="39"/>
  <c r="F71" i="39" s="1"/>
  <c r="G71" i="39" s="1"/>
  <c r="H71" i="39" s="1"/>
  <c r="I71" i="39" s="1"/>
  <c r="J71" i="39" s="1"/>
  <c r="K71" i="39" s="1"/>
  <c r="L71" i="39" s="1"/>
  <c r="M71" i="39" s="1"/>
  <c r="D71" i="39"/>
  <c r="I7" i="39"/>
  <c r="G7" i="39"/>
  <c r="E7" i="39"/>
  <c r="I5" i="39"/>
  <c r="G5" i="39"/>
  <c r="E5" i="39"/>
  <c r="J7" i="1"/>
  <c r="I7" i="1"/>
  <c r="H7" i="1"/>
  <c r="C36" i="83"/>
  <c r="D10" i="83"/>
  <c r="E2" i="83"/>
  <c r="F27" i="83"/>
  <c r="D2" i="80"/>
  <c r="F11" i="80" l="1"/>
  <c r="AA11" i="80" s="1"/>
  <c r="F17" i="80"/>
  <c r="AA17" i="80" s="1"/>
  <c r="C18" i="82"/>
  <c r="D18" i="82" s="1"/>
  <c r="F45" i="83"/>
  <c r="C10" i="83"/>
  <c r="C21" i="83"/>
  <c r="C40" i="83"/>
  <c r="K120" i="82"/>
  <c r="D121" i="82"/>
  <c r="C74" i="82"/>
  <c r="C92" i="82"/>
  <c r="C94" i="82"/>
  <c r="H109" i="82"/>
  <c r="C74" i="81"/>
  <c r="C92" i="81"/>
  <c r="C94" i="81"/>
  <c r="K120" i="81"/>
  <c r="D121" i="81"/>
  <c r="H109" i="81"/>
  <c r="S7" i="80"/>
  <c r="AA7" i="80"/>
  <c r="W7" i="80"/>
  <c r="AC7" i="80"/>
  <c r="AB7" i="80"/>
  <c r="U7" i="80"/>
  <c r="AB11" i="80"/>
  <c r="U11" i="80"/>
  <c r="S8" i="80"/>
  <c r="W8" i="80"/>
  <c r="S9" i="80"/>
  <c r="W9" i="80"/>
  <c r="U10" i="80"/>
  <c r="S12" i="80"/>
  <c r="W12" i="80"/>
  <c r="U13" i="80"/>
  <c r="S14" i="80"/>
  <c r="W14" i="80"/>
  <c r="AA15" i="80"/>
  <c r="S15" i="80"/>
  <c r="U15" i="80"/>
  <c r="U17" i="80"/>
  <c r="U19" i="80"/>
  <c r="U21" i="80"/>
  <c r="U23" i="80"/>
  <c r="W25" i="80"/>
  <c r="U9" i="80"/>
  <c r="S10" i="80"/>
  <c r="W10" i="80"/>
  <c r="S11" i="80"/>
  <c r="W11" i="80"/>
  <c r="U12" i="80"/>
  <c r="S13" i="80"/>
  <c r="W13" i="80"/>
  <c r="U14" i="80"/>
  <c r="S25" i="80"/>
  <c r="W15" i="80"/>
  <c r="W17" i="80"/>
  <c r="S19" i="80"/>
  <c r="W19"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I54" i="80"/>
  <c r="J54" i="80" s="1"/>
  <c r="G54" i="80"/>
  <c r="H54" i="80" s="1"/>
  <c r="V47" i="80"/>
  <c r="V48" i="80" s="1"/>
  <c r="I48" i="80" s="1"/>
  <c r="D9" i="83"/>
  <c r="S17" i="80" l="1"/>
  <c r="R48" i="80"/>
  <c r="C9" i="83"/>
  <c r="C8" i="83" s="1"/>
  <c r="D19" i="83"/>
  <c r="D37" i="83" s="1"/>
  <c r="C47" i="83"/>
  <c r="D45" i="83" s="1"/>
  <c r="D124" i="82"/>
  <c r="D125" i="82" s="1"/>
  <c r="H110" i="82"/>
  <c r="M49" i="82"/>
  <c r="D124" i="81"/>
  <c r="D125" i="81" s="1"/>
  <c r="H110" i="81"/>
  <c r="M49" i="81"/>
  <c r="E48" i="80"/>
  <c r="T48" i="80"/>
  <c r="G48" i="80" s="1"/>
  <c r="I52" i="80"/>
  <c r="J52" i="80" s="1"/>
  <c r="L66" i="82" l="1"/>
  <c r="M66" i="82" s="1"/>
  <c r="L65" i="82"/>
  <c r="M65" i="82" s="1"/>
  <c r="L64" i="82"/>
  <c r="M64" i="82" s="1"/>
  <c r="L68" i="82"/>
  <c r="M68" i="82" s="1"/>
  <c r="L67" i="82"/>
  <c r="M67" i="82" s="1"/>
  <c r="L63" i="82"/>
  <c r="M63" i="82" s="1"/>
  <c r="M69" i="82" s="1"/>
  <c r="N69" i="82" s="1"/>
  <c r="L66" i="81"/>
  <c r="M66" i="81" s="1"/>
  <c r="L65" i="81"/>
  <c r="M65" i="81" s="1"/>
  <c r="L64" i="81"/>
  <c r="M64" i="81" s="1"/>
  <c r="L68" i="81"/>
  <c r="M68" i="81" s="1"/>
  <c r="L67" i="81"/>
  <c r="M67" i="81" s="1"/>
  <c r="L63" i="81"/>
  <c r="M63" i="81" s="1"/>
  <c r="M69" i="81" s="1"/>
  <c r="N69" i="81" s="1"/>
  <c r="G53" i="80"/>
  <c r="H53" i="80" s="1"/>
  <c r="G52" i="80"/>
  <c r="H52" i="80" s="1"/>
  <c r="E53" i="80"/>
  <c r="F53" i="80" s="1"/>
  <c r="E52" i="80"/>
  <c r="F52" i="80" s="1"/>
  <c r="I53" i="80"/>
  <c r="J53" i="80" s="1"/>
  <c r="R49" i="80"/>
  <c r="C49" i="80" l="1"/>
  <c r="C48" i="80"/>
  <c r="B3" i="80" l="1"/>
  <c r="B2" i="80"/>
  <c r="C20" i="82"/>
  <c r="C19" i="82"/>
  <c r="C103" i="82" l="1"/>
  <c r="C102" i="82"/>
  <c r="C21" i="82"/>
  <c r="D6" i="12"/>
  <c r="D8" i="12"/>
  <c r="F20" i="6"/>
  <c r="F19" i="6"/>
  <c r="A3" i="3"/>
  <c r="K14" i="3"/>
  <c r="I13" i="3"/>
  <c r="C962" i="77"/>
  <c r="I21" i="77"/>
  <c r="I20" i="77"/>
  <c r="I19" i="77"/>
  <c r="I18" i="77"/>
  <c r="I17" i="77"/>
  <c r="I16" i="77"/>
  <c r="I15" i="77"/>
  <c r="I14" i="77"/>
  <c r="I13" i="77"/>
  <c r="I12" i="77"/>
  <c r="I11" i="77"/>
  <c r="I10" i="77"/>
  <c r="I9" i="77"/>
  <c r="I8" i="77"/>
  <c r="I7" i="77"/>
  <c r="I6" i="77"/>
  <c r="I5" i="77"/>
  <c r="I4" i="77"/>
  <c r="I3" i="77"/>
  <c r="I2" i="77"/>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E19" i="83" s="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s="1"/>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c r="AC41" i="33"/>
  <c r="W41" i="33"/>
  <c r="Q41" i="33"/>
  <c r="Z41" i="33" s="1"/>
  <c r="Q40" i="33"/>
  <c r="Z40" i="33"/>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F101" i="39" s="1"/>
  <c r="H19" i="39"/>
  <c r="AB19" i="39" s="1"/>
  <c r="F19" i="39"/>
  <c r="AA19" i="39" s="1"/>
  <c r="J23" i="40"/>
  <c r="AC23" i="40"/>
  <c r="F21" i="40"/>
  <c r="AA21" i="40"/>
  <c r="J21" i="40"/>
  <c r="W21" i="40"/>
  <c r="H42" i="39"/>
  <c r="AB42" i="39" s="1"/>
  <c r="J34" i="39"/>
  <c r="AC34" i="39"/>
  <c r="F109" i="39"/>
  <c r="G109" i="39"/>
  <c r="H109" i="39" s="1"/>
  <c r="I109" i="39" s="1"/>
  <c r="J109" i="39" s="1"/>
  <c r="K109" i="39" s="1"/>
  <c r="L109" i="39" s="1"/>
  <c r="M109" i="39" s="1"/>
  <c r="J31" i="39"/>
  <c r="J19" i="39"/>
  <c r="AC19"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s="1"/>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c r="F44" i="33"/>
  <c r="S44" i="33"/>
  <c r="J46" i="33"/>
  <c r="AC46" i="33"/>
  <c r="F46" i="33"/>
  <c r="AA46" i="33"/>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44" i="33"/>
  <c r="AA13" i="35"/>
  <c r="U31" i="34"/>
  <c r="U46"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J42"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s="1"/>
  <c r="AC37" i="39"/>
  <c r="W37" i="39"/>
  <c r="F15" i="39"/>
  <c r="AA15" i="39" s="1"/>
  <c r="H15" i="39"/>
  <c r="U15" i="39" s="1"/>
  <c r="J15" i="39"/>
  <c r="W15" i="39" s="1"/>
  <c r="AB34" i="39"/>
  <c r="S42" i="39"/>
  <c r="W14" i="39"/>
  <c r="W9" i="39"/>
  <c r="W8" i="39"/>
  <c r="J19" i="40"/>
  <c r="AC19" i="40"/>
  <c r="J50" i="40"/>
  <c r="B54" i="72"/>
  <c r="H103" i="9"/>
  <c r="D8" i="53" s="1"/>
  <c r="B16" i="53"/>
  <c r="B33" i="72"/>
  <c r="C7" i="37"/>
  <c r="C7" i="34"/>
  <c r="C7" i="36"/>
  <c r="W35" i="40"/>
  <c r="A118" i="9"/>
  <c r="A4" i="52"/>
  <c r="B41" i="72"/>
  <c r="J11" i="39"/>
  <c r="W11" i="39" s="1"/>
  <c r="F11" i="39"/>
  <c r="AA11" i="39" s="1"/>
  <c r="A12" i="52"/>
  <c r="B56"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AC13" i="34"/>
  <c r="AA47" i="34"/>
  <c r="W28" i="37"/>
  <c r="S19" i="39"/>
  <c r="F12" i="33"/>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31" i="39"/>
  <c r="W19" i="39"/>
  <c r="U19" i="39"/>
  <c r="S15" i="39"/>
  <c r="S9"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27" i="33"/>
  <c r="AA29" i="33"/>
  <c r="AB29" i="33"/>
  <c r="W38" i="33"/>
  <c r="H41" i="33"/>
  <c r="J35" i="33"/>
  <c r="AC35" i="33" s="1"/>
  <c r="S37" i="33"/>
  <c r="AA37" i="33"/>
  <c r="S39" i="33"/>
  <c r="F101" i="33"/>
  <c r="G101" i="33"/>
  <c r="H101" i="33"/>
  <c r="I101" i="33"/>
  <c r="J101" i="33"/>
  <c r="K101" i="33"/>
  <c r="L101" i="33"/>
  <c r="M101" i="33"/>
  <c r="J32" i="33"/>
  <c r="W32" i="33" s="1"/>
  <c r="S46" i="33"/>
  <c r="W43" i="33"/>
  <c r="H27" i="33"/>
  <c r="F87" i="33"/>
  <c r="G87" i="33" s="1"/>
  <c r="H87" i="33" s="1"/>
  <c r="I87" i="33" s="1"/>
  <c r="J87" i="33" s="1"/>
  <c r="K87" i="33" s="1"/>
  <c r="L87" i="33" s="1"/>
  <c r="M87" i="33" s="1"/>
  <c r="H25" i="33"/>
  <c r="F25" i="33"/>
  <c r="S25" i="33" s="1"/>
  <c r="J17" i="33"/>
  <c r="W17" i="33" s="1"/>
  <c r="S15" i="33"/>
  <c r="U9"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254" i="3" s="1"/>
  <c r="BA13" i="3"/>
  <c r="E10" i="6"/>
  <c r="BA5" i="3"/>
  <c r="E11" i="6"/>
  <c r="E61" i="39" s="1"/>
  <c r="BL17" i="3"/>
  <c r="AZ17" i="3"/>
  <c r="BL13" i="3"/>
  <c r="G30" i="6"/>
  <c r="G31" i="6" s="1"/>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c r="C46" i="36"/>
  <c r="D46" i="36" s="1"/>
  <c r="C59" i="34"/>
  <c r="D59" i="34" s="1"/>
  <c r="E59" i="34" s="1"/>
  <c r="F59" i="34" s="1"/>
  <c r="G59" i="34" s="1"/>
  <c r="H59" i="34" s="1"/>
  <c r="C52" i="37"/>
  <c r="D52" i="37" s="1"/>
  <c r="A4" i="51"/>
  <c r="B6" i="72"/>
  <c r="H66" i="43"/>
  <c r="H65" i="43"/>
  <c r="H64" i="43"/>
  <c r="H63" i="43"/>
  <c r="H55" i="43"/>
  <c r="H56" i="43"/>
  <c r="H72" i="43"/>
  <c r="L20" i="6"/>
  <c r="B6" i="1"/>
  <c r="E6" i="1"/>
  <c r="S8"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A13" i="39"/>
  <c r="S13" i="39"/>
  <c r="S14" i="39"/>
  <c r="U43" i="39"/>
  <c r="AB43" i="39"/>
  <c r="AB11" i="39"/>
  <c r="U11"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T11" i="1"/>
  <c r="D9" i="69"/>
  <c r="C9" i="69" s="1"/>
  <c r="D19" i="12"/>
  <c r="C19" i="12" s="1"/>
  <c r="AQ9" i="1"/>
  <c r="AR11" i="1"/>
  <c r="T9" i="1"/>
  <c r="T13" i="1"/>
  <c r="E7" i="70"/>
  <c r="AA39" i="40"/>
  <c r="S39" i="40"/>
  <c r="S12" i="33"/>
  <c r="AA12" i="33"/>
  <c r="J32" i="39"/>
  <c r="H32" i="39"/>
  <c r="AB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2" i="33"/>
  <c r="U27" i="33"/>
  <c r="AB27" i="33"/>
  <c r="J27" i="33"/>
  <c r="AC27" i="33" s="1"/>
  <c r="U25" i="33"/>
  <c r="AB25" i="33"/>
  <c r="AA25" i="33"/>
  <c r="J25" i="33"/>
  <c r="AC25" i="33" s="1"/>
  <c r="H17" i="33"/>
  <c r="F17" i="33"/>
  <c r="S17" i="33" s="1"/>
  <c r="U10" i="33"/>
  <c r="AB10" i="33"/>
  <c r="AC37" i="21"/>
  <c r="U33" i="21"/>
  <c r="S37" i="21"/>
  <c r="AA23" i="21"/>
  <c r="AB15" i="21"/>
  <c r="J23" i="21"/>
  <c r="F85" i="21"/>
  <c r="G85" i="21"/>
  <c r="H23" i="21"/>
  <c r="S13" i="21"/>
  <c r="D6" i="52"/>
  <c r="K14" i="1"/>
  <c r="C34" i="69" s="1"/>
  <c r="C35" i="69" s="1"/>
  <c r="BL5" i="3"/>
  <c r="E61" i="3"/>
  <c r="E188" i="3"/>
  <c r="E148" i="3"/>
  <c r="E228" i="3"/>
  <c r="E269" i="3"/>
  <c r="E181" i="3"/>
  <c r="E122" i="3"/>
  <c r="E157" i="3"/>
  <c r="E89" i="3"/>
  <c r="E149" i="3"/>
  <c r="E207" i="3"/>
  <c r="E77" i="3"/>
  <c r="E252" i="3"/>
  <c r="E212" i="3"/>
  <c r="E271" i="3"/>
  <c r="E253" i="3"/>
  <c r="E204" i="3"/>
  <c r="E167" i="3"/>
  <c r="E145" i="3"/>
  <c r="E199" i="3"/>
  <c r="E164" i="3"/>
  <c r="E141" i="3"/>
  <c r="E107"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AB45" i="21"/>
  <c r="AC33" i="21"/>
  <c r="W33" i="21"/>
  <c r="S33" i="21"/>
  <c r="AA33" i="21"/>
  <c r="W32" i="21"/>
  <c r="AC32" i="21"/>
  <c r="AB9" i="21"/>
  <c r="U9" i="21"/>
  <c r="AA32" i="21"/>
  <c r="S32" i="21"/>
  <c r="W9" i="21"/>
  <c r="AC9" i="21"/>
  <c r="AB32" i="21"/>
  <c r="U32" i="21"/>
  <c r="AA10" i="21"/>
  <c r="S10" i="21"/>
  <c r="E6" i="70"/>
  <c r="A18" i="62"/>
  <c r="B64" i="72" s="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W25" i="33"/>
  <c r="U17" i="33"/>
  <c r="AB17" i="33"/>
  <c r="U23" i="21"/>
  <c r="AB23" i="21"/>
  <c r="AC23" i="21"/>
  <c r="W23" i="21"/>
  <c r="AC11" i="37"/>
  <c r="W11" i="37"/>
  <c r="W11" i="34"/>
  <c r="AC11" i="34"/>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D17" i="53"/>
  <c r="B36" i="72"/>
  <c r="D125" i="9"/>
  <c r="D11" i="52"/>
  <c r="N69" i="9"/>
  <c r="B7" i="74"/>
  <c r="H112" i="9"/>
  <c r="D21" i="53"/>
  <c r="B39" i="72"/>
  <c r="H111" i="9"/>
  <c r="D126" i="9"/>
  <c r="D19" i="53"/>
  <c r="B38" i="72"/>
  <c r="D20" i="53"/>
  <c r="B40" i="72"/>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J46" i="36" s="1"/>
  <c r="K46" i="36" s="1"/>
  <c r="L46" i="36" s="1"/>
  <c r="M46" i="36" s="1"/>
  <c r="N46" i="36" s="1"/>
  <c r="O46" i="36"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V12" i="71"/>
  <c r="C12" i="71"/>
  <c r="D13" i="71"/>
  <c r="E41" i="43"/>
  <c r="C41" i="43"/>
  <c r="C20" i="43"/>
  <c r="I59" i="34"/>
  <c r="J59" i="34"/>
  <c r="D10" i="71"/>
  <c r="T12" i="71"/>
  <c r="D11" i="71"/>
  <c r="D12" i="71"/>
  <c r="C19" i="43"/>
  <c r="U12" i="71"/>
  <c r="F40" i="15"/>
  <c r="F7" i="15"/>
  <c r="E2" i="69"/>
  <c r="D2" i="21"/>
  <c r="M28" i="15"/>
  <c r="F36" i="15"/>
  <c r="L47" i="67"/>
  <c r="F8" i="15"/>
  <c r="AO10" i="1"/>
  <c r="M23" i="15"/>
  <c r="F4" i="73"/>
  <c r="B13" i="76"/>
  <c r="E13" i="76"/>
  <c r="B12" i="76"/>
  <c r="M29" i="15"/>
  <c r="M26" i="67"/>
  <c r="F40" i="67"/>
  <c r="E12" i="76"/>
  <c r="AO13" i="1"/>
  <c r="F13" i="67"/>
  <c r="AO9" i="1"/>
  <c r="D5" i="73"/>
  <c r="D2" i="37"/>
  <c r="F26" i="67"/>
  <c r="B10" i="76"/>
  <c r="C76" i="67"/>
  <c r="AO12" i="1"/>
  <c r="F42" i="67"/>
  <c r="M9" i="15"/>
  <c r="D7" i="73"/>
  <c r="E11" i="76"/>
  <c r="F36" i="67"/>
  <c r="F38" i="15"/>
  <c r="B7" i="76"/>
  <c r="M26" i="15"/>
  <c r="F41" i="15"/>
  <c r="J15" i="67"/>
  <c r="D2" i="35"/>
  <c r="L48" i="15"/>
  <c r="F16" i="15"/>
  <c r="F43" i="67"/>
  <c r="D2" i="36"/>
  <c r="F26" i="15"/>
  <c r="F43" i="15"/>
  <c r="D3" i="73"/>
  <c r="F6" i="67"/>
  <c r="F8" i="67"/>
  <c r="F20" i="31"/>
  <c r="D35" i="9"/>
  <c r="M21" i="15"/>
  <c r="M24" i="67"/>
  <c r="M9" i="67"/>
  <c r="E7" i="76"/>
  <c r="L47" i="15"/>
  <c r="AO7" i="1"/>
  <c r="F3" i="73"/>
  <c r="B9" i="76"/>
  <c r="F38" i="67"/>
  <c r="F16" i="67"/>
  <c r="F37" i="67"/>
  <c r="M6" i="67"/>
  <c r="D6" i="73"/>
  <c r="AO11" i="1"/>
  <c r="L48" i="67"/>
  <c r="E9" i="76"/>
  <c r="F42" i="15"/>
  <c r="F9" i="15"/>
  <c r="J15" i="15"/>
  <c r="F35" i="15"/>
  <c r="F37" i="15"/>
  <c r="E10" i="76"/>
  <c r="F5" i="73"/>
  <c r="F7" i="73"/>
  <c r="D2" i="34"/>
  <c r="D4" i="73"/>
  <c r="F13" i="15"/>
  <c r="D9" i="68"/>
  <c r="M27" i="15"/>
  <c r="F9" i="67"/>
  <c r="F41" i="67"/>
  <c r="D34" i="9"/>
  <c r="F6" i="73"/>
  <c r="M28" i="67"/>
  <c r="M22" i="67"/>
  <c r="F35" i="67"/>
  <c r="E8" i="76"/>
  <c r="C76" i="15"/>
  <c r="B8" i="76"/>
  <c r="M22" i="15"/>
  <c r="E2" i="68"/>
  <c r="B11" i="76"/>
  <c r="M23" i="67"/>
  <c r="D2" i="33"/>
  <c r="M8" i="67"/>
  <c r="M21" i="67"/>
  <c r="F6" i="15"/>
  <c r="F7" i="67"/>
  <c r="M29" i="67"/>
  <c r="AO6" i="1"/>
  <c r="M6" i="15"/>
  <c r="M27" i="67"/>
  <c r="AO8" i="1"/>
  <c r="M8" i="15"/>
  <c r="M24" i="15"/>
  <c r="C21" i="68" l="1"/>
  <c r="S43" i="33"/>
  <c r="S41" i="33"/>
  <c r="S38" i="33"/>
  <c r="U30" i="33"/>
  <c r="H27" i="39"/>
  <c r="U27" i="39" s="1"/>
  <c r="G101" i="39"/>
  <c r="F27" i="39" s="1"/>
  <c r="J27" i="39"/>
  <c r="AC37" i="33"/>
  <c r="AA34" i="33"/>
  <c r="U35" i="33"/>
  <c r="W15" i="33"/>
  <c r="J41" i="39"/>
  <c r="H41" i="39"/>
  <c r="G124" i="39"/>
  <c r="H124" i="39" s="1"/>
  <c r="I124" i="39" s="1"/>
  <c r="J124" i="39" s="1"/>
  <c r="K124" i="39" s="1"/>
  <c r="L124" i="39" s="1"/>
  <c r="M124" i="39" s="1"/>
  <c r="F41" i="39"/>
  <c r="U40" i="39"/>
  <c r="U32" i="39"/>
  <c r="AB15" i="39"/>
  <c r="AC15" i="39"/>
  <c r="W12" i="39"/>
  <c r="AC12" i="39"/>
  <c r="AB14" i="39"/>
  <c r="U14" i="39"/>
  <c r="AA12" i="39"/>
  <c r="H12" i="39"/>
  <c r="D23" i="67"/>
  <c r="D22" i="67"/>
  <c r="G41" i="83"/>
  <c r="G22" i="83"/>
  <c r="G17" i="43"/>
  <c r="C16" i="43" s="1"/>
  <c r="C5" i="43" s="1"/>
  <c r="C9" i="68"/>
  <c r="D5" i="43"/>
  <c r="C36" i="43" s="1"/>
  <c r="S32" i="33"/>
  <c r="F36" i="33"/>
  <c r="H111" i="33"/>
  <c r="I111" i="33" s="1"/>
  <c r="J111" i="33" s="1"/>
  <c r="K111" i="33" s="1"/>
  <c r="L111" i="33" s="1"/>
  <c r="M111" i="33" s="1"/>
  <c r="J36" i="33"/>
  <c r="H36" i="33"/>
  <c r="AC42" i="33"/>
  <c r="W42" i="33"/>
  <c r="F42" i="33"/>
  <c r="AA42" i="33" s="1"/>
  <c r="G123" i="33"/>
  <c r="H123" i="33" s="1"/>
  <c r="I123" i="33" s="1"/>
  <c r="J123" i="33" s="1"/>
  <c r="K123" i="33" s="1"/>
  <c r="L123" i="33" s="1"/>
  <c r="M123" i="33" s="1"/>
  <c r="S42" i="33"/>
  <c r="U42" i="33"/>
  <c r="F85" i="33"/>
  <c r="G85" i="33" s="1"/>
  <c r="F23" i="33"/>
  <c r="AA23" i="33" s="1"/>
  <c r="F81" i="33"/>
  <c r="AC17" i="33"/>
  <c r="AA17" i="33"/>
  <c r="AA14" i="33"/>
  <c r="AC10" i="33"/>
  <c r="U8" i="33"/>
  <c r="S8" i="33"/>
  <c r="W29" i="39"/>
  <c r="U29" i="39"/>
  <c r="S29" i="39"/>
  <c r="J25" i="39"/>
  <c r="F99" i="39"/>
  <c r="G99" i="39" s="1"/>
  <c r="H25" i="39"/>
  <c r="AB25" i="39" s="1"/>
  <c r="F25" i="39"/>
  <c r="U25" i="39"/>
  <c r="AB23" i="39"/>
  <c r="F95" i="39"/>
  <c r="G95" i="39" s="1"/>
  <c r="J21" i="39"/>
  <c r="F21" i="39"/>
  <c r="AA21" i="39" s="1"/>
  <c r="H21" i="39"/>
  <c r="U21" i="39" s="1"/>
  <c r="S21" i="39"/>
  <c r="AB21" i="39"/>
  <c r="F91" i="39"/>
  <c r="G91" i="39" s="1"/>
  <c r="F17" i="39"/>
  <c r="AA17" i="39" s="1"/>
  <c r="H17" i="39"/>
  <c r="AB17" i="39" s="1"/>
  <c r="J17" i="39"/>
  <c r="U17" i="39"/>
  <c r="S11" i="39"/>
  <c r="C36" i="69"/>
  <c r="C94" i="9"/>
  <c r="C92" i="9"/>
  <c r="F30" i="69"/>
  <c r="F48" i="69" s="1"/>
  <c r="D68" i="9"/>
  <c r="M18" i="15"/>
  <c r="F52" i="9"/>
  <c r="C30" i="69"/>
  <c r="F32" i="15"/>
  <c r="F60" i="15" s="1"/>
  <c r="F32" i="67"/>
  <c r="F60" i="67" s="1"/>
  <c r="F28" i="67"/>
  <c r="C28" i="67" s="1"/>
  <c r="C24" i="12"/>
  <c r="C77" i="9"/>
  <c r="C74" i="9" s="1"/>
  <c r="C13" i="12"/>
  <c r="C30" i="11"/>
  <c r="F54" i="9"/>
  <c r="F28" i="15"/>
  <c r="C28" i="15" s="1"/>
  <c r="C48" i="69"/>
  <c r="M18" i="67"/>
  <c r="F31" i="12"/>
  <c r="F30" i="68"/>
  <c r="F53" i="9"/>
  <c r="C21" i="69"/>
  <c r="E2" i="70"/>
  <c r="E60" i="40"/>
  <c r="E65" i="39"/>
  <c r="E13" i="6"/>
  <c r="E12" i="6"/>
  <c r="F27" i="6"/>
  <c r="E27" i="6" s="1"/>
  <c r="E56" i="39"/>
  <c r="E51" i="40"/>
  <c r="E59" i="40"/>
  <c r="E56" i="40"/>
  <c r="P7" i="1"/>
  <c r="E105" i="3"/>
  <c r="E133" i="3"/>
  <c r="E173" i="3"/>
  <c r="E193" i="3"/>
  <c r="E116" i="3"/>
  <c r="E177" i="3"/>
  <c r="E197" i="3"/>
  <c r="E224" i="3"/>
  <c r="E238" i="3"/>
  <c r="E277" i="3"/>
  <c r="E223" i="3"/>
  <c r="E45" i="3"/>
  <c r="E85" i="3"/>
  <c r="E120" i="3"/>
  <c r="E140" i="3"/>
  <c r="E117" i="3"/>
  <c r="E180" i="3"/>
  <c r="E161" i="3"/>
  <c r="E221" i="3"/>
  <c r="E290" i="3"/>
  <c r="E91" i="3"/>
  <c r="E13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30" i="6"/>
  <c r="K15" i="1"/>
  <c r="K16" i="1" s="1"/>
  <c r="AZ5" i="3"/>
  <c r="AY6" i="3" s="1"/>
  <c r="AY87" i="3" s="1"/>
  <c r="M14" i="1"/>
  <c r="AY366" i="3"/>
  <c r="AY26" i="3"/>
  <c r="AY61" i="3"/>
  <c r="AY397" i="3"/>
  <c r="AY348" i="3"/>
  <c r="AY582" i="3"/>
  <c r="O11" i="1"/>
  <c r="P11" i="1" s="1"/>
  <c r="O8" i="1"/>
  <c r="P8" i="1" s="1"/>
  <c r="O12" i="1"/>
  <c r="P12" i="1" s="1"/>
  <c r="O9" i="1"/>
  <c r="P9" i="1" s="1"/>
  <c r="H16" i="1"/>
  <c r="Q16"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C70" i="39"/>
  <c r="D68" i="39"/>
  <c r="G16" i="1"/>
  <c r="J10" i="40" s="1"/>
  <c r="K59" i="34"/>
  <c r="H7" i="36"/>
  <c r="E52" i="37"/>
  <c r="F52" i="37" s="1"/>
  <c r="G52" i="37" s="1"/>
  <c r="H52" i="37" s="1"/>
  <c r="I52" i="37" s="1"/>
  <c r="J52" i="37" s="1"/>
  <c r="K52" i="37" s="1"/>
  <c r="L52" i="37" s="1"/>
  <c r="M52" i="37" s="1"/>
  <c r="N52" i="37" s="1"/>
  <c r="O52" i="37" s="1"/>
  <c r="F7" i="37"/>
  <c r="J7" i="36"/>
  <c r="F7" i="36"/>
  <c r="D58" i="21"/>
  <c r="E48" i="35"/>
  <c r="C65" i="40"/>
  <c r="D63" i="40"/>
  <c r="D58" i="33"/>
  <c r="E58" i="33" s="1"/>
  <c r="F58" i="33" s="1"/>
  <c r="G58" i="33" s="1"/>
  <c r="H58" i="33" s="1"/>
  <c r="I58" i="33" s="1"/>
  <c r="J58" i="33" s="1"/>
  <c r="K58" i="33" s="1"/>
  <c r="L58" i="33" s="1"/>
  <c r="M58" i="33" s="1"/>
  <c r="N58" i="33" s="1"/>
  <c r="O58" i="33" s="1"/>
  <c r="F7" i="33"/>
  <c r="F31" i="67"/>
  <c r="F31" i="15"/>
  <c r="K4" i="4"/>
  <c r="B46" i="48" s="1"/>
  <c r="B4" i="72" s="1"/>
  <c r="B4" i="62"/>
  <c r="B71" i="72" s="1"/>
  <c r="D9" i="53"/>
  <c r="B25" i="72" s="1"/>
  <c r="B24" i="72"/>
  <c r="K120" i="9"/>
  <c r="D7" i="71"/>
  <c r="C6" i="71"/>
  <c r="Y8" i="71"/>
  <c r="Z8" i="71" s="1"/>
  <c r="Y7" i="71"/>
  <c r="AA8" i="71"/>
  <c r="AB3" i="71"/>
  <c r="C35" i="43"/>
  <c r="E35" i="43" s="1"/>
  <c r="B8" i="71"/>
  <c r="B7" i="71" s="1"/>
  <c r="B6" i="71" s="1"/>
  <c r="B5" i="71" s="1"/>
  <c r="X8" i="71"/>
  <c r="AB8" i="71"/>
  <c r="Z7" i="71"/>
  <c r="Y3" i="71"/>
  <c r="Z3" i="71" s="1"/>
  <c r="D8" i="71"/>
  <c r="F8" i="71"/>
  <c r="F7" i="71" s="1"/>
  <c r="F6" i="71" s="1"/>
  <c r="F5" i="71" s="1"/>
  <c r="AF3" i="71"/>
  <c r="P22" i="43" s="1"/>
  <c r="C38" i="69"/>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E20" i="43"/>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4" i="67"/>
  <c r="C17" i="15"/>
  <c r="C16" i="67"/>
  <c r="C14" i="15"/>
  <c r="C16" i="15"/>
  <c r="G1" i="73"/>
  <c r="C17" i="67"/>
  <c r="J23" i="33" l="1"/>
  <c r="W23" i="33" s="1"/>
  <c r="H23" i="33"/>
  <c r="J19" i="33"/>
  <c r="W19" i="33" s="1"/>
  <c r="AB27" i="39"/>
  <c r="AA27" i="39"/>
  <c r="S27" i="39"/>
  <c r="AC27" i="39"/>
  <c r="W27" i="39"/>
  <c r="S41" i="39"/>
  <c r="AA41" i="39"/>
  <c r="U41" i="39"/>
  <c r="AB41" i="39"/>
  <c r="W41" i="39"/>
  <c r="AC41" i="39"/>
  <c r="U12" i="39"/>
  <c r="AB12" i="39"/>
  <c r="C37" i="43"/>
  <c r="E37" i="43" s="1"/>
  <c r="T14" i="43"/>
  <c r="V14" i="43" s="1"/>
  <c r="T11" i="43"/>
  <c r="V11" i="43" s="1"/>
  <c r="T15" i="43"/>
  <c r="V15" i="43" s="1"/>
  <c r="T16" i="43"/>
  <c r="V16" i="43" s="1"/>
  <c r="T8" i="43"/>
  <c r="V8" i="43" s="1"/>
  <c r="T12" i="43"/>
  <c r="V12" i="43" s="1"/>
  <c r="T9" i="43"/>
  <c r="V9" i="43" s="1"/>
  <c r="T10" i="43"/>
  <c r="V10" i="43" s="1"/>
  <c r="T13" i="43"/>
  <c r="V13" i="43" s="1"/>
  <c r="E36" i="43"/>
  <c r="G36" i="43"/>
  <c r="I36" i="43" s="1"/>
  <c r="C38" i="43"/>
  <c r="E38" i="43" s="1"/>
  <c r="C33" i="43"/>
  <c r="C34" i="43"/>
  <c r="G34" i="43" s="1"/>
  <c r="I34" i="43" s="1"/>
  <c r="C39" i="43"/>
  <c r="AB36" i="33"/>
  <c r="U36" i="33"/>
  <c r="AC36" i="33"/>
  <c r="W36" i="33"/>
  <c r="AA36" i="33"/>
  <c r="S36" i="33"/>
  <c r="U23" i="33"/>
  <c r="AB23" i="33"/>
  <c r="S23" i="33"/>
  <c r="AC23" i="33"/>
  <c r="H19" i="33"/>
  <c r="G81" i="33"/>
  <c r="F19" i="33" s="1"/>
  <c r="AC19" i="33"/>
  <c r="S17" i="39"/>
  <c r="F59" i="67"/>
  <c r="AA25" i="39"/>
  <c r="S25" i="39"/>
  <c r="W25" i="39"/>
  <c r="AC25" i="39"/>
  <c r="W21" i="39"/>
  <c r="AC21" i="39"/>
  <c r="W17" i="39"/>
  <c r="AC17" i="39"/>
  <c r="F48" i="68"/>
  <c r="C30" i="68"/>
  <c r="C48" i="68"/>
  <c r="F31" i="6"/>
  <c r="C18" i="15"/>
  <c r="C15" i="15"/>
  <c r="BQ6" i="3"/>
  <c r="AY166" i="3"/>
  <c r="AY133" i="3"/>
  <c r="AY420" i="3"/>
  <c r="AY74" i="3"/>
  <c r="AY42" i="3"/>
  <c r="E16" i="6"/>
  <c r="E58" i="40"/>
  <c r="E63" i="39"/>
  <c r="AY495" i="3"/>
  <c r="AY462" i="3"/>
  <c r="AY242" i="3"/>
  <c r="AY109" i="3"/>
  <c r="AY247" i="3"/>
  <c r="AY190" i="3"/>
  <c r="AY533" i="3"/>
  <c r="AY372" i="3"/>
  <c r="AY363" i="3"/>
  <c r="AY441" i="3"/>
  <c r="AY168" i="3"/>
  <c r="AY207" i="3"/>
  <c r="E62" i="39"/>
  <c r="E57" i="40"/>
  <c r="K26" i="6"/>
  <c r="M26" i="6" s="1"/>
  <c r="I26" i="6" s="1"/>
  <c r="S26" i="6" s="1"/>
  <c r="K25" i="6"/>
  <c r="M25" i="6" s="1"/>
  <c r="I25" i="6" s="1"/>
  <c r="S25" i="6" s="1"/>
  <c r="K20" i="6"/>
  <c r="K19" i="6"/>
  <c r="K22" i="6"/>
  <c r="M22" i="6" s="1"/>
  <c r="I22" i="6" s="1"/>
  <c r="S22" i="6" s="1"/>
  <c r="E31" i="6"/>
  <c r="K24" i="6"/>
  <c r="M24" i="6" s="1"/>
  <c r="I24" i="6" s="1"/>
  <c r="S24" i="6" s="1"/>
  <c r="K23" i="6"/>
  <c r="M23" i="6" s="1"/>
  <c r="I23" i="6" s="1"/>
  <c r="S23" i="6" s="1"/>
  <c r="K21" i="6"/>
  <c r="M21" i="6" s="1"/>
  <c r="I21" i="6" s="1"/>
  <c r="S21" i="6" s="1"/>
  <c r="D22" i="43"/>
  <c r="E3" i="6"/>
  <c r="AY501" i="3"/>
  <c r="AY534" i="3"/>
  <c r="AY398" i="3"/>
  <c r="AY475" i="3"/>
  <c r="AY353" i="3"/>
  <c r="AY295" i="3"/>
  <c r="AY56" i="3"/>
  <c r="AY360" i="3"/>
  <c r="AY230" i="3"/>
  <c r="AY283" i="3"/>
  <c r="AY154" i="3"/>
  <c r="AY44" i="3"/>
  <c r="AY97" i="3"/>
  <c r="AY549" i="3"/>
  <c r="AY310" i="3"/>
  <c r="AY260" i="3"/>
  <c r="AY412" i="3"/>
  <c r="AY204" i="3"/>
  <c r="AY196" i="3"/>
  <c r="AY473" i="3"/>
  <c r="AY236" i="3"/>
  <c r="AY281" i="3"/>
  <c r="AY124" i="3"/>
  <c r="AY51" i="3"/>
  <c r="M19" i="6"/>
  <c r="I19" i="6" s="1"/>
  <c r="AY101" i="3"/>
  <c r="AY494"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89" i="3"/>
  <c r="AY252" i="3"/>
  <c r="AY123" i="3"/>
  <c r="AY139" i="3"/>
  <c r="AY67" i="3"/>
  <c r="AY460" i="3"/>
  <c r="AY303" i="3"/>
  <c r="AY382" i="3"/>
  <c r="AY253" i="3"/>
  <c r="AY111" i="3"/>
  <c r="AY152" i="3"/>
  <c r="AY95" i="3"/>
  <c r="AY144" i="3"/>
  <c r="AY34" i="3"/>
  <c r="AC6" i="3"/>
  <c r="H6" i="3"/>
  <c r="AY98" i="3"/>
  <c r="AY18" i="3"/>
  <c r="AY171" i="3"/>
  <c r="AY90" i="3"/>
  <c r="AY163" i="3"/>
  <c r="AY75" i="3"/>
  <c r="AY237" i="3"/>
  <c r="AY387" i="3"/>
  <c r="AY334" i="3"/>
  <c r="AY444"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82" i="3"/>
  <c r="AY132" i="3"/>
  <c r="AY292" i="3"/>
  <c r="AY220" i="3"/>
  <c r="AY486"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BN6" i="3"/>
  <c r="AY527" i="3"/>
  <c r="AY518" i="3"/>
  <c r="AY559" i="3"/>
  <c r="AY508" i="3"/>
  <c r="AY556" i="3"/>
  <c r="AY577" i="3"/>
  <c r="AY112"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1" i="3"/>
  <c r="AY147" i="3"/>
  <c r="AY425" i="3"/>
  <c r="AY244" i="3"/>
  <c r="AY481" i="3"/>
  <c r="AY562" i="3"/>
  <c r="AY89" i="3"/>
  <c r="AY36" i="3"/>
  <c r="AY146" i="3"/>
  <c r="AY302" i="3"/>
  <c r="AY222" i="3"/>
  <c r="BS6" i="3"/>
  <c r="AY40" i="3"/>
  <c r="AY279" i="3"/>
  <c r="AY356" i="3"/>
  <c r="AY467" i="3"/>
  <c r="AY435" i="3"/>
  <c r="AY572" i="3"/>
  <c r="AY520" i="3"/>
  <c r="AY543" i="3"/>
  <c r="AY496"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1" i="3"/>
  <c r="AY350" i="3"/>
  <c r="AY199" i="3"/>
  <c r="AY355" i="3"/>
  <c r="AY404" i="3"/>
  <c r="BO6" i="3"/>
  <c r="AY53" i="3"/>
  <c r="AY182" i="3"/>
  <c r="AY126" i="3"/>
  <c r="AY239" i="3"/>
  <c r="AY389" i="3"/>
  <c r="AY93" i="3"/>
  <c r="AY150" i="3"/>
  <c r="AY226" i="3"/>
  <c r="AY340" i="3"/>
  <c r="AY454" i="3"/>
  <c r="AY525" i="3"/>
  <c r="AY536" i="3"/>
  <c r="AY552" i="3"/>
  <c r="AY532" i="3"/>
  <c r="AY523"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55" i="3"/>
  <c r="AY319" i="3"/>
  <c r="AY209" i="3"/>
  <c r="AY284" i="3"/>
  <c r="AY261" i="3"/>
  <c r="AY183" i="3"/>
  <c r="AY289" i="3"/>
  <c r="AY160" i="3"/>
  <c r="AY50" i="3"/>
  <c r="AY103" i="3"/>
  <c r="AY428" i="3"/>
  <c r="AY470" i="3"/>
  <c r="AY318" i="3"/>
  <c r="AY335" i="3"/>
  <c r="AY371" i="3"/>
  <c r="AY225" i="3"/>
  <c r="AY268" i="3"/>
  <c r="AY297" i="3"/>
  <c r="AY58" i="3"/>
  <c r="AY276" i="3"/>
  <c r="AY131" i="3"/>
  <c r="AY188" i="3"/>
  <c r="AY59" i="3"/>
  <c r="AY115" i="3"/>
  <c r="AY155" i="3"/>
  <c r="AY176" i="3"/>
  <c r="AY23" i="3"/>
  <c r="AY66" i="3"/>
  <c r="AY83" i="3"/>
  <c r="F28" i="12"/>
  <c r="F27" i="11"/>
  <c r="F27" i="69"/>
  <c r="D3" i="21"/>
  <c r="D19" i="11"/>
  <c r="C19" i="11" s="1"/>
  <c r="C17" i="4"/>
  <c r="L18" i="9"/>
  <c r="D3" i="37"/>
  <c r="D3" i="33"/>
  <c r="E6" i="6"/>
  <c r="D14" i="12"/>
  <c r="D3" i="34"/>
  <c r="M18" i="9"/>
  <c r="B118" i="9" s="1"/>
  <c r="B1" i="74" s="1"/>
  <c r="D19" i="6"/>
  <c r="D26" i="6"/>
  <c r="D8" i="6"/>
  <c r="D23" i="6"/>
  <c r="D14" i="6"/>
  <c r="D5" i="6"/>
  <c r="D12" i="6"/>
  <c r="D11" i="6"/>
  <c r="D13" i="6"/>
  <c r="D28" i="6"/>
  <c r="D37" i="11"/>
  <c r="D25" i="6"/>
  <c r="D15" i="6"/>
  <c r="D22" i="6"/>
  <c r="D21" i="6"/>
  <c r="D24" i="6"/>
  <c r="D20" i="6"/>
  <c r="D9" i="6"/>
  <c r="D10" i="6"/>
  <c r="D29" i="6"/>
  <c r="H25" i="6"/>
  <c r="O14" i="1"/>
  <c r="P14" i="1" s="1"/>
  <c r="P16" i="1" s="1"/>
  <c r="C11" i="12" s="1"/>
  <c r="M16" i="1"/>
  <c r="H22" i="6"/>
  <c r="N102" i="43"/>
  <c r="N105" i="43"/>
  <c r="N104" i="43"/>
  <c r="N109" i="43"/>
  <c r="N103" i="43"/>
  <c r="N106" i="43"/>
  <c r="N107" i="43"/>
  <c r="K103" i="43"/>
  <c r="K102" i="43"/>
  <c r="K105" i="43"/>
  <c r="K109" i="43"/>
  <c r="K107" i="43"/>
  <c r="K104" i="43"/>
  <c r="K106" i="43"/>
  <c r="H107" i="43"/>
  <c r="H106" i="43"/>
  <c r="H105" i="43"/>
  <c r="H102" i="43"/>
  <c r="H104" i="43"/>
  <c r="H103" i="43"/>
  <c r="H109" i="43"/>
  <c r="I109" i="43"/>
  <c r="I102" i="43"/>
  <c r="I106" i="43"/>
  <c r="I103" i="43"/>
  <c r="I104"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4" i="43"/>
  <c r="E107" i="43"/>
  <c r="E105" i="43"/>
  <c r="E102" i="43"/>
  <c r="E103" i="43"/>
  <c r="E109" i="43"/>
  <c r="E106" i="43"/>
  <c r="M109" i="43"/>
  <c r="M104" i="43"/>
  <c r="M107" i="43"/>
  <c r="M105" i="43"/>
  <c r="M106" i="43"/>
  <c r="M102" i="43"/>
  <c r="M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S10" i="39" s="1"/>
  <c r="H10" i="40"/>
  <c r="AB10" i="40" s="1"/>
  <c r="J10" i="39"/>
  <c r="W10" i="39" s="1"/>
  <c r="F10" i="40"/>
  <c r="AA10" i="40" s="1"/>
  <c r="H10" i="39"/>
  <c r="AB10" i="39" s="1"/>
  <c r="H7" i="33"/>
  <c r="U7" i="33" s="1"/>
  <c r="J7" i="33"/>
  <c r="AC7" i="33" s="1"/>
  <c r="V48" i="33" s="1"/>
  <c r="I48" i="33" s="1"/>
  <c r="H7" i="37"/>
  <c r="J7" i="37"/>
  <c r="W7" i="37" s="1"/>
  <c r="E68" i="39"/>
  <c r="D70" i="39"/>
  <c r="G35" i="43"/>
  <c r="I35" i="43" s="1"/>
  <c r="W10" i="40"/>
  <c r="AC10" i="40"/>
  <c r="S7" i="33"/>
  <c r="AA7" i="33"/>
  <c r="F48" i="35"/>
  <c r="E58" i="21"/>
  <c r="AC7" i="36"/>
  <c r="V36" i="36" s="1"/>
  <c r="I36" i="36" s="1"/>
  <c r="W7" i="36"/>
  <c r="AA7" i="37"/>
  <c r="R42" i="37" s="1"/>
  <c r="S7" i="37"/>
  <c r="AA10" i="39"/>
  <c r="D65" i="40"/>
  <c r="E63" i="40"/>
  <c r="S7" i="36"/>
  <c r="AA7" i="36"/>
  <c r="R36" i="36" s="1"/>
  <c r="AB7" i="37"/>
  <c r="T42" i="37" s="1"/>
  <c r="G42" i="37" s="1"/>
  <c r="U7" i="37"/>
  <c r="AC7" i="37"/>
  <c r="V42" i="37" s="1"/>
  <c r="I42" i="37" s="1"/>
  <c r="AB7" i="36"/>
  <c r="T36" i="36" s="1"/>
  <c r="G36" i="36" s="1"/>
  <c r="U7" i="36"/>
  <c r="L59" i="34"/>
  <c r="M59" i="34" s="1"/>
  <c r="N59" i="34" s="1"/>
  <c r="O59" i="34" s="1"/>
  <c r="H7" i="34"/>
  <c r="G37" i="43"/>
  <c r="I37" i="43" s="1"/>
  <c r="D6" i="71"/>
  <c r="C5" i="71"/>
  <c r="D5" i="71" s="1"/>
  <c r="M17" i="67"/>
  <c r="M17" i="15"/>
  <c r="F59" i="15"/>
  <c r="P24" i="43"/>
  <c r="B66" i="40" s="1"/>
  <c r="P21" i="43"/>
  <c r="C49" i="67"/>
  <c r="E39" i="43"/>
  <c r="G39" i="43"/>
  <c r="I39" i="43" s="1"/>
  <c r="P25" i="43"/>
  <c r="P23" i="43"/>
  <c r="B71" i="39" s="1"/>
  <c r="M20" i="43"/>
  <c r="G38" i="43"/>
  <c r="I38" i="43" s="1"/>
  <c r="G33" i="43"/>
  <c r="I33" i="43" s="1"/>
  <c r="E33" i="43"/>
  <c r="C49" i="15"/>
  <c r="C15" i="67"/>
  <c r="C18" i="67"/>
  <c r="B40" i="1"/>
  <c r="F22" i="83" s="1"/>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F27" i="68"/>
  <c r="F41" i="83" l="1"/>
  <c r="E34" i="43"/>
  <c r="U19" i="33"/>
  <c r="AB19" i="33"/>
  <c r="S19" i="33"/>
  <c r="AA19" i="33"/>
  <c r="R48" i="33" s="1"/>
  <c r="W7" i="33"/>
  <c r="AB7" i="33"/>
  <c r="T48" i="33" s="1"/>
  <c r="G48" i="33" s="1"/>
  <c r="G52" i="33" s="1"/>
  <c r="H52" i="33" s="1"/>
  <c r="C19" i="15"/>
  <c r="C20" i="15" s="1"/>
  <c r="C26" i="15" s="1"/>
  <c r="M20" i="6"/>
  <c r="S7" i="1"/>
  <c r="H26" i="6"/>
  <c r="R26" i="6" s="1"/>
  <c r="H24" i="6"/>
  <c r="H21" i="6"/>
  <c r="R21" i="6" s="1"/>
  <c r="K27" i="6"/>
  <c r="S6" i="1"/>
  <c r="H23" i="6"/>
  <c r="E66" i="39"/>
  <c r="E6" i="3"/>
  <c r="U10" i="40"/>
  <c r="O16" i="1"/>
  <c r="D30" i="6"/>
  <c r="D16" i="6"/>
  <c r="U10" i="39"/>
  <c r="C18" i="4"/>
  <c r="C4" i="52" s="1"/>
  <c r="B45" i="72" s="1"/>
  <c r="M19" i="9"/>
  <c r="C118" i="9" s="1"/>
  <c r="B2" i="74" s="1"/>
  <c r="E61" i="40"/>
  <c r="L19" i="9"/>
  <c r="C15" i="12"/>
  <c r="C12" i="12"/>
  <c r="H19" i="6"/>
  <c r="S19" i="6"/>
  <c r="R24" i="6"/>
  <c r="R22" i="6"/>
  <c r="R25" i="6"/>
  <c r="R23" i="6"/>
  <c r="C7" i="74"/>
  <c r="C8" i="74"/>
  <c r="D17" i="12"/>
  <c r="C17" i="12" s="1"/>
  <c r="C20" i="11"/>
  <c r="F45" i="68"/>
  <c r="C47" i="68"/>
  <c r="D45" i="68" s="1"/>
  <c r="C47" i="11"/>
  <c r="D45" i="11" s="1"/>
  <c r="N16" i="1"/>
  <c r="B21" i="1" s="1"/>
  <c r="L16" i="1"/>
  <c r="D27" i="6"/>
  <c r="D31" i="6" s="1"/>
  <c r="D10" i="11"/>
  <c r="C10" i="11" s="1"/>
  <c r="D20" i="12"/>
  <c r="C20" i="12" s="1"/>
  <c r="D6" i="6"/>
  <c r="D10" i="69"/>
  <c r="B4" i="52"/>
  <c r="B43" i="72" s="1"/>
  <c r="A7" i="51"/>
  <c r="B7" i="72" s="1"/>
  <c r="F45" i="69"/>
  <c r="C29" i="69"/>
  <c r="D27" i="69" s="1"/>
  <c r="C47" i="69"/>
  <c r="D45" i="69" s="1"/>
  <c r="C115" i="43"/>
  <c r="D113" i="43" s="1"/>
  <c r="C23" i="43"/>
  <c r="C21" i="43" s="1"/>
  <c r="C29" i="43" s="1"/>
  <c r="S7" i="43"/>
  <c r="T7" i="43" s="1"/>
  <c r="V7" i="43" s="1"/>
  <c r="S5" i="43"/>
  <c r="T5" i="43" s="1"/>
  <c r="V5" i="43" s="1"/>
  <c r="S3" i="43"/>
  <c r="T3" i="43" s="1"/>
  <c r="V3" i="43" s="1"/>
  <c r="S4" i="43"/>
  <c r="T4" i="43" s="1"/>
  <c r="V4" i="43" s="1"/>
  <c r="S2" i="43"/>
  <c r="T2" i="43" s="1"/>
  <c r="V2" i="43" s="1"/>
  <c r="C26" i="43" s="1"/>
  <c r="S6" i="43"/>
  <c r="T6" i="43" s="1"/>
  <c r="V6" i="43" s="1"/>
  <c r="AC10" i="39"/>
  <c r="S10" i="40"/>
  <c r="J7" i="34"/>
  <c r="AC7" i="34" s="1"/>
  <c r="V49" i="34" s="1"/>
  <c r="I49" i="34" s="1"/>
  <c r="F68" i="39"/>
  <c r="E70" i="39"/>
  <c r="AB7" i="34"/>
  <c r="T49" i="34" s="1"/>
  <c r="G49" i="34" s="1"/>
  <c r="U7" i="34"/>
  <c r="G40" i="36"/>
  <c r="H40" i="36" s="1"/>
  <c r="G41" i="36"/>
  <c r="H41" i="36" s="1"/>
  <c r="I46" i="37"/>
  <c r="J46" i="37" s="1"/>
  <c r="G46" i="37"/>
  <c r="H46" i="37" s="1"/>
  <c r="G47" i="37"/>
  <c r="H47" i="37" s="1"/>
  <c r="R43" i="37"/>
  <c r="E42" i="37"/>
  <c r="I40" i="36"/>
  <c r="J40" i="36" s="1"/>
  <c r="G48" i="35"/>
  <c r="W7" i="34"/>
  <c r="R37" i="36"/>
  <c r="E36" i="36"/>
  <c r="F63" i="40"/>
  <c r="E65" i="40"/>
  <c r="I52" i="33"/>
  <c r="J52" i="33" s="1"/>
  <c r="F58" i="21"/>
  <c r="F7" i="34"/>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D10" i="68"/>
  <c r="C29" i="83" l="1"/>
  <c r="D27" i="83" s="1"/>
  <c r="C44" i="83"/>
  <c r="D41" i="83" s="1"/>
  <c r="C24" i="83"/>
  <c r="B24" i="1"/>
  <c r="B23" i="1"/>
  <c r="C28" i="11"/>
  <c r="C27" i="11" s="1"/>
  <c r="C29" i="11"/>
  <c r="D27" i="11" s="1"/>
  <c r="C29" i="68"/>
  <c r="D27" i="68" s="1"/>
  <c r="E48" i="33"/>
  <c r="I53" i="33" s="1"/>
  <c r="J53" i="33" s="1"/>
  <c r="R49" i="33"/>
  <c r="C49" i="33" s="1"/>
  <c r="B2" i="33" s="1"/>
  <c r="G53" i="33"/>
  <c r="H53" i="33" s="1"/>
  <c r="F34" i="11"/>
  <c r="AR7" i="1"/>
  <c r="T7" i="1"/>
  <c r="AQ7" i="1"/>
  <c r="I20" i="6"/>
  <c r="M27" i="6"/>
  <c r="T6" i="1"/>
  <c r="S16" i="1"/>
  <c r="AQ6" i="1"/>
  <c r="AR6" i="1"/>
  <c r="A10" i="51"/>
  <c r="B9" i="72" s="1"/>
  <c r="R19" i="6"/>
  <c r="D8" i="74"/>
  <c r="D7" i="74"/>
  <c r="C10" i="69"/>
  <c r="C8" i="69" s="1"/>
  <c r="C5" i="69" s="1"/>
  <c r="C23" i="69" s="1"/>
  <c r="D19" i="69"/>
  <c r="C10" i="68"/>
  <c r="B29" i="1" s="1"/>
  <c r="C8" i="68" s="1"/>
  <c r="D19" i="68"/>
  <c r="I6" i="6"/>
  <c r="I5" i="6"/>
  <c r="F50" i="69"/>
  <c r="E29" i="43"/>
  <c r="C30" i="43"/>
  <c r="E30" i="43" s="1"/>
  <c r="C27" i="43" s="1"/>
  <c r="G68" i="39"/>
  <c r="F70" i="39"/>
  <c r="AA7" i="34"/>
  <c r="R49" i="34" s="1"/>
  <c r="S7" i="34"/>
  <c r="G58" i="21"/>
  <c r="G63" i="40"/>
  <c r="F65" i="40"/>
  <c r="C37" i="36"/>
  <c r="B2" i="36" s="1"/>
  <c r="B3" i="36" s="1"/>
  <c r="C36" i="36"/>
  <c r="C48" i="33"/>
  <c r="E47" i="37"/>
  <c r="F47" i="37" s="1"/>
  <c r="E46" i="37"/>
  <c r="F46" i="37" s="1"/>
  <c r="I47" i="37"/>
  <c r="J47" i="37" s="1"/>
  <c r="E40" i="36"/>
  <c r="F40" i="36" s="1"/>
  <c r="E41" i="36"/>
  <c r="F41" i="36" s="1"/>
  <c r="I53" i="34"/>
  <c r="J53" i="34" s="1"/>
  <c r="H48" i="35"/>
  <c r="I41" i="36"/>
  <c r="J41" i="36" s="1"/>
  <c r="C43" i="37"/>
  <c r="B2" i="37" s="1"/>
  <c r="B3" i="37" s="1"/>
  <c r="C42" i="37"/>
  <c r="G54" i="34"/>
  <c r="H54" i="34" s="1"/>
  <c r="G53" i="34"/>
  <c r="H53" i="34" s="1"/>
  <c r="F41" i="68"/>
  <c r="B2" i="43"/>
  <c r="C60" i="15"/>
  <c r="C66" i="15"/>
  <c r="C23" i="15"/>
  <c r="C29" i="15" s="1"/>
  <c r="C26" i="69"/>
  <c r="D22" i="69" s="1"/>
  <c r="C44" i="69"/>
  <c r="D41" i="69" s="1"/>
  <c r="C44" i="68"/>
  <c r="D41" i="68" s="1"/>
  <c r="C26" i="68"/>
  <c r="D22" i="68" s="1"/>
  <c r="C26" i="12"/>
  <c r="D25" i="12" s="1"/>
  <c r="C44" i="11"/>
  <c r="D41" i="11" s="1"/>
  <c r="C24" i="11"/>
  <c r="C26" i="11"/>
  <c r="D22" i="11" s="1"/>
  <c r="C38" i="67"/>
  <c r="C38" i="15"/>
  <c r="C66" i="67"/>
  <c r="C60" i="67"/>
  <c r="C23" i="67"/>
  <c r="C29" i="67" s="1"/>
  <c r="B6" i="76"/>
  <c r="E6" i="76"/>
  <c r="F34" i="68" l="1"/>
  <c r="F34" i="83"/>
  <c r="F50" i="83"/>
  <c r="C23" i="11"/>
  <c r="C26" i="83"/>
  <c r="D22" i="83" s="1"/>
  <c r="F50" i="11"/>
  <c r="F11" i="12"/>
  <c r="C25" i="11"/>
  <c r="C22" i="11" s="1"/>
  <c r="C31" i="11" s="1"/>
  <c r="F50" i="68"/>
  <c r="J53" i="15"/>
  <c r="J53" i="67"/>
  <c r="M59" i="15"/>
  <c r="M59" i="67"/>
  <c r="C29" i="12"/>
  <c r="D28" i="12" s="1"/>
  <c r="B3" i="33"/>
  <c r="C6" i="12" s="1"/>
  <c r="C8" i="12"/>
  <c r="C4" i="12" s="1"/>
  <c r="C31" i="12" s="1"/>
  <c r="E52" i="33"/>
  <c r="F52" i="33" s="1"/>
  <c r="E53" i="33"/>
  <c r="F53" i="33" s="1"/>
  <c r="C18" i="12"/>
  <c r="C36" i="11"/>
  <c r="C37" i="11"/>
  <c r="C34" i="11"/>
  <c r="T16" i="1"/>
  <c r="S20" i="6"/>
  <c r="S27" i="6" s="1"/>
  <c r="H20" i="6"/>
  <c r="I27" i="6"/>
  <c r="R6" i="1"/>
  <c r="C19" i="68"/>
  <c r="D37" i="68"/>
  <c r="C37" i="68" s="1"/>
  <c r="C19" i="69"/>
  <c r="C24" i="69" s="1"/>
  <c r="D37" i="69"/>
  <c r="C37" i="69" s="1"/>
  <c r="C33" i="69" s="1"/>
  <c r="E2" i="76"/>
  <c r="H68" i="39"/>
  <c r="G70" i="39"/>
  <c r="I48" i="35"/>
  <c r="G65" i="40"/>
  <c r="H63" i="40"/>
  <c r="H58" i="21"/>
  <c r="R50" i="34"/>
  <c r="E49" i="34"/>
  <c r="B2" i="76"/>
  <c r="B3" i="43"/>
  <c r="J14" i="15"/>
  <c r="C57" i="15"/>
  <c r="C36" i="15"/>
  <c r="C33" i="15"/>
  <c r="C31" i="15" s="1"/>
  <c r="C13" i="15"/>
  <c r="Q49" i="15"/>
  <c r="J19" i="15"/>
  <c r="J17" i="15" s="1"/>
  <c r="J59" i="15"/>
  <c r="C36" i="67"/>
  <c r="C33" i="67"/>
  <c r="C31" i="67" s="1"/>
  <c r="J14" i="67"/>
  <c r="C13" i="67"/>
  <c r="J19" i="67"/>
  <c r="J17" i="67" s="1"/>
  <c r="C57" i="67"/>
  <c r="Q49" i="67"/>
  <c r="J59" i="67"/>
  <c r="C36" i="68"/>
  <c r="C34" i="83"/>
  <c r="C34" i="68"/>
  <c r="C23" i="12" l="1"/>
  <c r="C35" i="83"/>
  <c r="C38" i="83"/>
  <c r="C37" i="83"/>
  <c r="J60" i="67"/>
  <c r="L46" i="67" s="1"/>
  <c r="C14" i="12"/>
  <c r="C16" i="12" s="1"/>
  <c r="C21" i="12" s="1"/>
  <c r="C22" i="12" s="1"/>
  <c r="J60" i="15"/>
  <c r="L46" i="15" s="1"/>
  <c r="L56" i="15"/>
  <c r="F1" i="15"/>
  <c r="Q52" i="15"/>
  <c r="Q52" i="67"/>
  <c r="F1" i="67"/>
  <c r="C38" i="68"/>
  <c r="C35" i="68"/>
  <c r="C38" i="11"/>
  <c r="C35" i="11"/>
  <c r="R20" i="6"/>
  <c r="H27" i="6"/>
  <c r="C20" i="69"/>
  <c r="C28" i="69" s="1"/>
  <c r="C27" i="69" s="1"/>
  <c r="C24" i="68"/>
  <c r="C39" i="69"/>
  <c r="C43" i="69" s="1"/>
  <c r="C42" i="69"/>
  <c r="B3" i="76"/>
  <c r="H70" i="39"/>
  <c r="I68" i="39"/>
  <c r="E53" i="34"/>
  <c r="F53" i="34" s="1"/>
  <c r="E54" i="34"/>
  <c r="F54" i="34" s="1"/>
  <c r="I54" i="34"/>
  <c r="J54" i="34" s="1"/>
  <c r="C49" i="34"/>
  <c r="C50" i="34"/>
  <c r="B2" i="34" s="1"/>
  <c r="B3" i="34" s="1"/>
  <c r="I58" i="21"/>
  <c r="J48" i="35"/>
  <c r="I63" i="40"/>
  <c r="H65" i="40"/>
  <c r="J13" i="67"/>
  <c r="J23" i="67" s="1"/>
  <c r="J22" i="67"/>
  <c r="C61" i="67"/>
  <c r="C59" i="67" s="1"/>
  <c r="C64" i="67"/>
  <c r="C64" i="15"/>
  <c r="C61" i="15"/>
  <c r="C59" i="15" s="1"/>
  <c r="Q48" i="67"/>
  <c r="C56" i="67"/>
  <c r="C65" i="67" s="1"/>
  <c r="C75" i="67"/>
  <c r="Q70" i="67"/>
  <c r="C37" i="67"/>
  <c r="C30" i="67" s="1"/>
  <c r="C39" i="67" s="1"/>
  <c r="C56" i="15"/>
  <c r="C65" i="15" s="1"/>
  <c r="Q70" i="15"/>
  <c r="C37" i="15"/>
  <c r="C30" i="15" s="1"/>
  <c r="C39" i="15" s="1"/>
  <c r="C75" i="15"/>
  <c r="J22" i="15"/>
  <c r="J13" i="15"/>
  <c r="J23" i="15" s="1"/>
  <c r="L51" i="15"/>
  <c r="L51" i="67"/>
  <c r="C27" i="12" l="1"/>
  <c r="C25" i="12" s="1"/>
  <c r="C33" i="83"/>
  <c r="Q48" i="15"/>
  <c r="C30" i="12"/>
  <c r="C28" i="12" s="1"/>
  <c r="C33" i="11"/>
  <c r="C39" i="11" s="1"/>
  <c r="C43" i="11" s="1"/>
  <c r="C33" i="68"/>
  <c r="C39" i="68" s="1"/>
  <c r="C43" i="68" s="1"/>
  <c r="C42" i="11"/>
  <c r="C41" i="69"/>
  <c r="R7" i="1"/>
  <c r="R16" i="1" s="1"/>
  <c r="R27" i="6"/>
  <c r="C25" i="69"/>
  <c r="C22" i="69" s="1"/>
  <c r="C31" i="69" s="1"/>
  <c r="C46" i="69"/>
  <c r="C45" i="69" s="1"/>
  <c r="I70" i="39"/>
  <c r="J68" i="39"/>
  <c r="J63" i="40"/>
  <c r="I65" i="40"/>
  <c r="J58" i="21"/>
  <c r="K58" i="21" s="1"/>
  <c r="L58" i="21" s="1"/>
  <c r="M58" i="21" s="1"/>
  <c r="N58" i="21" s="1"/>
  <c r="O58" i="21" s="1"/>
  <c r="J7" i="21" s="1"/>
  <c r="H7" i="21"/>
  <c r="K48" i="35"/>
  <c r="C58" i="15"/>
  <c r="C67" i="15" s="1"/>
  <c r="C68" i="15" s="1"/>
  <c r="C71" i="15" s="1"/>
  <c r="J16" i="15"/>
  <c r="J25" i="15" s="1"/>
  <c r="J16" i="67"/>
  <c r="J25" i="67" s="1"/>
  <c r="C80" i="67"/>
  <c r="C79" i="67" s="1"/>
  <c r="C80" i="15"/>
  <c r="C79" i="15" s="1"/>
  <c r="C58" i="67"/>
  <c r="C67" i="67" s="1"/>
  <c r="C68" i="67" s="1"/>
  <c r="Q69" i="15"/>
  <c r="Q68" i="15" s="1"/>
  <c r="C40" i="15"/>
  <c r="Q69" i="67"/>
  <c r="Q68" i="67" s="1"/>
  <c r="C40" i="67"/>
  <c r="D19" i="9"/>
  <c r="D20" i="9"/>
  <c r="C32" i="12" l="1"/>
  <c r="B2" i="12" s="1"/>
  <c r="B3" i="12" s="1"/>
  <c r="C39" i="83"/>
  <c r="C43" i="83" s="1"/>
  <c r="C42" i="83"/>
  <c r="D21" i="9"/>
  <c r="D102" i="9"/>
  <c r="C42" i="68"/>
  <c r="D103" i="9"/>
  <c r="C46" i="68"/>
  <c r="C45" i="68" s="1"/>
  <c r="C46" i="11"/>
  <c r="C45" i="11" s="1"/>
  <c r="C41" i="68"/>
  <c r="C41" i="11"/>
  <c r="C49" i="11" s="1"/>
  <c r="C51" i="11" s="1"/>
  <c r="C49" i="69"/>
  <c r="C51" i="69" s="1"/>
  <c r="C52" i="69" s="1"/>
  <c r="B2" i="69" s="1"/>
  <c r="B3" i="69" s="1"/>
  <c r="F7" i="21"/>
  <c r="J70" i="39"/>
  <c r="K68" i="39"/>
  <c r="U7" i="21"/>
  <c r="AB7" i="21"/>
  <c r="T48" i="21" s="1"/>
  <c r="G48" i="21" s="1"/>
  <c r="AC7" i="21"/>
  <c r="V48" i="21" s="1"/>
  <c r="I48" i="21" s="1"/>
  <c r="W7" i="21"/>
  <c r="L48" i="35"/>
  <c r="M48" i="35" s="1"/>
  <c r="N48" i="35" s="1"/>
  <c r="O48" i="35" s="1"/>
  <c r="F7" i="35" s="1"/>
  <c r="S7" i="21"/>
  <c r="AA7" i="21"/>
  <c r="R48" i="21" s="1"/>
  <c r="K63" i="40"/>
  <c r="J65" i="40"/>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49" i="68" l="1"/>
  <c r="C51" i="68" s="1"/>
  <c r="C41" i="83"/>
  <c r="C46" i="83"/>
  <c r="C45" i="83" s="1"/>
  <c r="C52" i="11"/>
  <c r="B2" i="11" s="1"/>
  <c r="B3" i="11" s="1"/>
  <c r="C57" i="69"/>
  <c r="C56" i="69" s="1"/>
  <c r="J7" i="35"/>
  <c r="AC7" i="35" s="1"/>
  <c r="V38" i="35" s="1"/>
  <c r="I38" i="35" s="1"/>
  <c r="H7" i="35"/>
  <c r="K70" i="39"/>
  <c r="L68" i="39"/>
  <c r="G52" i="21"/>
  <c r="H52" i="21" s="1"/>
  <c r="G53" i="21"/>
  <c r="H53" i="21" s="1"/>
  <c r="L63" i="40"/>
  <c r="K65" i="40"/>
  <c r="AA7" i="35"/>
  <c r="R38" i="35" s="1"/>
  <c r="S7" i="35"/>
  <c r="I52" i="21"/>
  <c r="J52" i="21" s="1"/>
  <c r="R49" i="21"/>
  <c r="E48" i="21"/>
  <c r="U7" i="35"/>
  <c r="AB7" i="35"/>
  <c r="T38" i="35" s="1"/>
  <c r="G38" i="35" s="1"/>
  <c r="Q66" i="15"/>
  <c r="Q75" i="15" s="1"/>
  <c r="Q57" i="15"/>
  <c r="Q62" i="15" s="1"/>
  <c r="Q66" i="67"/>
  <c r="Q75" i="67" s="1"/>
  <c r="Q57" i="67"/>
  <c r="Q62" i="67" s="1"/>
  <c r="B2" i="67"/>
  <c r="B3" i="67"/>
  <c r="C49" i="83" l="1"/>
  <c r="C51" i="83" s="1"/>
  <c r="C56" i="11"/>
  <c r="C57" i="11" s="1"/>
  <c r="W7" i="35"/>
  <c r="L70" i="39"/>
  <c r="M68" i="39"/>
  <c r="G42" i="35"/>
  <c r="H42" i="35" s="1"/>
  <c r="G43" i="35"/>
  <c r="H43" i="35" s="1"/>
  <c r="E53" i="21"/>
  <c r="F53" i="21" s="1"/>
  <c r="E52" i="21"/>
  <c r="F52" i="21" s="1"/>
  <c r="I53" i="21"/>
  <c r="J53" i="21" s="1"/>
  <c r="I42" i="35"/>
  <c r="J42" i="35" s="1"/>
  <c r="C49" i="21"/>
  <c r="B2" i="21" s="1"/>
  <c r="B3" i="21" s="1"/>
  <c r="C48" i="21"/>
  <c r="R39" i="35"/>
  <c r="E38" i="35"/>
  <c r="M63" i="40"/>
  <c r="L65" i="40"/>
  <c r="M70" i="39" l="1"/>
  <c r="N68" i="39"/>
  <c r="E43" i="35"/>
  <c r="F43" i="35" s="1"/>
  <c r="E42" i="35"/>
  <c r="F42" i="35" s="1"/>
  <c r="I43" i="35"/>
  <c r="J43" i="35" s="1"/>
  <c r="N63" i="40"/>
  <c r="M65" i="40"/>
  <c r="C39" i="35"/>
  <c r="B2" i="35" s="1"/>
  <c r="B3" i="35" s="1"/>
  <c r="C38" i="35"/>
  <c r="O68" i="39" l="1"/>
  <c r="O70" i="39" s="1"/>
  <c r="N70" i="39"/>
  <c r="H7" i="39" s="1"/>
  <c r="O63" i="40"/>
  <c r="O65" i="40" s="1"/>
  <c r="N65" i="40"/>
  <c r="AB7" i="39" l="1"/>
  <c r="T47" i="39" s="1"/>
  <c r="G47" i="39" s="1"/>
  <c r="U7" i="39"/>
  <c r="F7" i="39"/>
  <c r="J7" i="39"/>
  <c r="J7" i="40"/>
  <c r="F7" i="40"/>
  <c r="H7" i="40"/>
  <c r="W7" i="39" l="1"/>
  <c r="AC7" i="39"/>
  <c r="V47" i="39" s="1"/>
  <c r="I47" i="39" s="1"/>
  <c r="G52" i="39" s="1"/>
  <c r="H52" i="39" s="1"/>
  <c r="S7" i="39"/>
  <c r="AA7" i="39"/>
  <c r="R47" i="39" s="1"/>
  <c r="G51" i="39"/>
  <c r="H51" i="39" s="1"/>
  <c r="U7" i="40"/>
  <c r="AB7" i="40"/>
  <c r="T42" i="40" s="1"/>
  <c r="G42" i="40" s="1"/>
  <c r="AA7" i="40"/>
  <c r="R42" i="40" s="1"/>
  <c r="S7" i="40"/>
  <c r="AC7" i="40"/>
  <c r="V42" i="40" s="1"/>
  <c r="I42" i="40" s="1"/>
  <c r="W7" i="40"/>
  <c r="R48" i="39" l="1"/>
  <c r="E47" i="39"/>
  <c r="I51" i="39"/>
  <c r="J51" i="39" s="1"/>
  <c r="I52" i="39"/>
  <c r="J52" i="39" s="1"/>
  <c r="I46" i="40"/>
  <c r="J46" i="40" s="1"/>
  <c r="R43" i="40"/>
  <c r="E42" i="40"/>
  <c r="G47" i="40"/>
  <c r="H47" i="40" s="1"/>
  <c r="G46" i="40"/>
  <c r="H46" i="40" s="1"/>
  <c r="E52" i="39" l="1"/>
  <c r="F52" i="39" s="1"/>
  <c r="E51" i="39"/>
  <c r="F51" i="39" s="1"/>
  <c r="C47" i="39"/>
  <c r="C48" i="39"/>
  <c r="C42" i="40"/>
  <c r="C43" i="40"/>
  <c r="E47" i="40"/>
  <c r="F47" i="40" s="1"/>
  <c r="E46" i="40"/>
  <c r="F46" i="40" s="1"/>
  <c r="I47" i="40"/>
  <c r="J47" i="40" s="1"/>
  <c r="B59" i="39" l="1"/>
  <c r="F59" i="39" s="1"/>
  <c r="B58" i="39"/>
  <c r="F58" i="39" s="1"/>
  <c r="B60" i="39"/>
  <c r="F60" i="39" s="1"/>
  <c r="B62" i="39"/>
  <c r="F62" i="39" s="1"/>
  <c r="B56" i="39"/>
  <c r="F56" i="39" s="1"/>
  <c r="B63" i="39"/>
  <c r="F63" i="39" s="1"/>
  <c r="B57" i="39"/>
  <c r="F57" i="39" s="1"/>
  <c r="B61" i="39"/>
  <c r="F61" i="39" s="1"/>
  <c r="B64" i="39"/>
  <c r="F64"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83" l="1"/>
  <c r="C7" i="83" s="1"/>
  <c r="C5" i="83" s="1"/>
  <c r="C20" i="83" s="1"/>
  <c r="C25" i="83" s="1"/>
  <c r="C6" i="68"/>
  <c r="C7" i="68"/>
  <c r="C5" i="68" s="1"/>
  <c r="C23" i="83" l="1"/>
  <c r="C22" i="83" s="1"/>
  <c r="C28" i="83"/>
  <c r="C27" i="83" s="1"/>
  <c r="C23" i="68"/>
  <c r="C20" i="68"/>
  <c r="C25" i="68" s="1"/>
  <c r="C31" i="83" l="1"/>
  <c r="C52" i="83" s="1"/>
  <c r="B2" i="83" s="1"/>
  <c r="C28" i="68"/>
  <c r="C27" i="68" s="1"/>
  <c r="C22" i="68"/>
  <c r="D19" i="82"/>
  <c r="B3" i="83"/>
  <c r="C57" i="83" l="1"/>
  <c r="D22" i="82"/>
  <c r="G19" i="82"/>
  <c r="G21" i="82" s="1"/>
  <c r="D21" i="82"/>
  <c r="D102" i="82"/>
  <c r="C31" i="68"/>
  <c r="C52" i="68" s="1"/>
  <c r="B2" i="68" s="1"/>
  <c r="D35" i="82"/>
  <c r="D19" i="81"/>
  <c r="C19" i="81"/>
  <c r="D20" i="82"/>
  <c r="C19" i="9"/>
  <c r="C56" i="83" l="1"/>
  <c r="G20" i="82"/>
  <c r="C32" i="82" s="1"/>
  <c r="C35" i="82" s="1"/>
  <c r="C34" i="82" s="1"/>
  <c r="D103" i="82"/>
  <c r="D21" i="81"/>
  <c r="D102" i="81"/>
  <c r="C102" i="81"/>
  <c r="C21" i="81"/>
  <c r="G19" i="81"/>
  <c r="D22" i="81"/>
  <c r="C102" i="9"/>
  <c r="D22" i="9"/>
  <c r="C21" i="9"/>
  <c r="G19" i="9"/>
  <c r="G21" i="9" s="1"/>
  <c r="C57" i="68"/>
  <c r="C56" i="68" s="1"/>
  <c r="D34" i="82"/>
  <c r="B3" i="68"/>
  <c r="C20" i="9"/>
  <c r="D20" i="81"/>
  <c r="C20" i="81"/>
  <c r="D35" i="81"/>
  <c r="D34" i="81"/>
  <c r="G21" i="81" l="1"/>
  <c r="P22" i="77"/>
  <c r="D103" i="81"/>
  <c r="G20" i="81"/>
  <c r="C32" i="81" s="1"/>
  <c r="C103" i="81"/>
  <c r="C103" i="9"/>
  <c r="G20" i="9"/>
  <c r="C32" i="9" s="1"/>
  <c r="C35" i="9" s="1"/>
  <c r="C34" i="9" s="1"/>
  <c r="C35" i="81" l="1"/>
  <c r="C34" i="81" s="1"/>
  <c r="D118" i="81" s="1"/>
  <c r="D119" i="81" s="1"/>
  <c r="H118" i="81"/>
  <c r="C104" i="81" s="1"/>
  <c r="H101" i="81" l="1"/>
  <c r="D45" i="81" s="1"/>
  <c r="I118" i="81"/>
  <c r="H102" i="81" s="1"/>
  <c r="F118" i="81"/>
  <c r="F119" i="81" s="1"/>
  <c r="C105" i="81"/>
  <c r="H119" i="81"/>
  <c r="D14" i="74"/>
  <c r="M48" i="81" l="1"/>
  <c r="H107" i="81"/>
  <c r="H108" i="81" s="1"/>
  <c r="G118" i="81"/>
  <c r="E118" i="81" s="1"/>
  <c r="D122" i="81"/>
  <c r="G14" i="74" s="1"/>
  <c r="F14" i="74"/>
  <c r="E14" i="74"/>
  <c r="D52" i="81"/>
  <c r="D55" i="81"/>
  <c r="M53" i="81" s="1"/>
  <c r="C78" i="81"/>
  <c r="C73" i="81" s="1"/>
  <c r="C64" i="81"/>
  <c r="C63" i="81" s="1"/>
  <c r="C67" i="81" s="1"/>
  <c r="D53" i="81"/>
  <c r="C93" i="81"/>
  <c r="C86" i="81" s="1"/>
  <c r="C72" i="81"/>
  <c r="C79" i="81" s="1"/>
  <c r="C85" i="81"/>
  <c r="F2" i="77" l="1"/>
  <c r="F3" i="77"/>
  <c r="F5" i="77"/>
  <c r="F7" i="77"/>
  <c r="F9" i="77"/>
  <c r="F11" i="77"/>
  <c r="F13" i="77"/>
  <c r="F15" i="77"/>
  <c r="F17" i="77"/>
  <c r="F19" i="77"/>
  <c r="F21" i="77"/>
  <c r="F23" i="77"/>
  <c r="F25" i="77"/>
  <c r="F27" i="77"/>
  <c r="F29" i="77"/>
  <c r="F31" i="77"/>
  <c r="F33" i="77"/>
  <c r="F35" i="77"/>
  <c r="F37" i="77"/>
  <c r="F39" i="77"/>
  <c r="F41" i="77"/>
  <c r="F43" i="77"/>
  <c r="F45" i="77"/>
  <c r="F47" i="77"/>
  <c r="F49" i="77"/>
  <c r="F51" i="77"/>
  <c r="F53" i="77"/>
  <c r="F55" i="77"/>
  <c r="F4" i="77"/>
  <c r="F6" i="77"/>
  <c r="F8" i="77"/>
  <c r="F10" i="77"/>
  <c r="F12" i="77"/>
  <c r="F14" i="77"/>
  <c r="F16" i="77"/>
  <c r="F18" i="77"/>
  <c r="F20" i="77"/>
  <c r="F22" i="77"/>
  <c r="F24" i="77"/>
  <c r="F26" i="77"/>
  <c r="F28" i="77"/>
  <c r="F30" i="77"/>
  <c r="F32" i="77"/>
  <c r="F34" i="77"/>
  <c r="F36" i="77"/>
  <c r="F38" i="77"/>
  <c r="F40" i="77"/>
  <c r="F42" i="77"/>
  <c r="F44" i="77"/>
  <c r="F46" i="77"/>
  <c r="F48" i="77"/>
  <c r="F50" i="77"/>
  <c r="F52" i="77"/>
  <c r="F54" i="77"/>
  <c r="F56" i="77"/>
  <c r="F58" i="77"/>
  <c r="F60" i="77"/>
  <c r="F62" i="77"/>
  <c r="F64" i="77"/>
  <c r="F66" i="77"/>
  <c r="F68" i="77"/>
  <c r="F70" i="77"/>
  <c r="F72" i="77"/>
  <c r="F74" i="77"/>
  <c r="F76" i="77"/>
  <c r="F78" i="77"/>
  <c r="F80" i="77"/>
  <c r="F82" i="77"/>
  <c r="F84" i="77"/>
  <c r="F86" i="77"/>
  <c r="F88" i="77"/>
  <c r="F90" i="77"/>
  <c r="F92" i="77"/>
  <c r="F94" i="77"/>
  <c r="F96" i="77"/>
  <c r="F98" i="77"/>
  <c r="F100" i="77"/>
  <c r="F102" i="77"/>
  <c r="F104" i="77"/>
  <c r="F106" i="77"/>
  <c r="F108" i="77"/>
  <c r="F110" i="77"/>
  <c r="F112" i="77"/>
  <c r="F114" i="77"/>
  <c r="F116" i="77"/>
  <c r="F118" i="77"/>
  <c r="F120" i="77"/>
  <c r="F122" i="77"/>
  <c r="F124" i="77"/>
  <c r="F126" i="77"/>
  <c r="F128" i="77"/>
  <c r="F130" i="77"/>
  <c r="F132" i="77"/>
  <c r="F134" i="77"/>
  <c r="F136" i="77"/>
  <c r="F138" i="77"/>
  <c r="F140" i="77"/>
  <c r="F142" i="77"/>
  <c r="F144" i="77"/>
  <c r="F146" i="77"/>
  <c r="F148" i="77"/>
  <c r="F150" i="77"/>
  <c r="F152" i="77"/>
  <c r="F154" i="77"/>
  <c r="F156" i="77"/>
  <c r="F158" i="77"/>
  <c r="F160" i="77"/>
  <c r="F162" i="77"/>
  <c r="F164" i="77"/>
  <c r="F166" i="77"/>
  <c r="F168" i="77"/>
  <c r="F170" i="77"/>
  <c r="F172" i="77"/>
  <c r="F59" i="77"/>
  <c r="F63" i="77"/>
  <c r="F67" i="77"/>
  <c r="F71" i="77"/>
  <c r="F75" i="77"/>
  <c r="F79" i="77"/>
  <c r="F83" i="77"/>
  <c r="F87" i="77"/>
  <c r="F91" i="77"/>
  <c r="F95" i="77"/>
  <c r="F99" i="77"/>
  <c r="F103" i="77"/>
  <c r="F107" i="77"/>
  <c r="F111" i="77"/>
  <c r="F115" i="77"/>
  <c r="F119" i="77"/>
  <c r="F123" i="77"/>
  <c r="F127" i="77"/>
  <c r="F131" i="77"/>
  <c r="F135" i="77"/>
  <c r="F139" i="77"/>
  <c r="F143" i="77"/>
  <c r="F147" i="77"/>
  <c r="F151" i="77"/>
  <c r="F155" i="77"/>
  <c r="F159" i="77"/>
  <c r="F163" i="77"/>
  <c r="F167" i="77"/>
  <c r="F171" i="77"/>
  <c r="F174" i="77"/>
  <c r="F176" i="77"/>
  <c r="F178" i="77"/>
  <c r="F180" i="77"/>
  <c r="F182" i="77"/>
  <c r="F184" i="77"/>
  <c r="F186" i="77"/>
  <c r="F188" i="77"/>
  <c r="F190" i="77"/>
  <c r="F192" i="77"/>
  <c r="F194" i="77"/>
  <c r="F196" i="77"/>
  <c r="F198" i="77"/>
  <c r="F200" i="77"/>
  <c r="F202" i="77"/>
  <c r="F204" i="77"/>
  <c r="F206" i="77"/>
  <c r="F208" i="77"/>
  <c r="F210" i="77"/>
  <c r="F212" i="77"/>
  <c r="F214" i="77"/>
  <c r="F216" i="77"/>
  <c r="F218" i="77"/>
  <c r="F220" i="77"/>
  <c r="F222" i="77"/>
  <c r="F224" i="77"/>
  <c r="F226" i="77"/>
  <c r="F228" i="77"/>
  <c r="F230" i="77"/>
  <c r="F232" i="77"/>
  <c r="F234" i="77"/>
  <c r="F236" i="77"/>
  <c r="F238" i="77"/>
  <c r="F240" i="77"/>
  <c r="F242" i="77"/>
  <c r="F244" i="77"/>
  <c r="F246" i="77"/>
  <c r="F248" i="77"/>
  <c r="F250" i="77"/>
  <c r="F252" i="77"/>
  <c r="F254" i="77"/>
  <c r="F256" i="77"/>
  <c r="F258" i="77"/>
  <c r="F260" i="77"/>
  <c r="F262" i="77"/>
  <c r="F264" i="77"/>
  <c r="F266" i="77"/>
  <c r="F268" i="77"/>
  <c r="F270" i="77"/>
  <c r="F272" i="77"/>
  <c r="F274" i="77"/>
  <c r="F276" i="77"/>
  <c r="F278" i="77"/>
  <c r="F280" i="77"/>
  <c r="F282" i="77"/>
  <c r="F284" i="77"/>
  <c r="F286" i="77"/>
  <c r="F288" i="77"/>
  <c r="F290" i="77"/>
  <c r="F292" i="77"/>
  <c r="F294" i="77"/>
  <c r="F296" i="77"/>
  <c r="F298" i="77"/>
  <c r="F300" i="77"/>
  <c r="F302" i="77"/>
  <c r="F304" i="77"/>
  <c r="F306" i="77"/>
  <c r="F308" i="77"/>
  <c r="F310" i="77"/>
  <c r="F312" i="77"/>
  <c r="F314" i="77"/>
  <c r="F316" i="77"/>
  <c r="F318" i="77"/>
  <c r="F320" i="77"/>
  <c r="F322" i="77"/>
  <c r="F324" i="77"/>
  <c r="F326" i="77"/>
  <c r="F328" i="77"/>
  <c r="F330" i="77"/>
  <c r="F332" i="77"/>
  <c r="F334" i="77"/>
  <c r="F336" i="77"/>
  <c r="F338" i="77"/>
  <c r="F340" i="77"/>
  <c r="F342" i="77"/>
  <c r="F344" i="77"/>
  <c r="F346" i="77"/>
  <c r="F348" i="77"/>
  <c r="F350" i="77"/>
  <c r="F352" i="77"/>
  <c r="F354" i="77"/>
  <c r="F356" i="77"/>
  <c r="F358" i="77"/>
  <c r="F360" i="77"/>
  <c r="F362" i="77"/>
  <c r="F364" i="77"/>
  <c r="F366" i="77"/>
  <c r="F368" i="77"/>
  <c r="F370" i="77"/>
  <c r="F372" i="77"/>
  <c r="F374" i="77"/>
  <c r="F376" i="77"/>
  <c r="F378" i="77"/>
  <c r="F380" i="77"/>
  <c r="F382" i="77"/>
  <c r="F384" i="77"/>
  <c r="F386" i="77"/>
  <c r="F388" i="77"/>
  <c r="F390" i="77"/>
  <c r="F392" i="77"/>
  <c r="F394" i="77"/>
  <c r="F396" i="77"/>
  <c r="F398" i="77"/>
  <c r="F400" i="77"/>
  <c r="F402" i="77"/>
  <c r="F404" i="77"/>
  <c r="F406" i="77"/>
  <c r="F408" i="77"/>
  <c r="F410" i="77"/>
  <c r="F412" i="77"/>
  <c r="F414" i="77"/>
  <c r="F416" i="77"/>
  <c r="F418" i="77"/>
  <c r="F420" i="77"/>
  <c r="F422" i="77"/>
  <c r="F424" i="77"/>
  <c r="F426" i="77"/>
  <c r="F428" i="77"/>
  <c r="F430" i="77"/>
  <c r="F432" i="77"/>
  <c r="F434" i="77"/>
  <c r="F436" i="77"/>
  <c r="F438" i="77"/>
  <c r="F440" i="77"/>
  <c r="F442" i="77"/>
  <c r="F444" i="77"/>
  <c r="F446" i="77"/>
  <c r="F448" i="77"/>
  <c r="F450" i="77"/>
  <c r="F452" i="77"/>
  <c r="F454" i="77"/>
  <c r="F57" i="77"/>
  <c r="F65" i="77"/>
  <c r="F73" i="77"/>
  <c r="F81" i="77"/>
  <c r="F89" i="77"/>
  <c r="F97" i="77"/>
  <c r="F105" i="77"/>
  <c r="F113" i="77"/>
  <c r="F121" i="77"/>
  <c r="F129" i="77"/>
  <c r="F137" i="77"/>
  <c r="F145" i="77"/>
  <c r="F153" i="77"/>
  <c r="F161" i="77"/>
  <c r="F169" i="77"/>
  <c r="F175" i="77"/>
  <c r="F179" i="77"/>
  <c r="F183" i="77"/>
  <c r="F187" i="77"/>
  <c r="F191" i="77"/>
  <c r="F195" i="77"/>
  <c r="F199" i="77"/>
  <c r="F203" i="77"/>
  <c r="F207" i="77"/>
  <c r="F211" i="77"/>
  <c r="F215" i="77"/>
  <c r="F219" i="77"/>
  <c r="F223" i="77"/>
  <c r="F227" i="77"/>
  <c r="F231" i="77"/>
  <c r="F235" i="77"/>
  <c r="F239" i="77"/>
  <c r="F243" i="77"/>
  <c r="F247" i="77"/>
  <c r="F251" i="77"/>
  <c r="F255" i="77"/>
  <c r="F259" i="77"/>
  <c r="F263" i="77"/>
  <c r="F267" i="77"/>
  <c r="F271" i="77"/>
  <c r="F275" i="77"/>
  <c r="F279" i="77"/>
  <c r="F283" i="77"/>
  <c r="F287" i="77"/>
  <c r="F291" i="77"/>
  <c r="F295" i="77"/>
  <c r="F299" i="77"/>
  <c r="F307" i="77"/>
  <c r="F311" i="77"/>
  <c r="F315" i="77"/>
  <c r="F319" i="77"/>
  <c r="F323" i="77"/>
  <c r="F327" i="77"/>
  <c r="F331" i="77"/>
  <c r="F335" i="77"/>
  <c r="F339" i="77"/>
  <c r="F343" i="77"/>
  <c r="F351" i="77"/>
  <c r="F359" i="77"/>
  <c r="F371" i="77"/>
  <c r="F379" i="77"/>
  <c r="F387" i="77"/>
  <c r="F399" i="77"/>
  <c r="F407" i="77"/>
  <c r="F415" i="77"/>
  <c r="F423" i="77"/>
  <c r="F435" i="77"/>
  <c r="F443" i="77"/>
  <c r="F455" i="77"/>
  <c r="F459" i="77"/>
  <c r="F463" i="77"/>
  <c r="F467" i="77"/>
  <c r="F471" i="77"/>
  <c r="F475" i="77"/>
  <c r="F481" i="77"/>
  <c r="F485" i="77"/>
  <c r="F489" i="77"/>
  <c r="F493" i="77"/>
  <c r="F497" i="77"/>
  <c r="F501" i="77"/>
  <c r="F505" i="77"/>
  <c r="F511" i="77"/>
  <c r="F515" i="77"/>
  <c r="F519" i="77"/>
  <c r="F523" i="77"/>
  <c r="F61" i="77"/>
  <c r="F69" i="77"/>
  <c r="F77" i="77"/>
  <c r="F85" i="77"/>
  <c r="F93" i="77"/>
  <c r="F101" i="77"/>
  <c r="F109" i="77"/>
  <c r="F117" i="77"/>
  <c r="F125" i="77"/>
  <c r="F133" i="77"/>
  <c r="F141" i="77"/>
  <c r="F149" i="77"/>
  <c r="F157" i="77"/>
  <c r="F165" i="77"/>
  <c r="F173" i="77"/>
  <c r="F177" i="77"/>
  <c r="F181" i="77"/>
  <c r="F185" i="77"/>
  <c r="F189" i="77"/>
  <c r="F193" i="77"/>
  <c r="F197" i="77"/>
  <c r="F201" i="77"/>
  <c r="F205" i="77"/>
  <c r="F209" i="77"/>
  <c r="F213" i="77"/>
  <c r="F217" i="77"/>
  <c r="F221" i="77"/>
  <c r="F225" i="77"/>
  <c r="F229" i="77"/>
  <c r="F233" i="77"/>
  <c r="F237" i="77"/>
  <c r="F241" i="77"/>
  <c r="F245" i="77"/>
  <c r="F249" i="77"/>
  <c r="F253" i="77"/>
  <c r="F257" i="77"/>
  <c r="F261" i="77"/>
  <c r="F265" i="77"/>
  <c r="F269" i="77"/>
  <c r="F273" i="77"/>
  <c r="F277" i="77"/>
  <c r="F281" i="77"/>
  <c r="F285" i="77"/>
  <c r="F289" i="77"/>
  <c r="F293" i="77"/>
  <c r="F297" i="77"/>
  <c r="F301" i="77"/>
  <c r="F305" i="77"/>
  <c r="F309" i="77"/>
  <c r="F313" i="77"/>
  <c r="F317" i="77"/>
  <c r="F321" i="77"/>
  <c r="F325" i="77"/>
  <c r="F329" i="77"/>
  <c r="F333" i="77"/>
  <c r="F337" i="77"/>
  <c r="F341" i="77"/>
  <c r="F345" i="77"/>
  <c r="F349" i="77"/>
  <c r="F353" i="77"/>
  <c r="F357" i="77"/>
  <c r="F361" i="77"/>
  <c r="F365" i="77"/>
  <c r="F369" i="77"/>
  <c r="F373" i="77"/>
  <c r="F377" i="77"/>
  <c r="F381" i="77"/>
  <c r="F385" i="77"/>
  <c r="F389" i="77"/>
  <c r="F393" i="77"/>
  <c r="F397" i="77"/>
  <c r="F401" i="77"/>
  <c r="F405" i="77"/>
  <c r="F409" i="77"/>
  <c r="F413" i="77"/>
  <c r="F417" i="77"/>
  <c r="F421" i="77"/>
  <c r="F425" i="77"/>
  <c r="F429" i="77"/>
  <c r="F433" i="77"/>
  <c r="F437" i="77"/>
  <c r="F441" i="77"/>
  <c r="F445" i="77"/>
  <c r="F449" i="77"/>
  <c r="F453" i="77"/>
  <c r="F456" i="77"/>
  <c r="F458" i="77"/>
  <c r="F460" i="77"/>
  <c r="F462" i="77"/>
  <c r="F464" i="77"/>
  <c r="F466" i="77"/>
  <c r="F468" i="77"/>
  <c r="F470" i="77"/>
  <c r="F472" i="77"/>
  <c r="F474" i="77"/>
  <c r="F476" i="77"/>
  <c r="F478" i="77"/>
  <c r="F480" i="77"/>
  <c r="F482" i="77"/>
  <c r="F484" i="77"/>
  <c r="F486" i="77"/>
  <c r="F488" i="77"/>
  <c r="F490" i="77"/>
  <c r="F492" i="77"/>
  <c r="F494" i="77"/>
  <c r="F496" i="77"/>
  <c r="F498" i="77"/>
  <c r="F500" i="77"/>
  <c r="F502" i="77"/>
  <c r="F504" i="77"/>
  <c r="F506" i="77"/>
  <c r="F508" i="77"/>
  <c r="F510" i="77"/>
  <c r="F512" i="77"/>
  <c r="F514" i="77"/>
  <c r="F516" i="77"/>
  <c r="F518" i="77"/>
  <c r="F520" i="77"/>
  <c r="F522" i="77"/>
  <c r="F524" i="77"/>
  <c r="F526" i="77"/>
  <c r="F528" i="77"/>
  <c r="F530" i="77"/>
  <c r="F532" i="77"/>
  <c r="F534" i="77"/>
  <c r="F536" i="77"/>
  <c r="F538" i="77"/>
  <c r="F540" i="77"/>
  <c r="F542" i="77"/>
  <c r="F544" i="77"/>
  <c r="F546" i="77"/>
  <c r="F548" i="77"/>
  <c r="F550" i="77"/>
  <c r="F552" i="77"/>
  <c r="F554" i="77"/>
  <c r="F556" i="77"/>
  <c r="F558" i="77"/>
  <c r="F560" i="77"/>
  <c r="F562" i="77"/>
  <c r="F564" i="77"/>
  <c r="F566" i="77"/>
  <c r="F568" i="77"/>
  <c r="F570" i="77"/>
  <c r="F572" i="77"/>
  <c r="F574" i="77"/>
  <c r="F576" i="77"/>
  <c r="F578" i="77"/>
  <c r="F580" i="77"/>
  <c r="F582" i="77"/>
  <c r="F584" i="77"/>
  <c r="F586" i="77"/>
  <c r="F588" i="77"/>
  <c r="F590" i="77"/>
  <c r="F592" i="77"/>
  <c r="F594" i="77"/>
  <c r="F596" i="77"/>
  <c r="F598" i="77"/>
  <c r="F600" i="77"/>
  <c r="F602" i="77"/>
  <c r="F604" i="77"/>
  <c r="F606" i="77"/>
  <c r="F608" i="77"/>
  <c r="F610" i="77"/>
  <c r="F612" i="77"/>
  <c r="F614" i="77"/>
  <c r="F616" i="77"/>
  <c r="F618" i="77"/>
  <c r="F620" i="77"/>
  <c r="F622" i="77"/>
  <c r="F624" i="77"/>
  <c r="F626" i="77"/>
  <c r="F628" i="77"/>
  <c r="F630" i="77"/>
  <c r="F632" i="77"/>
  <c r="F634" i="77"/>
  <c r="F636" i="77"/>
  <c r="F638" i="77"/>
  <c r="F640" i="77"/>
  <c r="F642" i="77"/>
  <c r="F644" i="77"/>
  <c r="F646" i="77"/>
  <c r="F648" i="77"/>
  <c r="F650" i="77"/>
  <c r="F652" i="77"/>
  <c r="F654" i="77"/>
  <c r="F656" i="77"/>
  <c r="F658" i="77"/>
  <c r="F660" i="77"/>
  <c r="F662" i="77"/>
  <c r="F664" i="77"/>
  <c r="F666" i="77"/>
  <c r="F668" i="77"/>
  <c r="F670" i="77"/>
  <c r="F672" i="77"/>
  <c r="F674" i="77"/>
  <c r="F676" i="77"/>
  <c r="F678" i="77"/>
  <c r="F680" i="77"/>
  <c r="F682" i="77"/>
  <c r="F684" i="77"/>
  <c r="F686" i="77"/>
  <c r="F688" i="77"/>
  <c r="F690" i="77"/>
  <c r="F692" i="77"/>
  <c r="F694" i="77"/>
  <c r="F696" i="77"/>
  <c r="F698" i="77"/>
  <c r="F700" i="77"/>
  <c r="F702" i="77"/>
  <c r="F704" i="77"/>
  <c r="F706" i="77"/>
  <c r="F708" i="77"/>
  <c r="F710" i="77"/>
  <c r="F712" i="77"/>
  <c r="F714" i="77"/>
  <c r="F716" i="77"/>
  <c r="F718" i="77"/>
  <c r="F720" i="77"/>
  <c r="F722" i="77"/>
  <c r="F724" i="77"/>
  <c r="F726" i="77"/>
  <c r="F728" i="77"/>
  <c r="F730" i="77"/>
  <c r="F732" i="77"/>
  <c r="F734" i="77"/>
  <c r="F736" i="77"/>
  <c r="F738" i="77"/>
  <c r="F740" i="77"/>
  <c r="F742" i="77"/>
  <c r="F744" i="77"/>
  <c r="F746" i="77"/>
  <c r="F748" i="77"/>
  <c r="F750" i="77"/>
  <c r="F752" i="77"/>
  <c r="F754" i="77"/>
  <c r="F756" i="77"/>
  <c r="F758" i="77"/>
  <c r="F760" i="77"/>
  <c r="F762" i="77"/>
  <c r="F764" i="77"/>
  <c r="F766" i="77"/>
  <c r="F768" i="77"/>
  <c r="F770" i="77"/>
  <c r="F772" i="77"/>
  <c r="F774" i="77"/>
  <c r="F776" i="77"/>
  <c r="F778" i="77"/>
  <c r="F780" i="77"/>
  <c r="F782" i="77"/>
  <c r="F784" i="77"/>
  <c r="F786" i="77"/>
  <c r="F788" i="77"/>
  <c r="F790" i="77"/>
  <c r="F792" i="77"/>
  <c r="F794" i="77"/>
  <c r="F796" i="77"/>
  <c r="F798" i="77"/>
  <c r="F800" i="77"/>
  <c r="F802" i="77"/>
  <c r="F804" i="77"/>
  <c r="F806" i="77"/>
  <c r="F808" i="77"/>
  <c r="F810" i="77"/>
  <c r="F812" i="77"/>
  <c r="F814" i="77"/>
  <c r="F816" i="77"/>
  <c r="F818" i="77"/>
  <c r="F820" i="77"/>
  <c r="F303" i="77"/>
  <c r="F347" i="77"/>
  <c r="F355" i="77"/>
  <c r="F363" i="77"/>
  <c r="F367" i="77"/>
  <c r="F375" i="77"/>
  <c r="F383" i="77"/>
  <c r="F391" i="77"/>
  <c r="F395" i="77"/>
  <c r="F403" i="77"/>
  <c r="F411" i="77"/>
  <c r="F419" i="77"/>
  <c r="F427" i="77"/>
  <c r="F431" i="77"/>
  <c r="F439" i="77"/>
  <c r="F447" i="77"/>
  <c r="F451" i="77"/>
  <c r="F457" i="77"/>
  <c r="F461" i="77"/>
  <c r="F465" i="77"/>
  <c r="F469" i="77"/>
  <c r="F473" i="77"/>
  <c r="F477" i="77"/>
  <c r="F479" i="77"/>
  <c r="F483" i="77"/>
  <c r="F487" i="77"/>
  <c r="F491" i="77"/>
  <c r="F495" i="77"/>
  <c r="F499" i="77"/>
  <c r="F503" i="77"/>
  <c r="F507" i="77"/>
  <c r="F509" i="77"/>
  <c r="F513" i="77"/>
  <c r="F517" i="77"/>
  <c r="F521" i="77"/>
  <c r="F525" i="77"/>
  <c r="F529" i="77"/>
  <c r="F533" i="77"/>
  <c r="F537" i="77"/>
  <c r="F541" i="77"/>
  <c r="F545" i="77"/>
  <c r="F549" i="77"/>
  <c r="F553" i="77"/>
  <c r="F557" i="77"/>
  <c r="F561" i="77"/>
  <c r="F565" i="77"/>
  <c r="F569" i="77"/>
  <c r="F573" i="77"/>
  <c r="F577" i="77"/>
  <c r="F581" i="77"/>
  <c r="F585" i="77"/>
  <c r="F589" i="77"/>
  <c r="F593" i="77"/>
  <c r="F597" i="77"/>
  <c r="F601" i="77"/>
  <c r="F605" i="77"/>
  <c r="F609" i="77"/>
  <c r="F613" i="77"/>
  <c r="F617" i="77"/>
  <c r="F621" i="77"/>
  <c r="F625" i="77"/>
  <c r="F629" i="77"/>
  <c r="F633" i="77"/>
  <c r="F637" i="77"/>
  <c r="F641" i="77"/>
  <c r="F645" i="77"/>
  <c r="F649" i="77"/>
  <c r="F653" i="77"/>
  <c r="F657" i="77"/>
  <c r="F661" i="77"/>
  <c r="F665" i="77"/>
  <c r="F669" i="77"/>
  <c r="F673" i="77"/>
  <c r="F677" i="77"/>
  <c r="F681" i="77"/>
  <c r="F685" i="77"/>
  <c r="F689" i="77"/>
  <c r="F693" i="77"/>
  <c r="F697" i="77"/>
  <c r="F701" i="77"/>
  <c r="F705" i="77"/>
  <c r="F709" i="77"/>
  <c r="F713" i="77"/>
  <c r="F717" i="77"/>
  <c r="F721" i="77"/>
  <c r="F725" i="77"/>
  <c r="F729" i="77"/>
  <c r="F733" i="77"/>
  <c r="F737" i="77"/>
  <c r="F741" i="77"/>
  <c r="F745" i="77"/>
  <c r="F749" i="77"/>
  <c r="F753" i="77"/>
  <c r="F757" i="77"/>
  <c r="F761" i="77"/>
  <c r="F765" i="77"/>
  <c r="F769" i="77"/>
  <c r="F773" i="77"/>
  <c r="F777" i="77"/>
  <c r="F781" i="77"/>
  <c r="F785" i="77"/>
  <c r="F789" i="77"/>
  <c r="F793" i="77"/>
  <c r="F797" i="77"/>
  <c r="F801" i="77"/>
  <c r="F805" i="77"/>
  <c r="F809" i="77"/>
  <c r="F813" i="77"/>
  <c r="F817" i="77"/>
  <c r="F821" i="77"/>
  <c r="F527" i="77"/>
  <c r="F531" i="77"/>
  <c r="F535" i="77"/>
  <c r="F539" i="77"/>
  <c r="F543" i="77"/>
  <c r="F547" i="77"/>
  <c r="F551" i="77"/>
  <c r="F555" i="77"/>
  <c r="F559" i="77"/>
  <c r="F563" i="77"/>
  <c r="F567" i="77"/>
  <c r="F571" i="77"/>
  <c r="F575" i="77"/>
  <c r="F579" i="77"/>
  <c r="F583" i="77"/>
  <c r="F587" i="77"/>
  <c r="F591" i="77"/>
  <c r="F595" i="77"/>
  <c r="F599" i="77"/>
  <c r="F603" i="77"/>
  <c r="F607" i="77"/>
  <c r="F611" i="77"/>
  <c r="F615" i="77"/>
  <c r="F619" i="77"/>
  <c r="F623" i="77"/>
  <c r="F627" i="77"/>
  <c r="F631" i="77"/>
  <c r="F635" i="77"/>
  <c r="F639" i="77"/>
  <c r="F643" i="77"/>
  <c r="F647" i="77"/>
  <c r="F651" i="77"/>
  <c r="F655" i="77"/>
  <c r="F659" i="77"/>
  <c r="F663" i="77"/>
  <c r="F667" i="77"/>
  <c r="F671" i="77"/>
  <c r="F675" i="77"/>
  <c r="F679" i="77"/>
  <c r="F683" i="77"/>
  <c r="F687" i="77"/>
  <c r="F691" i="77"/>
  <c r="F695" i="77"/>
  <c r="F699" i="77"/>
  <c r="F703" i="77"/>
  <c r="F707" i="77"/>
  <c r="F711" i="77"/>
  <c r="F715" i="77"/>
  <c r="F719" i="77"/>
  <c r="F723" i="77"/>
  <c r="F727" i="77"/>
  <c r="F731" i="77"/>
  <c r="F735" i="77"/>
  <c r="F739" i="77"/>
  <c r="F743" i="77"/>
  <c r="F747" i="77"/>
  <c r="F751" i="77"/>
  <c r="F755" i="77"/>
  <c r="F759" i="77"/>
  <c r="F763" i="77"/>
  <c r="F767" i="77"/>
  <c r="F771" i="77"/>
  <c r="F775" i="77"/>
  <c r="F779" i="77"/>
  <c r="F783" i="77"/>
  <c r="F787" i="77"/>
  <c r="F791" i="77"/>
  <c r="F795" i="77"/>
  <c r="F799" i="77"/>
  <c r="F803" i="77"/>
  <c r="F807" i="77"/>
  <c r="F811" i="77"/>
  <c r="F815" i="77"/>
  <c r="F819" i="77"/>
  <c r="C95" i="81"/>
  <c r="C96" i="81" s="1"/>
  <c r="E96" i="81" s="1"/>
  <c r="E97" i="81" s="1"/>
  <c r="D123" i="81"/>
  <c r="C80" i="81"/>
  <c r="E80" i="81" s="1"/>
  <c r="E81" i="81" s="1"/>
  <c r="C68" i="81"/>
  <c r="D54" i="81" s="1"/>
  <c r="D59" i="81"/>
  <c r="M55" i="81" s="1"/>
  <c r="C97" i="81" l="1"/>
  <c r="D58" i="81" s="1"/>
  <c r="D56" i="81" s="1"/>
  <c r="M54" i="81" s="1"/>
  <c r="N57" i="81" s="1"/>
  <c r="C81" i="81"/>
  <c r="N58" i="81" l="1"/>
  <c r="P57" i="81"/>
  <c r="N59" i="81"/>
  <c r="N60" i="81" l="1"/>
  <c r="N61" i="81"/>
  <c r="D118" i="82" l="1"/>
  <c r="D119" i="82" s="1"/>
  <c r="F118" i="82"/>
  <c r="F119" i="82" s="1"/>
  <c r="H118" i="82"/>
  <c r="C104" i="82" l="1"/>
  <c r="D15" i="74"/>
  <c r="H101" i="82"/>
  <c r="H107" i="82" s="1"/>
  <c r="H108" i="82" s="1"/>
  <c r="I118" i="82"/>
  <c r="H102" i="82" s="1"/>
  <c r="G118" i="82"/>
  <c r="H119" i="82"/>
  <c r="C105" i="82" l="1"/>
  <c r="M48" i="82"/>
  <c r="D45" i="82"/>
  <c r="D53" i="82" s="1"/>
  <c r="D122" i="82"/>
  <c r="G15" i="74" s="1"/>
  <c r="B6" i="74" s="1"/>
  <c r="E118" i="82"/>
  <c r="C85" i="82" l="1"/>
  <c r="D55" i="82"/>
  <c r="M53" i="82" s="1"/>
  <c r="C64" i="82"/>
  <c r="C63" i="82" s="1"/>
  <c r="C67" i="82" s="1"/>
  <c r="D59" i="82" s="1"/>
  <c r="M55" i="82" s="1"/>
  <c r="C93" i="82"/>
  <c r="C86" i="82" s="1"/>
  <c r="D6" i="74"/>
  <c r="C6" i="74"/>
  <c r="D123" i="82"/>
  <c r="C72" i="82"/>
  <c r="D52" i="82"/>
  <c r="C78" i="82"/>
  <c r="C73" i="82" s="1"/>
  <c r="C95" i="82" l="1"/>
  <c r="C96" i="82" s="1"/>
  <c r="E96" i="82" s="1"/>
  <c r="E97" i="82" s="1"/>
  <c r="C68" i="82"/>
  <c r="D54" i="82" s="1"/>
  <c r="F15" i="74"/>
  <c r="E15" i="74"/>
  <c r="B5" i="74"/>
  <c r="C79" i="82"/>
  <c r="C80" i="82" s="1"/>
  <c r="E80" i="82" s="1"/>
  <c r="E81" i="82" s="1"/>
  <c r="F822" i="77" l="1"/>
  <c r="F823" i="77"/>
  <c r="F825" i="77"/>
  <c r="F827" i="77"/>
  <c r="F829" i="77"/>
  <c r="F831" i="77"/>
  <c r="F833" i="77"/>
  <c r="F835" i="77"/>
  <c r="F837" i="77"/>
  <c r="F839" i="77"/>
  <c r="F841" i="77"/>
  <c r="F843" i="77"/>
  <c r="F845" i="77"/>
  <c r="F847" i="77"/>
  <c r="F849" i="77"/>
  <c r="F851" i="77"/>
  <c r="F853" i="77"/>
  <c r="F855" i="77"/>
  <c r="F857" i="77"/>
  <c r="F859" i="77"/>
  <c r="F861" i="77"/>
  <c r="F863" i="77"/>
  <c r="F865" i="77"/>
  <c r="F867" i="77"/>
  <c r="F869" i="77"/>
  <c r="F871" i="77"/>
  <c r="F873" i="77"/>
  <c r="F875" i="77"/>
  <c r="F877" i="77"/>
  <c r="F879" i="77"/>
  <c r="F881" i="77"/>
  <c r="F883" i="77"/>
  <c r="F885" i="77"/>
  <c r="F887" i="77"/>
  <c r="F889" i="77"/>
  <c r="F891" i="77"/>
  <c r="F893" i="77"/>
  <c r="F895" i="77"/>
  <c r="F897" i="77"/>
  <c r="F899" i="77"/>
  <c r="F901" i="77"/>
  <c r="F903" i="77"/>
  <c r="F905" i="77"/>
  <c r="F907" i="77"/>
  <c r="F909" i="77"/>
  <c r="F911" i="77"/>
  <c r="F913" i="77"/>
  <c r="F915" i="77"/>
  <c r="F917" i="77"/>
  <c r="F919" i="77"/>
  <c r="F921" i="77"/>
  <c r="F923" i="77"/>
  <c r="F925" i="77"/>
  <c r="F927" i="77"/>
  <c r="F929" i="77"/>
  <c r="F931" i="77"/>
  <c r="F933" i="77"/>
  <c r="F935" i="77"/>
  <c r="F937" i="77"/>
  <c r="F939" i="77"/>
  <c r="F941" i="77"/>
  <c r="F943" i="77"/>
  <c r="F945" i="77"/>
  <c r="F947" i="77"/>
  <c r="F949" i="77"/>
  <c r="F951" i="77"/>
  <c r="F953" i="77"/>
  <c r="F955" i="77"/>
  <c r="F957" i="77"/>
  <c r="F959" i="77"/>
  <c r="F961" i="77"/>
  <c r="F824" i="77"/>
  <c r="F826" i="77"/>
  <c r="F828" i="77"/>
  <c r="F830" i="77"/>
  <c r="F832" i="77"/>
  <c r="F834" i="77"/>
  <c r="F836" i="77"/>
  <c r="F838" i="77"/>
  <c r="F840" i="77"/>
  <c r="F842" i="77"/>
  <c r="F844" i="77"/>
  <c r="F846" i="77"/>
  <c r="F848" i="77"/>
  <c r="F850" i="77"/>
  <c r="F852" i="77"/>
  <c r="F856" i="77"/>
  <c r="F860" i="77"/>
  <c r="F864" i="77"/>
  <c r="F868" i="77"/>
  <c r="F872" i="77"/>
  <c r="F876" i="77"/>
  <c r="F880" i="77"/>
  <c r="F884" i="77"/>
  <c r="F888" i="77"/>
  <c r="F892" i="77"/>
  <c r="F896" i="77"/>
  <c r="F900" i="77"/>
  <c r="F904" i="77"/>
  <c r="F908" i="77"/>
  <c r="F912" i="77"/>
  <c r="F916" i="77"/>
  <c r="F920" i="77"/>
  <c r="F924" i="77"/>
  <c r="F928" i="77"/>
  <c r="F932" i="77"/>
  <c r="F936" i="77"/>
  <c r="F940" i="77"/>
  <c r="F944" i="77"/>
  <c r="F948" i="77"/>
  <c r="F952" i="77"/>
  <c r="F956" i="77"/>
  <c r="F960" i="77"/>
  <c r="F854" i="77"/>
  <c r="F858" i="77"/>
  <c r="F862" i="77"/>
  <c r="F866" i="77"/>
  <c r="F870" i="77"/>
  <c r="F874" i="77"/>
  <c r="F878" i="77"/>
  <c r="F882" i="77"/>
  <c r="F886" i="77"/>
  <c r="F890" i="77"/>
  <c r="F894" i="77"/>
  <c r="F898" i="77"/>
  <c r="F902" i="77"/>
  <c r="F906" i="77"/>
  <c r="F910" i="77"/>
  <c r="F914" i="77"/>
  <c r="F918" i="77"/>
  <c r="F922" i="77"/>
  <c r="F926" i="77"/>
  <c r="F930" i="77"/>
  <c r="F934" i="77"/>
  <c r="F938" i="77"/>
  <c r="F942" i="77"/>
  <c r="F946" i="77"/>
  <c r="F950" i="77"/>
  <c r="F954" i="77"/>
  <c r="F958" i="77"/>
  <c r="C81" i="82"/>
  <c r="C97" i="82"/>
  <c r="D58" i="82" s="1"/>
  <c r="D56" i="82" s="1"/>
  <c r="M54" i="82" s="1"/>
  <c r="N57" i="82" s="1"/>
  <c r="N59" i="82" s="1"/>
  <c r="N60" i="82" s="1"/>
  <c r="C5" i="74"/>
  <c r="D5" i="74"/>
  <c r="N61" i="82" l="1"/>
  <c r="P57" i="82"/>
  <c r="N58" i="82"/>
  <c r="D53" i="9"/>
  <c r="D52" i="9"/>
  <c r="C104" i="9"/>
  <c r="H4" i="52"/>
  <c r="C105" i="9"/>
  <c r="I4" i="52"/>
  <c r="P57" i="9"/>
  <c r="N58" i="9"/>
  <c r="E97" i="9"/>
  <c r="D8" i="52"/>
  <c r="B52" i="72"/>
  <c r="E81" i="9"/>
  <c r="B47" i="72"/>
  <c r="B22" i="72"/>
  <c r="M54" i="9"/>
  <c r="B49" i="72"/>
  <c r="D54" i="9"/>
  <c r="C68" i="9"/>
  <c r="M48" i="9"/>
  <c r="B21" i="72"/>
  <c r="E80" i="9"/>
  <c r="B53" i="72"/>
  <c r="C78" i="9"/>
  <c r="C73" i="9"/>
  <c r="C93" i="9"/>
  <c r="C86" i="9"/>
  <c r="N60" i="9"/>
  <c r="N57" i="9"/>
  <c r="N59" i="9"/>
  <c r="N61" i="9"/>
  <c r="G4" i="52"/>
  <c r="B32" i="72"/>
  <c r="C81" i="9"/>
  <c r="C80" i="9"/>
  <c r="D5" i="52"/>
  <c r="B30" i="72"/>
  <c r="D13" i="53"/>
  <c r="D14" i="53"/>
  <c r="D59" i="9"/>
  <c r="M55" i="9"/>
  <c r="D55" i="9"/>
  <c r="M53" i="9"/>
  <c r="B20" i="72"/>
  <c r="D5" i="53"/>
  <c r="D6" i="53"/>
  <c r="C96" i="9"/>
  <c r="E96" i="9"/>
  <c r="F4" i="52"/>
  <c r="B51" i="72"/>
  <c r="D4" i="52"/>
  <c r="D118" i="9"/>
  <c r="D119" i="9"/>
  <c r="E118" i="9"/>
  <c r="E4" i="52"/>
  <c r="B48" i="72"/>
  <c r="G118" i="9"/>
  <c r="F118" i="9"/>
  <c r="F119" i="9"/>
  <c r="F5" i="52"/>
  <c r="H119" i="9"/>
  <c r="H5" i="52"/>
  <c r="C97" i="9"/>
  <c r="D58" i="9"/>
  <c r="D56" i="9"/>
  <c r="C72" i="9"/>
  <c r="C79" i="9"/>
  <c r="H102" i="9"/>
  <c r="D7" i="53"/>
  <c r="D122" i="9"/>
  <c r="D123" i="9"/>
  <c r="D9" i="52"/>
  <c r="C64" i="9"/>
  <c r="C63" i="9"/>
  <c r="C67" i="9"/>
  <c r="H107" i="9"/>
  <c r="H108" i="9"/>
  <c r="D15" i="53"/>
  <c r="B31" i="7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<sst xmlns="http://schemas.openxmlformats.org/spreadsheetml/2006/main" count="10620" uniqueCount="4203">
  <si>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</si>
  <si>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</si>
  <si>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</si>
  <si>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</si>
  <si>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</si>
  <si>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</si>
  <si>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</si>
  <si>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</si>
  <si>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</si>
  <si>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</si>
  <si>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</si>
  <si>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</si>
  <si>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</si>
  <si>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</si>
  <si>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</si>
  <si>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</si>
  <si>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</si>
  <si>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</si>
  <si>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</si>
  <si>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</si>
  <si>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</si>
  <si>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</si>
  <si>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</si>
  <si>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</si>
  <si>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</si>
  <si>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</si>
  <si>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</si>
  <si>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</si>
  <si>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</si>
  <si>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</si>
  <si>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</si>
  <si>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</si>
  <si>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</si>
  <si>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</si>
  <si>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</si>
  <si>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</si>
  <si>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</si>
  <si>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</si>
  <si>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</si>
  <si>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</si>
  <si>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</si>
  <si>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</si>
  <si>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</si>
  <si>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</si>
  <si>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</si>
  <si>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</si>
  <si>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</si>
  <si>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</si>
  <si>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</si>
  <si>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</si>
  <si>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</si>
  <si>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</si>
  <si>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</si>
  <si>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</si>
  <si>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</si>
  <si>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</si>
  <si>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</si>
  <si>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</si>
  <si>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</si>
  <si>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</si>
  <si>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</si>
  <si>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</si>
  <si>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</si>
  <si>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</si>
  <si>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</si>
  <si>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</si>
  <si>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</si>
  <si>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</si>
  <si>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</si>
  <si>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</si>
  <si>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</si>
  <si>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</si>
  <si>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</si>
  <si>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</si>
  <si>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</si>
  <si>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</si>
  <si>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</si>
  <si>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</si>
  <si>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</si>
  <si>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</si>
  <si>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</si>
  <si>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</si>
  <si>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</si>
  <si>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</si>
  <si>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</si>
  <si>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</si>
  <si>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</si>
  <si>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</si>
  <si>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</si>
  <si>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</si>
  <si>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</si>
  <si>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</si>
  <si>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</si>
  <si>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</si>
  <si>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</si>
  <si>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</si>
  <si>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</si>
  <si>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</si>
  <si>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</si>
  <si>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</si>
  <si>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</si>
  <si>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</si>
  <si>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</si>
  <si>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</si>
  <si>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</si>
  <si>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</si>
  <si>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</si>
  <si>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</si>
  <si>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</si>
  <si>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</si>
  <si>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</si>
  <si>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</si>
  <si>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</si>
  <si>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</si>
  <si>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</si>
  <si>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</si>
  <si>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</si>
  <si>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</si>
  <si>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</si>
  <si>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</si>
  <si>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</si>
  <si>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</si>
  <si>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</si>
  <si>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</si>
  <si>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</si>
  <si>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</si>
  <si>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</si>
  <si>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</si>
  <si>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</si>
  <si>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</si>
  <si>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</si>
  <si>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</si>
  <si>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</si>
  <si>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</si>
  <si>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</si>
  <si>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</si>
  <si>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</si>
  <si>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</si>
  <si>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</si>
  <si>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</si>
  <si>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</si>
  <si>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</si>
  <si>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</si>
  <si>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</si>
  <si>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</si>
  <si>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</si>
  <si>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</si>
  <si>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</si>
  <si>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</si>
  <si>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</si>
  <si>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</si>
  <si>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</si>
  <si>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</si>
  <si>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</si>
  <si>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</si>
  <si>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</si>
  <si>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</si>
  <si>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</si>
  <si>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</si>
  <si>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</si>
  <si>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</si>
  <si>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</si>
  <si>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</si>
  <si>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</si>
  <si>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</si>
  <si>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</si>
  <si>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</si>
  <si>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</si>
  <si>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</si>
  <si>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</si>
  <si>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</si>
  <si>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</si>
  <si>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</si>
  <si>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</si>
  <si>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</si>
  <si>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</si>
  <si>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</si>
  <si>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</si>
  <si>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</si>
  <si>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</si>
  <si>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</si>
  <si>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</si>
  <si>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</si>
  <si>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</si>
  <si>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</si>
  <si>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</si>
  <si>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</si>
  <si>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</si>
  <si>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</si>
  <si>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</si>
  <si>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</si>
  <si>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</si>
  <si>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</si>
  <si>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</si>
  <si>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</si>
  <si>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</si>
  <si>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</si>
  <si>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</si>
  <si>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</si>
  <si>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</si>
  <si>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</si>
  <si>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</si>
  <si>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</si>
  <si>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</si>
  <si>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</si>
  <si>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</si>
  <si>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</si>
  <si>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</si>
  <si>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</si>
  <si>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</si>
  <si>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</si>
  <si>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</si>
  <si>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</si>
  <si>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</si>
  <si>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</si>
  <si>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</si>
  <si>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</si>
  <si>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</si>
  <si>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</si>
  <si>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</si>
  <si>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</si>
  <si>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</si>
  <si>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</si>
  <si>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</si>
  <si>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</si>
  <si>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</si>
  <si>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</si>
  <si>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</si>
  <si>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</si>
  <si>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</si>
  <si>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</si>
  <si>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</si>
  <si>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</si>
  <si>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</si>
  <si>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</si>
  <si>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</si>
  <si>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</si>
  <si>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</si>
  <si>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</si>
  <si>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</si>
  <si>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</si>
  <si>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</si>
  <si>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</si>
  <si>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</si>
  <si>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</si>
  <si>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</si>
  <si>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</si>
  <si>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</si>
  <si>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</si>
  <si>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</si>
  <si>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</si>
  <si>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</si>
  <si>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</si>
  <si>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</si>
  <si>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</si>
  <si>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</si>
  <si>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</si>
  <si>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</si>
  <si>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</si>
  <si>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</si>
  <si>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</si>
  <si>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</si>
  <si>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</si>
  <si>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</si>
  <si>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</si>
  <si>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</si>
  <si>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</si>
  <si>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</si>
  <si>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</si>
  <si>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</si>
  <si>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</si>
  <si>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</si>
  <si>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</si>
  <si>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</si>
  <si>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</si>
  <si>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</si>
  <si>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</si>
  <si>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</si>
  <si>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</si>
  <si>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</si>
  <si>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</si>
  <si>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</si>
  <si>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</si>
  <si>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</si>
  <si>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</si>
  <si>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</si>
  <si>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</si>
  <si>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</si>
  <si>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</si>
  <si>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</si>
  <si>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</si>
  <si>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</si>
  <si>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</si>
  <si>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</si>
  <si>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</si>
  <si>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</si>
  <si>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</si>
  <si>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</si>
  <si>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</si>
  <si>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</si>
  <si>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</si>
  <si>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</si>
  <si>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</si>
  <si>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</si>
  <si>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</si>
  <si>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</si>
  <si>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</si>
  <si>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</si>
  <si>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</si>
  <si>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</si>
  <si>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</si>
  <si>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</si>
  <si>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</si>
  <si>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</si>
  <si>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</si>
  <si>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</si>
  <si>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</si>
  <si>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</si>
  <si>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</si>
  <si>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</si>
  <si>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</si>
  <si>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</si>
  <si>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</si>
  <si>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</si>
  <si>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</si>
  <si>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</si>
  <si>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</si>
  <si>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</si>
  <si>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</si>
  <si>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</si>
  <si>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</si>
  <si>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</si>
  <si>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</si>
  <si>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</si>
  <si>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</si>
  <si>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</si>
  <si>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</si>
  <si>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</si>
  <si>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</si>
  <si>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</si>
  <si>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</si>
  <si>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</si>
  <si>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</si>
  <si>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</si>
  <si>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</si>
  <si>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</si>
  <si>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</si>
  <si>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</si>
  <si>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</si>
  <si>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</si>
  <si>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</si>
  <si>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</si>
  <si>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</si>
  <si>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</si>
  <si>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</si>
  <si>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</si>
  <si>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</si>
  <si>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</si>
  <si>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</si>
  <si>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</si>
  <si>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</si>
  <si>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</si>
  <si>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</si>
  <si>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</si>
  <si>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</si>
  <si>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</si>
  <si>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</si>
  <si>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</si>
  <si>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</si>
  <si>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</si>
  <si>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</si>
  <si>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</si>
  <si>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</si>
  <si>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</si>
  <si>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</si>
  <si>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</si>
  <si>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</si>
  <si>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</si>
  <si>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</si>
  <si>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</si>
  <si>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</si>
  <si>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</si>
  <si>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</si>
  <si>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</si>
  <si>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</si>
  <si>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</si>
  <si>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</si>
  <si>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</si>
  <si>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</si>
  <si>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</si>
  <si>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</si>
  <si>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</si>
  <si>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</si>
  <si>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</si>
  <si>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</si>
  <si>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</si>
  <si>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</si>
  <si>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</si>
  <si>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</si>
  <si>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</si>
  <si>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</si>
  <si>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</si>
  <si>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</si>
  <si>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</si>
  <si>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</si>
  <si>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</si>
  <si>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</si>
  <si>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</si>
  <si>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</si>
  <si>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</si>
  <si>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</si>
  <si>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</si>
  <si>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</si>
  <si>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</si>
  <si>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</si>
  <si>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</si>
  <si>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</si>
  <si>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</si>
  <si>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</si>
  <si>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</si>
  <si>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</si>
  <si>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</si>
  <si>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</si>
  <si>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</si>
  <si>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</si>
  <si>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</si>
  <si>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</si>
  <si>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</si>
  <si>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</si>
  <si>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</si>
  <si>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</si>
  <si>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</si>
  <si>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</si>
  <si>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</si>
  <si>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</si>
  <si>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</si>
  <si>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</si>
  <si>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</si>
  <si>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</si>
  <si>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</si>
  <si>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</si>
  <si>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</si>
  <si>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</si>
  <si>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</si>
  <si>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</si>
  <si>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</si>
  <si>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</si>
  <si>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</si>
  <si>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</si>
  <si>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</si>
  <si>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</si>
  <si>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</si>
  <si>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</si>
  <si>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</si>
  <si>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</si>
  <si>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</si>
  <si>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</si>
  <si>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</si>
  <si>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</si>
  <si>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</si>
  <si>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</si>
  <si>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</si>
  <si>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</si>
  <si>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</si>
  <si>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</si>
  <si>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</si>
  <si>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</si>
  <si>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</si>
  <si>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</si>
  <si>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</si>
  <si>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</si>
  <si>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</si>
  <si>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</si>
  <si>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</si>
  <si>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</si>
  <si>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</si>
  <si>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</si>
  <si>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</si>
  <si>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</si>
  <si>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</si>
  <si>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</si>
  <si>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</si>
  <si>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</si>
  <si>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</si>
  <si>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</si>
  <si>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</si>
  <si>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</si>
  <si>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</si>
  <si>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</si>
  <si>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</si>
  <si>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</si>
  <si>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</si>
  <si>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</si>
  <si>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</si>
  <si>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</si>
  <si>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</si>
  <si>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</si>
  <si>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</si>
  <si>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</si>
  <si>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</si>
  <si>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</si>
  <si>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</si>
  <si>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</si>
  <si>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</si>
  <si>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</si>
  <si>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</si>
  <si>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</si>
  <si>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</si>
  <si>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</si>
  <si>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</si>
  <si>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</si>
  <si>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</si>
  <si>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</si>
  <si>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</si>
  <si>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</si>
  <si>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</si>
  <si>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</si>
  <si>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</si>
  <si>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</si>
  <si>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</si>
  <si>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</si>
  <si>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</si>
  <si>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</si>
  <si>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</si>
  <si>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</si>
  <si>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</si>
  <si>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</si>
  <si>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</si>
  <si>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</si>
  <si>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</si>
  <si>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</si>
  <si>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</si>
  <si>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</si>
  <si>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</si>
  <si>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</si>
  <si>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</si>
  <si>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</si>
  <si>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</si>
  <si>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</si>
  <si>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</si>
  <si>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</si>
  <si>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</si>
  <si>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</si>
  <si>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</si>
  <si>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</si>
  <si>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</si>
  <si>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</si>
  <si>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</si>
  <si>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</si>
  <si>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</si>
  <si>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</si>
  <si>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</si>
  <si>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</si>
  <si>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</si>
  <si>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</si>
  <si>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</si>
  <si>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</si>
  <si>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</si>
  <si>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</si>
  <si>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</si>
  <si>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</si>
  <si>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</si>
  <si>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</si>
  <si>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</si>
  <si>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</si>
  <si>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</si>
  <si>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</si>
  <si>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</si>
  <si>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</si>
  <si>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</si>
  <si>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</si>
  <si>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</si>
  <si>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</si>
  <si>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</si>
  <si>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</si>
  <si>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</si>
  <si>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</si>
  <si>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</si>
  <si>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</si>
  <si>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</si>
  <si>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</si>
  <si>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</si>
  <si>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</si>
  <si>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</si>
  <si>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</si>
  <si>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</si>
  <si>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</si>
  <si>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</si>
  <si>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</si>
  <si>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</si>
  <si>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</si>
  <si>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</si>
  <si>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</si>
  <si>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</si>
  <si>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</si>
  <si>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</si>
  <si>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</si>
  <si>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</si>
  <si>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</si>
  <si>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</si>
  <si>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</si>
  <si>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</si>
  <si>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</si>
  <si>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</si>
  <si>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</si>
  <si>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</si>
  <si>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</si>
  <si>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</si>
  <si>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</si>
  <si>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</si>
  <si>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</si>
  <si>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</si>
  <si>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</si>
  <si>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</si>
  <si>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</si>
  <si>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</si>
  <si>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</si>
  <si>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</si>
  <si>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</si>
  <si>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</si>
  <si>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</si>
  <si>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</si>
  <si>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</si>
  <si>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</si>
  <si>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</si>
  <si>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</si>
  <si>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</si>
  <si>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</si>
  <si>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</si>
  <si>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</si>
  <si>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</si>
  <si>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</si>
  <si>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</si>
  <si>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</si>
  <si>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</si>
  <si>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</si>
  <si>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</si>
  <si>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</si>
  <si>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</si>
  <si>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</si>
  <si>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</si>
  <si>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</si>
  <si>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</si>
  <si>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</si>
  <si>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</si>
  <si>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</si>
  <si>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</si>
  <si>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</si>
  <si>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</si>
  <si>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</si>
  <si>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</si>
  <si>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</si>
  <si>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</si>
  <si>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</si>
  <si>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</si>
  <si>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</si>
  <si>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</si>
  <si>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</si>
  <si>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</si>
  <si>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</si>
  <si>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</si>
  <si>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</si>
  <si>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</si>
  <si>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</si>
  <si>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</si>
  <si>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</si>
  <si>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</si>
  <si>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</si>
  <si>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</si>
  <si>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</si>
  <si>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</si>
  <si>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</si>
  <si>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</si>
  <si>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</si>
  <si>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</si>
  <si>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</si>
  <si>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</si>
  <si>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</si>
  <si>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</si>
  <si>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</si>
  <si>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</si>
  <si>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</si>
  <si>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</si>
  <si>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</si>
  <si>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</si>
  <si>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</si>
  <si>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</si>
  <si>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</si>
  <si>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</si>
  <si>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</si>
  <si>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</si>
  <si>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</si>
  <si>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</si>
  <si>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</si>
  <si>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</si>
  <si>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</si>
  <si>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</si>
  <si>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</si>
  <si>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</si>
  <si>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</si>
  <si>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</si>
  <si>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</si>
  <si>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</si>
  <si>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</si>
  <si>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</si>
  <si>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</si>
  <si>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</si>
  <si>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</si>
  <si>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</si>
  <si>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</si>
  <si>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</si>
  <si>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</si>
  <si>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</si>
  <si>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</si>
  <si>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</si>
  <si>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</si>
  <si>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</si>
  <si>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</si>
  <si>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</si>
  <si>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</si>
  <si>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</si>
  <si>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</si>
  <si>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</si>
  <si>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</si>
  <si>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</si>
  <si>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</si>
  <si>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</si>
  <si>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</si>
  <si>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</si>
  <si>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</si>
  <si>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</si>
  <si>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</si>
  <si>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</si>
  <si>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</si>
  <si>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</si>
  <si>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</si>
  <si>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</si>
  <si>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</si>
  <si>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</si>
  <si>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</si>
  <si>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</si>
  <si>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</si>
  <si>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</si>
  <si>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</si>
  <si>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</si>
  <si>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</si>
  <si>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</si>
  <si>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</si>
  <si>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</si>
  <si>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</si>
  <si>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</si>
  <si>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</si>
  <si>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</si>
  <si>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</si>
  <si>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</si>
  <si>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</si>
  <si>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</si>
  <si>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</si>
  <si>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</si>
  <si>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</si>
  <si>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</si>
  <si>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</si>
  <si>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</si>
  <si>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</si>
  <si>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</si>
  <si>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</si>
  <si>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</si>
  <si>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</si>
  <si>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</si>
  <si>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</si>
  <si>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</si>
  <si>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</si>
  <si>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</si>
  <si>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</si>
  <si>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</si>
  <si>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</si>
  <si>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</si>
  <si>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</si>
  <si>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</si>
  <si>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</si>
  <si>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</si>
  <si>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</si>
  <si>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</si>
  <si>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</si>
  <si>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</si>
  <si>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</si>
  <si>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</si>
  <si>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</si>
  <si>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</si>
  <si>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</si>
  <si>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</si>
  <si>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</si>
  <si>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</si>
  <si>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</si>
  <si>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</si>
  <si>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</si>
  <si>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</si>
  <si>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</si>
  <si>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</si>
  <si>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</si>
  <si>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</si>
  <si>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</si>
  <si>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</si>
  <si>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</si>
  <si>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</si>
  <si>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</si>
  <si>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</si>
  <si>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</si>
  <si>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</si>
  <si>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</si>
  <si>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</si>
  <si>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</si>
  <si>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</si>
  <si>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</si>
  <si>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</si>
  <si>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</si>
  <si>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</si>
  <si>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</si>
  <si>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</si>
  <si>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</si>
  <si>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</si>
  <si>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</si>
  <si>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</si>
  <si>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</si>
  <si>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</si>
  <si>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</si>
  <si>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</si>
  <si>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</si>
  <si>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</si>
  <si>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</si>
  <si>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</si>
  <si>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</si>
  <si>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</si>
  <si>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</si>
  <si>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</si>
  <si>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</si>
  <si>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</si>
  <si>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</si>
  <si>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</si>
  <si>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</si>
  <si>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</si>
  <si>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</si>
  <si>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</si>
  <si>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</si>
  <si>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</si>
  <si>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</si>
  <si>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</si>
  <si>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</si>
  <si>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</si>
  <si>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</si>
  <si>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</si>
  <si>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</si>
  <si>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</si>
  <si>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</si>
  <si>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</si>
  <si>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</si>
  <si>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</si>
  <si>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</si>
  <si>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</si>
  <si>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</si>
  <si>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</si>
  <si>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</si>
  <si>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</si>
  <si>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</si>
  <si>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</si>
  <si>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</si>
  <si>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</si>
  <si>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</si>
  <si>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</si>
  <si>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</si>
  <si>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</si>
  <si>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</si>
  <si>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</si>
  <si>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</si>
  <si>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</si>
  <si>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</si>
  <si>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</si>
  <si>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</si>
  <si>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</si>
  <si>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</si>
  <si>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</si>
  <si>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</si>
  <si>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</si>
  <si>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</si>
  <si>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</si>
  <si>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</si>
  <si>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</si>
  <si>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</si>
  <si>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</si>
  <si>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</si>
  <si>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</si>
  <si>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</si>
  <si>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</si>
  <si>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</si>
  <si>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</si>
  <si>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</si>
  <si>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</si>
  <si>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</si>
  <si>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</si>
  <si>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</si>
  <si>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</si>
  <si>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</si>
  <si>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</si>
  <si>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</si>
  <si>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</si>
  <si>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</si>
  <si>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</si>
  <si>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</si>
  <si>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</si>
  <si>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</si>
  <si>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</si>
  <si>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</si>
  <si>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</si>
  <si>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</si>
  <si>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</si>
  <si>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</si>
  <si>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</si>
  <si>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</si>
  <si>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</si>
  <si>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</si>
  <si>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</si>
  <si>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</si>
  <si>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</si>
  <si>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</si>
  <si>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</si>
  <si>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</si>
  <si>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</si>
  <si>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</si>
  <si>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</si>
  <si>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</si>
  <si>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</si>
  <si>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</si>
  <si>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</si>
  <si>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</si>
  <si>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</si>
  <si>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</si>
  <si>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</si>
  <si>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</si>
  <si>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</si>
  <si>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</si>
  <si>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</si>
  <si>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</si>
  <si>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</si>
  <si>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</si>
  <si>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</si>
  <si>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</si>
  <si>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</si>
  <si>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</si>
  <si>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</si>
  <si>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</si>
  <si>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</si>
  <si>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</si>
  <si>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</si>
  <si>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</si>
  <si>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</si>
  <si>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</si>
  <si>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</si>
  <si>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</si>
  <si>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</si>
  <si>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</si>
  <si>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</si>
  <si>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</si>
  <si>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</si>
  <si>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</si>
  <si>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</si>
  <si>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</si>
  <si>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</si>
  <si>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</si>
  <si>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</si>
  <si>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</si>
  <si>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</si>
  <si>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</si>
  <si>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</si>
  <si>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</si>
  <si>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</si>
  <si>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</si>
  <si>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</si>
  <si>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</si>
  <si>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</si>
  <si>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</si>
  <si>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</si>
  <si>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</si>
  <si>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</si>
  <si>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</si>
  <si>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</si>
  <si>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</si>
  <si>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</si>
  <si>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</si>
  <si>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</si>
  <si>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</si>
  <si>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</si>
  <si>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</si>
  <si>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</si>
  <si>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</si>
  <si>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</si>
  <si>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</si>
  <si>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</si>
  <si>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</si>
  <si>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</si>
  <si>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</si>
  <si>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</si>
  <si>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</si>
  <si>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</si>
  <si>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</si>
  <si>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</si>
  <si>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</si>
  <si>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</si>
  <si>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</si>
  <si>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</si>
  <si>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</si>
  <si>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</si>
  <si>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</si>
  <si>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</si>
  <si>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</si>
  <si>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</si>
  <si>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</si>
  <si>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</si>
  <si>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</si>
  <si>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</si>
  <si>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</si>
  <si>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</si>
  <si>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</si>
  <si>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</si>
  <si>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</si>
  <si>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</si>
  <si>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</si>
  <si>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</si>
  <si>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</si>
  <si>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</si>
  <si>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</si>
  <si>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</si>
  <si>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</si>
  <si>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</si>
  <si>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</si>
  <si>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</si>
  <si>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</si>
  <si>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</si>
  <si>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</si>
  <si>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</si>
  <si>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</si>
  <si>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</si>
  <si>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</si>
  <si>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</si>
  <si>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</si>
  <si>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</si>
  <si>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</si>
  <si>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</si>
  <si>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</si>
  <si>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</si>
  <si>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</si>
  <si>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</si>
  <si>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</si>
  <si>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</si>
  <si>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</si>
  <si>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</si>
  <si>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</si>
  <si>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</si>
  <si>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</si>
  <si>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</si>
  <si>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</si>
  <si>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</si>
  <si>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</si>
  <si>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</si>
  <si>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</si>
  <si>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</si>
  <si>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</si>
  <si>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</si>
  <si>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</si>
  <si>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</si>
  <si>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</si>
  <si>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</si>
  <si>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</si>
  <si>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</si>
  <si>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</si>
  <si>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</si>
  <si>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</si>
  <si>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</si>
  <si>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</si>
  <si>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</si>
  <si>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</si>
  <si>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</si>
  <si>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</si>
  <si>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</si>
  <si>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</si>
  <si>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</si>
  <si>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</si>
  <si>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</si>
  <si>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</si>
  <si>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</si>
  <si>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</si>
  <si>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</si>
  <si>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</si>
  <si>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</si>
  <si>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</si>
  <si>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</si>
  <si>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</si>
  <si>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</si>
  <si>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</si>
  <si>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</si>
  <si>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</si>
  <si>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</si>
  <si>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</si>
  <si>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</si>
  <si>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</si>
  <si>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</si>
  <si>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</si>
  <si>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</si>
  <si>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</si>
  <si>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</si>
  <si>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</si>
  <si>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</si>
  <si>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</si>
  <si>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</si>
  <si>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</si>
  <si>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</si>
  <si>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</si>
  <si>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</si>
  <si>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</si>
  <si>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</si>
  <si>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</si>
  <si>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</si>
  <si>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</si>
  <si>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</si>
  <si>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</si>
  <si>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</si>
  <si>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</si>
  <si>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</si>
  <si>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</si>
  <si>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</si>
  <si>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</si>
  <si>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</si>
  <si>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</si>
  <si>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</si>
  <si>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</si>
  <si>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</si>
  <si>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</si>
  <si>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</si>
  <si>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</si>
  <si>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</si>
  <si>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</si>
  <si>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</si>
  <si>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</si>
  <si>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</si>
  <si>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</si>
  <si>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</si>
  <si>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</si>
  <si>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</si>
  <si>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</si>
  <si>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</si>
  <si>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</si>
  <si>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</si>
  <si>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</si>
  <si>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</si>
  <si>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</si>
  <si>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</si>
  <si>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</si>
  <si>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</si>
  <si>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</si>
  <si>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</si>
  <si>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</si>
  <si>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</si>
  <si>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</si>
  <si>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</si>
  <si>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</si>
  <si>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</si>
  <si>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</si>
  <si>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</si>
  <si>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</si>
  <si>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</si>
  <si>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</si>
  <si>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</si>
  <si>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</si>
  <si>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</si>
  <si>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</si>
  <si>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</si>
  <si>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</si>
  <si>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</si>
  <si>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</si>
  <si>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</si>
  <si>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</si>
  <si>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</si>
  <si>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</si>
  <si>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</si>
  <si>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</si>
  <si>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</si>
  <si>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</si>
  <si>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</si>
  <si>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</si>
  <si>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</si>
  <si>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</si>
  <si>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</si>
  <si>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</si>
  <si>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</si>
  <si>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</si>
  <si>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</si>
  <si>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</si>
  <si>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</si>
  <si>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</si>
  <si>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</si>
  <si>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</si>
  <si>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</si>
  <si>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</si>
  <si>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</si>
  <si>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</si>
  <si>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</si>
  <si>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</si>
  <si>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</si>
  <si>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</si>
  <si>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</si>
  <si>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</si>
  <si>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</si>
  <si>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</si>
  <si>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</si>
  <si>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</si>
  <si>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</si>
  <si>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</si>
  <si>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</si>
  <si>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</si>
  <si>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</si>
  <si>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</si>
  <si>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</si>
  <si>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</si>
  <si>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</si>
  <si>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</si>
  <si>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</si>
  <si>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</si>
  <si>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</si>
  <si>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</si>
  <si>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</si>
  <si>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</si>
  <si>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</si>
  <si>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</si>
  <si>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</si>
  <si>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</si>
  <si>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</si>
  <si>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</si>
  <si>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</si>
  <si>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</si>
  <si>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</si>
  <si>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</si>
  <si>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</si>
  <si>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</si>
  <si>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</si>
  <si>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</si>
  <si>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</si>
  <si>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</si>
  <si>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</si>
  <si>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</si>
  <si>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</si>
  <si>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</si>
  <si>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</si>
  <si>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</si>
  <si>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</si>
  <si>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</si>
  <si>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</si>
  <si>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</si>
  <si>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</si>
  <si>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</si>
  <si>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</si>
  <si>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</si>
  <si>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</si>
  <si>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</si>
  <si>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</si>
  <si>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</si>
  <si>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</si>
  <si>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</si>
  <si>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</si>
  <si>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</si>
  <si>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</si>
  <si>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</si>
  <si>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</si>
  <si>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</si>
  <si>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</si>
  <si>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</si>
  <si>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</si>
  <si>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</si>
  <si>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</si>
  <si>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</si>
  <si>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</si>
  <si>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</si>
  <si>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</si>
  <si>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</si>
  <si>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</si>
  <si>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</si>
  <si>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</si>
  <si>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</si>
  <si>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</si>
  <si>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</si>
  <si>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</si>
  <si>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</si>
  <si>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</si>
  <si>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</si>
  <si>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</si>
  <si>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</si>
  <si>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</si>
  <si>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</si>
  <si>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</si>
  <si>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</si>
  <si>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</si>
  <si>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</si>
  <si>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</si>
  <si>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</si>
  <si>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</si>
  <si>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</si>
  <si>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</si>
  <si>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</si>
  <si>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</si>
  <si>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</si>
  <si>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</si>
  <si>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</si>
  <si>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</si>
  <si>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</si>
  <si>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</si>
  <si>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</si>
  <si>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</si>
  <si>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</si>
  <si>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</si>
  <si>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</si>
  <si>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</si>
  <si>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</si>
  <si>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</si>
  <si>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</si>
  <si>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</si>
  <si>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</si>
  <si>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</si>
  <si>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</si>
  <si>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</si>
  <si>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</si>
  <si>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</si>
  <si>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</si>
  <si>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</si>
  <si>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</si>
  <si>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</si>
  <si>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</si>
  <si>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</si>
  <si>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</si>
  <si>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</si>
  <si>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</si>
  <si>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</si>
  <si>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</si>
  <si>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</si>
  <si>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</si>
  <si>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</si>
  <si>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</si>
  <si>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</si>
  <si>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</si>
  <si>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</si>
  <si>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</si>
  <si>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</si>
  <si>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</si>
  <si>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</si>
  <si>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</si>
  <si>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</si>
  <si>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</si>
  <si>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</si>
  <si>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</si>
  <si>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</si>
  <si>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</si>
  <si>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</si>
  <si>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</si>
  <si>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</si>
  <si>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</si>
  <si>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</si>
  <si>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</si>
  <si>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</si>
  <si>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</si>
  <si>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</si>
  <si>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</si>
  <si>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</si>
  <si>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</si>
  <si>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</si>
  <si>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</si>
  <si>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</si>
  <si>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</si>
  <si>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</si>
  <si>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</si>
  <si>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</si>
  <si>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</si>
  <si>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</si>
  <si>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</si>
  <si>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</si>
  <si>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</si>
  <si>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</si>
  <si>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</si>
  <si>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</si>
  <si>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</si>
  <si>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</si>
  <si>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</si>
  <si>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</si>
  <si>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</si>
  <si>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</si>
  <si>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</si>
  <si>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</si>
  <si>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</si>
  <si>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</si>
  <si>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</si>
  <si>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</si>
  <si>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</si>
  <si>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</si>
  <si>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</si>
  <si>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</si>
  <si>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</si>
  <si>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</si>
  <si>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</si>
  <si>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</si>
  <si>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</si>
  <si>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</si>
  <si>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</si>
  <si>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</si>
  <si>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</si>
  <si>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</si>
  <si>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</si>
  <si>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</si>
  <si>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</si>
  <si>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</si>
  <si>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</si>
  <si>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</si>
  <si>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</si>
  <si>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</si>
  <si>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</si>
  <si>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</si>
  <si>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</si>
  <si>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</si>
  <si>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</si>
  <si>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</si>
  <si>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</si>
  <si>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</si>
  <si>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</si>
  <si>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</si>
  <si>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</si>
  <si>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</si>
  <si>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</si>
  <si>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</si>
  <si>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</si>
  <si>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</si>
  <si>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</si>
  <si>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</si>
  <si>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</si>
  <si>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</si>
  <si>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</si>
  <si>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</si>
  <si>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</si>
  <si>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</si>
  <si>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</si>
  <si>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</si>
  <si>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</si>
  <si>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</si>
  <si>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</si>
  <si>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</si>
  <si>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</si>
  <si>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</si>
  <si>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</si>
  <si>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</si>
  <si>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</si>
  <si>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</si>
  <si>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</si>
  <si>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</si>
  <si>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</si>
  <si>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</si>
  <si>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</si>
  <si>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</si>
  <si>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</si>
  <si>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</si>
  <si>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</si>
  <si>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</si>
  <si>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</si>
  <si>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</si>
  <si>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</si>
  <si>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</si>
  <si>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</si>
  <si>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</si>
  <si>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</si>
  <si>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</si>
  <si>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</si>
  <si>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</si>
  <si>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</si>
  <si>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</si>
  <si>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</si>
  <si>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</si>
  <si>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</si>
  <si>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</si>
  <si>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</si>
  <si>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</si>
  <si>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</si>
  <si>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</si>
  <si>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</si>
  <si>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</si>
  <si>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</si>
  <si>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</si>
  <si>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</si>
  <si>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</si>
  <si>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</si>
  <si>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</si>
  <si>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</si>
  <si>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</si>
  <si>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</si>
  <si>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</si>
  <si>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</si>
  <si>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</si>
  <si>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</si>
  <si>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</si>
  <si>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</si>
  <si>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</si>
  <si>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</si>
  <si>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</si>
  <si>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</si>
  <si>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</si>
  <si>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</si>
  <si>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</si>
  <si>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</si>
  <si>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</si>
  <si>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</si>
  <si>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</si>
  <si>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</si>
  <si>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</si>
  <si>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</si>
  <si>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</si>
  <si>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</si>
  <si>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</si>
  <si>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</si>
  <si>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</si>
  <si>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</si>
  <si>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</si>
  <si>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</si>
  <si>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</si>
  <si>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</si>
  <si>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</si>
  <si>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</si>
  <si>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</si>
  <si>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</si>
  <si>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</si>
  <si>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</si>
  <si>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</si>
  <si>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</si>
  <si>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</si>
  <si>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</si>
  <si>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</si>
  <si>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</si>
  <si>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</si>
  <si>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</si>
  <si>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</si>
  <si>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</si>
  <si>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</si>
  <si>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</si>
  <si>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</si>
  <si>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</si>
  <si>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</si>
  <si>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</si>
  <si>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</si>
  <si>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</si>
  <si>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</si>
  <si>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</si>
  <si>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</si>
  <si>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</si>
  <si>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</si>
  <si>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</si>
  <si>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</si>
  <si>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</si>
  <si>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</si>
  <si>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</si>
  <si>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</si>
  <si>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</si>
  <si>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</si>
  <si>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</si>
  <si>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</si>
  <si>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</si>
  <si>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</si>
  <si>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</si>
  <si>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</si>
  <si>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</si>
  <si>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</si>
  <si>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</si>
  <si>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</si>
  <si>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</si>
  <si>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</si>
  <si>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</si>
  <si>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</si>
  <si>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</si>
  <si>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</si>
  <si>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</si>
  <si>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</si>
  <si>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</si>
  <si>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</si>
  <si>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</si>
  <si>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</si>
  <si>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</si>
  <si>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</si>
  <si>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</si>
  <si>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</si>
  <si>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</si>
  <si>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</si>
  <si>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</si>
  <si>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</si>
  <si>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</si>
  <si>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</si>
  <si>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</si>
  <si>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</si>
  <si>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</si>
  <si>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</si>
  <si>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</si>
  <si>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</si>
  <si>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</si>
  <si>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</si>
  <si>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</si>
  <si>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</si>
  <si>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</si>
  <si>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</si>
  <si>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</si>
  <si>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</si>
  <si>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</si>
  <si>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</si>
  <si>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</si>
  <si>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</si>
  <si>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</si>
  <si>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</si>
  <si>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</si>
  <si>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</si>
  <si>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</si>
  <si>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</si>
  <si>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</si>
  <si>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</si>
  <si>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</si>
  <si>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</si>
  <si>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</si>
  <si>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</si>
  <si>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</si>
  <si>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</si>
  <si>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</si>
  <si>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</si>
  <si>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</si>
  <si>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</si>
  <si>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</si>
  <si>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</si>
  <si>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</si>
  <si>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</si>
  <si>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</si>
  <si>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</si>
  <si>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</si>
  <si>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</si>
  <si>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</si>
  <si>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</si>
  <si>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</si>
  <si>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</si>
  <si>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</si>
  <si>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</si>
  <si>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</si>
  <si>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</si>
  <si>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</si>
  <si>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</si>
  <si>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</si>
  <si>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</si>
  <si>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</si>
  <si>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</si>
  <si>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</si>
  <si>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</si>
  <si>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</si>
  <si>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</si>
  <si>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</si>
  <si>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</si>
  <si>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</si>
  <si>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</si>
  <si>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</si>
  <si>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</si>
  <si>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</si>
  <si>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</si>
  <si>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</si>
  <si>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</si>
  <si>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</si>
  <si>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</si>
  <si>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</si>
  <si>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</si>
  <si>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</si>
  <si>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</si>
  <si>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</si>
  <si>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</si>
  <si>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</si>
  <si>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</si>
  <si>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</si>
  <si>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</si>
  <si>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</si>
  <si>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</si>
  <si>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</si>
  <si>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</si>
  <si>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</si>
  <si>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</si>
  <si>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</si>
  <si>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</si>
  <si>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</si>
  <si>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</si>
  <si>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</si>
  <si>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</si>
  <si>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</si>
  <si>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</si>
  <si>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</si>
  <si>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</si>
  <si>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</si>
  <si>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</si>
  <si>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</si>
  <si>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</si>
  <si>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</si>
  <si>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</si>
  <si>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</si>
  <si>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</si>
  <si>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</si>
  <si>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</si>
  <si>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</si>
  <si>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</si>
  <si>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</si>
  <si>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</si>
  <si>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</si>
  <si>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</si>
  <si>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</si>
  <si>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</si>
  <si>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</si>
  <si>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</si>
  <si>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</si>
  <si>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</si>
  <si>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</si>
  <si>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</si>
  <si>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</si>
  <si>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</si>
  <si>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</si>
  <si>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</si>
  <si>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</si>
  <si>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</si>
  <si>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</si>
  <si>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</si>
  <si>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</si>
  <si>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</si>
  <si>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</si>
  <si>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</si>
  <si>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</si>
  <si>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</si>
  <si>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</si>
  <si>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</si>
  <si>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</si>
  <si>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</si>
  <si>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</si>
  <si>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</si>
  <si>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</si>
  <si>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</si>
  <si>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</si>
  <si>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</si>
  <si>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</si>
  <si>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</si>
  <si>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</si>
  <si>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</si>
  <si>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</si>
  <si>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</si>
  <si>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</si>
  <si>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</si>
  <si>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</si>
  <si>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</si>
  <si>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</si>
  <si>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</si>
  <si>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</si>
  <si>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</si>
  <si>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</si>
  <si>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</si>
  <si>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</si>
  <si>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</si>
  <si>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</si>
  <si>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</si>
  <si>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</si>
  <si>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</si>
  <si>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</si>
  <si>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</si>
  <si>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</si>
  <si>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</si>
  <si>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</si>
  <si>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</si>
  <si>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</si>
  <si>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</si>
  <si>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</si>
  <si>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</si>
  <si>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</si>
  <si>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</si>
  <si>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</si>
  <si>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</si>
  <si>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</si>
  <si>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</si>
  <si>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</si>
  <si>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</si>
  <si>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</si>
  <si>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</si>
  <si>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</si>
  <si>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</si>
  <si>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</si>
  <si>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</si>
  <si>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</si>
  <si>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</si>
  <si>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</si>
  <si>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</si>
  <si>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</si>
  <si>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</si>
  <si>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</si>
  <si>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</si>
  <si>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</si>
  <si>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</si>
  <si>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</si>
  <si>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</si>
  <si>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</si>
  <si>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</si>
  <si>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</si>
  <si>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</si>
  <si>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</si>
  <si>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</si>
  <si>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</si>
  <si>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</si>
  <si>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</si>
  <si>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</si>
  <si>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</si>
  <si>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</si>
  <si>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</si>
  <si>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</si>
  <si>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</si>
  <si>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</si>
  <si>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</si>
  <si>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</si>
  <si>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</si>
  <si>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</si>
  <si>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</si>
  <si>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</si>
  <si>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</si>
  <si>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</si>
  <si>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</si>
  <si>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</si>
  <si>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</si>
  <si>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</si>
  <si>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</si>
  <si>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</si>
  <si>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</si>
  <si>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</si>
  <si>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</si>
  <si>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</si>
  <si>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</si>
  <si>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</si>
  <si>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</si>
  <si>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</si>
  <si>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</si>
  <si>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</si>
  <si>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</si>
  <si>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</si>
  <si>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</si>
  <si>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</si>
  <si>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</si>
  <si>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</si>
  <si>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</si>
  <si>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</si>
  <si>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</si>
  <si>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</si>
  <si>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</si>
  <si>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</si>
  <si>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</si>
  <si>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</si>
  <si>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</si>
  <si>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</si>
  <si>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</si>
  <si>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</si>
  <si>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</si>
  <si>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</si>
  <si>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</si>
  <si>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</si>
  <si>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</si>
  <si>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</si>
  <si>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</si>
  <si>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</si>
  <si>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</si>
  <si>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</si>
  <si>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</si>
  <si>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</si>
  <si>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</si>
  <si>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</si>
  <si>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</si>
  <si>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</si>
  <si>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</si>
  <si>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</si>
  <si>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</si>
  <si>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</si>
  <si>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</si>
  <si>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</si>
  <si>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</si>
  <si>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</si>
  <si>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</si>
  <si>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</si>
  <si>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</si>
  <si>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</si>
  <si>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</si>
  <si>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</si>
  <si>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</si>
  <si>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</si>
  <si>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</si>
  <si>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</si>
  <si>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</si>
  <si>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</si>
  <si>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</si>
  <si>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</si>
  <si>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</si>
  <si>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</si>
  <si>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</si>
  <si>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</si>
  <si>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</si>
  <si>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</si>
  <si>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</si>
  <si>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</si>
  <si>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</si>
  <si>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</si>
  <si>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</si>
  <si>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</si>
  <si>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</si>
  <si>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</si>
  <si>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</si>
  <si>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</si>
  <si>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</si>
  <si>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</si>
  <si>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</si>
  <si>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</si>
  <si>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</si>
  <si>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</si>
  <si>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</si>
  <si>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</si>
  <si>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</si>
  <si>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</si>
  <si>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</si>
  <si>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</si>
  <si>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</si>
  <si>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</si>
  <si>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</si>
  <si>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</si>
  <si>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</si>
  <si>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</si>
  <si>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</si>
  <si>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</si>
  <si>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</si>
  <si>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</si>
  <si>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</si>
  <si>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</si>
  <si>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</si>
  <si>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</si>
  <si>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</si>
  <si>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</si>
  <si>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</si>
  <si>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</si>
  <si>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</si>
  <si>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</si>
  <si>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</si>
  <si>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</si>
  <si>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</si>
  <si>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</si>
  <si>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</si>
  <si>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</si>
  <si>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</si>
  <si>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</si>
  <si>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</si>
  <si>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</si>
  <si>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</si>
  <si>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</si>
  <si>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</si>
  <si>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</si>
  <si>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</si>
  <si>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</si>
  <si>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</si>
  <si>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</si>
  <si>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</si>
  <si>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</si>
  <si>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</si>
  <si>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</si>
  <si>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</si>
  <si>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</si>
  <si>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</si>
  <si>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</si>
  <si>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</si>
  <si>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</si>
  <si>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</si>
  <si>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</si>
  <si>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</si>
  <si>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</si>
  <si>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</si>
  <si>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</si>
  <si>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</si>
  <si>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</si>
  <si>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</si>
  <si>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</si>
  <si>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</si>
  <si>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</si>
  <si>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</si>
  <si>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</si>
  <si>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</si>
  <si>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</si>
  <si>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</si>
  <si>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</si>
  <si>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</si>
  <si>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</si>
  <si>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</si>
  <si>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</si>
  <si>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</si>
  <si>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</si>
  <si>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</si>
  <si>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</si>
  <si>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</si>
  <si>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</si>
  <si>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</si>
  <si>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</si>
  <si>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</si>
  <si>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</si>
  <si>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</si>
  <si>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</si>
  <si>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</si>
  <si>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</si>
  <si>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</si>
  <si>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</si>
  <si>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</si>
  <si>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</si>
  <si>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</si>
  <si>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</si>
  <si>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</si>
  <si>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</si>
  <si>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</si>
  <si>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</si>
  <si>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</si>
  <si>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</si>
  <si>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</si>
  <si>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</si>
  <si>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</si>
  <si>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</si>
  <si>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</si>
  <si>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</si>
  <si>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</si>
  <si>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</si>
  <si>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</si>
  <si>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</si>
  <si>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</si>
  <si>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</si>
  <si>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</si>
  <si>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</si>
  <si>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</si>
  <si>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</si>
  <si>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</si>
  <si>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</si>
  <si>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</si>
  <si>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</si>
  <si>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</si>
  <si>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</si>
  <si>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</si>
  <si>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</si>
  <si>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</si>
  <si>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</si>
  <si>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</si>
  <si>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</si>
  <si>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</si>
  <si>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</si>
  <si>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</si>
  <si>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</si>
  <si>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</si>
  <si>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</si>
  <si>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</si>
  <si>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</si>
  <si>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</si>
  <si>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</si>
  <si>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</si>
  <si>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</si>
  <si>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</si>
  <si>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</si>
  <si>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</si>
  <si>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</si>
  <si>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</si>
  <si>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</si>
  <si>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</si>
  <si>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</si>
  <si>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</si>
  <si>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</si>
  <si>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</si>
  <si>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</si>
  <si>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</si>
  <si>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</si>
  <si>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</si>
  <si>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</si>
  <si>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</si>
  <si>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</si>
  <si>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</si>
  <si>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</si>
  <si>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</si>
  <si>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</si>
  <si>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</si>
  <si>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</si>
  <si>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</si>
  <si>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</si>
  <si>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</si>
  <si>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</si>
  <si>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</si>
  <si>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</si>
  <si>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</si>
  <si>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</si>
  <si>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</si>
  <si>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</si>
  <si>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</si>
  <si>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</si>
  <si>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</si>
  <si>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</si>
  <si>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</si>
  <si>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</si>
  <si>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</si>
  <si>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</si>
  <si>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</si>
  <si>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</si>
  <si>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</si>
  <si>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</si>
  <si>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</si>
  <si>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</si>
  <si>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</si>
  <si>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</si>
  <si>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</si>
  <si>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</si>
  <si>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</si>
  <si>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</si>
  <si>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</si>
  <si>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</si>
  <si>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</si>
  <si>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</si>
  <si>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</si>
  <si>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</si>
  <si>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</si>
  <si>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</si>
  <si>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</si>
  <si>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</si>
  <si>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</si>
  <si>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</si>
  <si>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</si>
  <si>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</si>
  <si>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</si>
  <si>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</si>
  <si>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</si>
  <si>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</si>
  <si>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</si>
  <si>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</si>
  <si>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</si>
  <si>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</si>
  <si>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</si>
  <si>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</si>
  <si>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</si>
  <si>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</si>
  <si>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</si>
  <si>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</si>
  <si>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</si>
  <si>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</si>
  <si>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</si>
  <si>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</si>
  <si>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</si>
  <si>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</si>
  <si>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</si>
  <si>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</si>
  <si>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</si>
  <si>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</si>
  <si>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</si>
  <si>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</si>
  <si>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</si>
  <si>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</si>
  <si>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</si>
  <si>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</si>
  <si>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</si>
  <si>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</si>
  <si>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</si>
  <si>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</si>
  <si>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</si>
  <si>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</si>
  <si>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</si>
  <si>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</si>
  <si>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</si>
  <si>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</si>
  <si>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</si>
  <si>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</si>
  <si>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</si>
  <si>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</si>
  <si>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</si>
  <si>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</si>
  <si>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</si>
  <si>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</si>
  <si>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</si>
  <si>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</si>
  <si>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</si>
  <si>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</si>
  <si>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</si>
  <si>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</si>
  <si>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</si>
  <si>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</si>
  <si>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</si>
  <si>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</si>
  <si>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</si>
  <si>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</si>
  <si>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</si>
  <si>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</si>
  <si>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</si>
  <si>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</si>
  <si>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</si>
  <si>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</si>
  <si>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</si>
  <si>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</si>
  <si>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</si>
  <si>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</si>
  <si>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</si>
  <si>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</si>
  <si>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</si>
  <si>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</si>
  <si>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</si>
  <si>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</si>
  <si>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</si>
  <si>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</si>
  <si>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</si>
  <si>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</si>
  <si>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</si>
  <si>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</si>
  <si>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</si>
  <si>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</si>
  <si>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</si>
  <si>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</si>
  <si>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</si>
  <si>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</si>
  <si>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</si>
  <si>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</si>
  <si>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</si>
  <si>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</si>
  <si>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</si>
  <si>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</si>
  <si>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</si>
  <si>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</si>
  <si>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</si>
  <si>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</si>
  <si>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</si>
  <si>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</si>
  <si>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</si>
  <si>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</si>
  <si>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</si>
  <si>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</si>
  <si>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</si>
  <si>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</si>
  <si>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</si>
  <si>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</si>
  <si>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</si>
  <si>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</si>
  <si>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</si>
  <si>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</si>
  <si>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</si>
  <si>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</si>
  <si>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</si>
  <si>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</si>
  <si>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</si>
  <si>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</si>
  <si>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</si>
  <si>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</si>
  <si>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</si>
  <si>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</si>
  <si>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</si>
  <si>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</si>
  <si>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</si>
  <si>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</si>
  <si>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</si>
  <si>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</si>
  <si>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</si>
  <si>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</si>
  <si>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</si>
  <si>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</si>
  <si>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</si>
  <si>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</si>
  <si>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</si>
  <si>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</si>
  <si>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</si>
  <si>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</si>
  <si>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</si>
  <si>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</si>
  <si>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</si>
  <si>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</si>
  <si>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</si>
  <si>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</si>
  <si>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</si>
  <si>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</si>
  <si>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</si>
  <si>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</si>
  <si>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</si>
  <si>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</si>
  <si>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</si>
  <si>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</si>
  <si>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</si>
  <si>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</si>
  <si>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</si>
  <si>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</si>
  <si>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</si>
  <si>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</si>
  <si>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</si>
  <si>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</si>
  <si>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</si>
  <si>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</si>
  <si>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</si>
  <si>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</si>
  <si>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</si>
  <si>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</si>
  <si>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</si>
  <si>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</si>
  <si>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</si>
  <si>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</si>
  <si>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</si>
  <si>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</si>
  <si>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</si>
  <si>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</si>
  <si>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</si>
  <si>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</si>
  <si>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</si>
  <si>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</si>
  <si>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</si>
  <si>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</si>
  <si>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</si>
  <si>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</si>
  <si>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</si>
  <si>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</si>
  <si>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</si>
  <si>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</si>
  <si>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</si>
  <si>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</si>
  <si>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</si>
  <si>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</si>
  <si>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</si>
  <si>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</si>
  <si>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</si>
  <si>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</si>
  <si>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</si>
  <si>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</si>
  <si>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</si>
  <si>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</si>
  <si>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</si>
  <si>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</si>
  <si>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</si>
  <si>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</si>
  <si>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</si>
  <si>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</si>
  <si>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</si>
  <si>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</si>
  <si>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</si>
  <si>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</si>
  <si>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</si>
  <si>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</si>
  <si>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</si>
  <si>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</si>
  <si>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</si>
  <si>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</si>
  <si>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</si>
  <si>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</si>
  <si>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</si>
  <si>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</si>
  <si>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</si>
  <si>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</si>
  <si>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</si>
  <si>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</si>
  <si>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</si>
  <si>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</si>
  <si>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</si>
  <si>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</si>
  <si>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</si>
  <si>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</si>
  <si>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</si>
  <si>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</si>
  <si>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</si>
  <si>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</si>
  <si>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</si>
  <si>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</si>
  <si>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</si>
  <si>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</si>
  <si>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</si>
  <si>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</si>
  <si>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</si>
  <si>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</si>
  <si>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</si>
  <si>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</si>
  <si>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</si>
  <si>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</si>
  <si>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</si>
  <si>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</si>
  <si>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</si>
  <si>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</si>
  <si>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</si>
  <si>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</si>
  <si>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</si>
  <si>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</si>
  <si>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</si>
  <si>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</si>
  <si>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</si>
  <si>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</si>
  <si>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</si>
  <si>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</si>
  <si>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</si>
  <si>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</si>
  <si>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</si>
  <si>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</si>
  <si>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</si>
  <si>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</si>
  <si>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</si>
  <si>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</si>
  <si>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</si>
  <si>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</si>
  <si>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</si>
  <si>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</si>
  <si>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</si>
  <si>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</si>
  <si>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</si>
  <si>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</si>
  <si>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</si>
  <si>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</si>
  <si>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</si>
  <si>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</si>
  <si>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</si>
  <si>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</si>
  <si>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</si>
  <si>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</si>
  <si>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</si>
  <si>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</si>
  <si>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</si>
  <si>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</si>
  <si>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</si>
  <si>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</si>
  <si>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</si>
  <si>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</si>
  <si>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</si>
  <si>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</si>
  <si>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</si>
  <si>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</si>
  <si>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</si>
  <si>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</si>
  <si>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</si>
  <si>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</si>
  <si>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</si>
  <si>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</si>
  <si>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</si>
  <si>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</si>
  <si>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</si>
  <si>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</si>
  <si>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</si>
  <si>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</si>
  <si>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</si>
  <si>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</si>
  <si>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</si>
  <si>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</si>
  <si>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</si>
  <si>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</si>
  <si>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</si>
  <si>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</si>
  <si>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</si>
  <si>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</si>
  <si>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</si>
  <si>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</si>
  <si>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</si>
  <si>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</si>
  <si>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</si>
  <si>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</si>
  <si>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</si>
  <si>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</si>
  <si>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</si>
  <si>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</si>
  <si>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</si>
  <si>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</si>
  <si>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</si>
  <si>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</si>
  <si>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</si>
  <si>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</si>
  <si>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</si>
  <si>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</si>
  <si>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</si>
  <si>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</si>
  <si>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</si>
  <si>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</si>
  <si>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</si>
  <si>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</si>
  <si>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</si>
  <si>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</si>
  <si>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</si>
  <si>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</si>
  <si>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</si>
  <si>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</si>
  <si>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</si>
  <si>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</si>
  <si>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</si>
  <si>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</si>
  <si>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</si>
  <si>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</si>
  <si>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</si>
  <si>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</si>
  <si>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</si>
  <si>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</si>
  <si>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</si>
  <si>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</si>
  <si>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</si>
  <si>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</si>
  <si>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</si>
  <si>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</si>
  <si>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</si>
  <si>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</si>
  <si>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</si>
  <si>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</si>
  <si>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</si>
  <si>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</si>
  <si>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</si>
  <si>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</si>
  <si>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</si>
  <si>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</si>
  <si>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</si>
  <si>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</si>
  <si>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</si>
  <si>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</si>
  <si>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</si>
  <si>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</si>
  <si>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</si>
  <si>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</si>
  <si>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</si>
  <si>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</si>
  <si>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</si>
  <si>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</si>
  <si>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</si>
  <si>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</si>
  <si>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</si>
  <si>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</si>
  <si>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</si>
  <si>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</si>
  <si>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</si>
  <si>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</si>
  <si>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</si>
  <si>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</si>
  <si>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</si>
  <si>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</si>
  <si>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</si>
  <si>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</si>
  <si>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</si>
  <si>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</si>
  <si>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</si>
  <si>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</si>
  <si>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</si>
  <si>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</si>
  <si>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</si>
  <si>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</si>
  <si>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</si>
  <si>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</si>
  <si>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</si>
  <si>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</si>
  <si>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</si>
  <si>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</si>
  <si>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</si>
  <si>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</si>
  <si>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</si>
  <si>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</si>
  <si>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</si>
  <si>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</si>
  <si>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</si>
  <si>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</si>
  <si>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</si>
  <si>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</si>
  <si>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</si>
  <si>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</si>
  <si>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</si>
  <si>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</si>
  <si>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</si>
  <si>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</si>
  <si>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</si>
  <si>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</si>
  <si>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</si>
  <si>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</si>
  <si>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</si>
  <si>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</si>
  <si>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</si>
  <si>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</si>
  <si>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</si>
  <si>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</si>
  <si>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</si>
  <si>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</si>
  <si>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</si>
  <si>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</si>
  <si>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</si>
  <si>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</si>
  <si>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</si>
  <si>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</si>
  <si>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</si>
  <si>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</si>
  <si>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</si>
  <si>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</si>
  <si>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</si>
  <si>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</si>
  <si>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</si>
  <si>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</si>
  <si>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</si>
  <si>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</si>
  <si>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</si>
  <si>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</si>
  <si>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</si>
  <si>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</si>
  <si>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</si>
  <si>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</si>
  <si>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</si>
  <si>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</si>
  <si>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</si>
  <si>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</si>
  <si>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</si>
  <si>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</si>
  <si>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</si>
  <si>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</si>
  <si>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</si>
  <si>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</si>
  <si>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</si>
  <si>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</si>
  <si>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</si>
  <si>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</si>
  <si>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</si>
  <si>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</si>
  <si>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</si>
  <si>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</si>
  <si>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</si>
  <si>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</si>
  <si>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</si>
  <si>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</si>
  <si>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</si>
  <si>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</si>
  <si>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</si>
  <si>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</si>
  <si>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</si>
  <si>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</si>
  <si>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</si>
  <si>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</si>
  <si>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</si>
  <si>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</si>
  <si>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</si>
  <si>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</si>
  <si>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</si>
  <si>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</si>
  <si>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</si>
  <si>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</si>
  <si>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</si>
  <si>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</si>
  <si>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</si>
  <si>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</si>
  <si>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</si>
  <si>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</si>
  <si>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</si>
  <si>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</si>
  <si>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</si>
  <si>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</si>
  <si>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</si>
  <si>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</si>
  <si>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</si>
  <si>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</si>
  <si>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</si>
  <si>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</si>
  <si>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</si>
  <si>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</si>
  <si>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</si>
  <si>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</si>
  <si>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</si>
  <si>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</si>
  <si>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</si>
  <si>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</si>
  <si>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</si>
  <si>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</si>
  <si>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</si>
  <si>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</si>
  <si>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</si>
  <si>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</si>
  <si>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</si>
  <si>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</si>
  <si>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</si>
  <si>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</si>
  <si>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</si>
  <si>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</si>
  <si>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</si>
  <si>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</si>
  <si>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</si>
  <si>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</si>
  <si>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</si>
  <si>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</si>
  <si>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</si>
  <si>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</si>
  <si>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</si>
  <si>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</si>
  <si>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</si>
  <si>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</si>
  <si>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</si>
  <si>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</si>
  <si>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</si>
  <si>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</si>
  <si>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</si>
  <si>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</si>
  <si>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</si>
  <si>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</si>
  <si>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</si>
  <si>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</si>
  <si>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</si>
  <si>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</si>
  <si>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</si>
  <si>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</si>
  <si>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</si>
  <si>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</si>
  <si>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</si>
  <si>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</si>
  <si>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</si>
  <si>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</si>
  <si>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</si>
  <si>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</si>
  <si>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</si>
  <si>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</si>
  <si>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</si>
  <si>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</si>
  <si>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</si>
  <si>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</si>
  <si>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</si>
  <si>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</si>
  <si>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</si>
  <si>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</si>
  <si>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</si>
  <si>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</si>
  <si>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</si>
  <si>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</si>
  <si>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</si>
  <si>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</si>
  <si>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</si>
  <si>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</si>
  <si>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</si>
  <si>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</si>
  <si>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</si>
  <si>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</si>
  <si>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</si>
  <si>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</si>
  <si>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</si>
  <si>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</si>
  <si>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</si>
  <si>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</si>
  <si>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</si>
  <si>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</si>
  <si>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</si>
  <si>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</si>
  <si>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</si>
  <si>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</si>
  <si>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</si>
  <si>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</si>
  <si>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</si>
  <si>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</si>
  <si>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</si>
  <si>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</si>
  <si>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</si>
  <si>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</si>
  <si>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</si>
  <si>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</si>
  <si>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</si>
  <si>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</si>
  <si>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</si>
  <si>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</si>
  <si>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</si>
  <si>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</si>
  <si>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</si>
  <si>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</si>
  <si>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</si>
  <si>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</si>
  <si>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</si>
  <si>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</si>
  <si>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</si>
  <si>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</si>
  <si>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</si>
  <si>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</si>
  <si>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</si>
  <si>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</si>
  <si>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</si>
  <si>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</si>
  <si>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</si>
  <si>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</si>
  <si>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</si>
  <si>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</si>
  <si>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</si>
  <si>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</si>
  <si>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</si>
  <si>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</si>
  <si>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</si>
  <si>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</si>
  <si>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</si>
  <si>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</si>
  <si>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</si>
  <si>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</si>
  <si>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</si>
  <si>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</si>
  <si>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</si>
  <si>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</si>
  <si>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</si>
  <si>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</si>
  <si>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</si>
  <si>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</si>
  <si>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</si>
  <si>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</si>
  <si>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</si>
  <si>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</si>
  <si>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</si>
  <si>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</si>
  <si>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</si>
  <si>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</si>
  <si>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</si>
  <si>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</si>
  <si>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</si>
  <si>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</si>
  <si>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</si>
  <si>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</si>
  <si>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</si>
  <si>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</si>
  <si>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</si>
  <si>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</si>
  <si>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</si>
  <si>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</si>
  <si>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</si>
  <si>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</si>
  <si>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</si>
  <si>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</si>
  <si>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</si>
  <si>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</si>
  <si>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</si>
  <si>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</si>
  <si>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</si>
  <si>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</si>
  <si>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</si>
  <si>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</si>
  <si>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</si>
  <si>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</si>
  <si>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</si>
  <si>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</si>
  <si>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</si>
  <si>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</si>
  <si>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</si>
  <si>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</si>
  <si>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</si>
  <si>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</si>
  <si>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</si>
  <si>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</si>
  <si>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</si>
  <si>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</si>
  <si>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</si>
  <si>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</si>
  <si>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</si>
  <si>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</si>
  <si>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</si>
  <si>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</si>
  <si>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</si>
  <si>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</si>
  <si>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</si>
  <si>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</si>
  <si>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</si>
  <si>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</si>
  <si>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</si>
  <si>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</si>
  <si>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</si>
  <si>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</si>
  <si>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</si>
  <si>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</si>
  <si>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</si>
  <si>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</si>
  <si>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</si>
  <si>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</si>
  <si>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</si>
  <si>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</si>
  <si>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</si>
  <si>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</si>
  <si>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</si>
  <si>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</si>
  <si>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</si>
  <si>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</si>
  <si>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</si>
  <si>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</si>
  <si>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</si>
  <si>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</si>
  <si>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</si>
  <si>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</si>
  <si>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</si>
  <si>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</si>
  <si>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</si>
  <si>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</si>
  <si>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</si>
  <si>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</si>
  <si>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</si>
  <si>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</si>
  <si>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</si>
  <si>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</si>
  <si>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</si>
  <si>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</si>
  <si>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</si>
  <si>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</si>
  <si>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</si>
  <si>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</si>
  <si>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</si>
  <si>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</si>
  <si>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</si>
  <si>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</si>
  <si>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</si>
  <si>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</si>
  <si>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</si>
  <si>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</si>
  <si>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</si>
  <si>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</si>
  <si>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</si>
  <si>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</si>
  <si>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</si>
  <si>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</si>
  <si>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</si>
  <si>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</si>
  <si>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</si>
  <si>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</si>
  <si>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</si>
  <si>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</si>
  <si>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</si>
  <si>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</si>
  <si>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</si>
  <si>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</si>
  <si>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</si>
  <si>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</si>
  <si>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</si>
  <si>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</si>
  <si>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</si>
  <si>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</si>
  <si>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</si>
  <si>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</si>
  <si>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</si>
  <si>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</si>
  <si>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</si>
  <si>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</si>
  <si>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</si>
  <si>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</si>
  <si>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</si>
  <si>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</si>
  <si>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</si>
  <si>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</si>
  <si>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</si>
  <si>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</si>
  <si>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</si>
  <si>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</si>
  <si>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</si>
  <si>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</si>
  <si>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</si>
  <si>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</si>
  <si>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</si>
  <si>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</si>
  <si>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</si>
  <si>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</si>
  <si>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</si>
  <si>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</si>
  <si>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</si>
  <si>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</si>
  <si>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</si>
  <si>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</si>
  <si>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</si>
  <si>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</si>
  <si>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</si>
  <si>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</si>
  <si>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</si>
  <si>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</si>
  <si>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</si>
  <si>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</si>
  <si>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</si>
  <si>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</si>
  <si>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</si>
  <si>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</si>
  <si>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</si>
  <si>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</si>
  <si>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</si>
  <si>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</si>
  <si>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</si>
  <si>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</si>
  <si>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</si>
  <si>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</si>
  <si>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</si>
  <si>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</si>
  <si>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</si>
  <si>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</si>
  <si>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</si>
  <si>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</si>
  <si>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</si>
  <si>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</si>
  <si>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</si>
  <si>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</si>
  <si>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</si>
  <si>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</si>
  <si>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</si>
  <si>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</si>
  <si>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</si>
  <si>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</si>
  <si>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</si>
  <si>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</si>
  <si>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</si>
  <si>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</si>
  <si>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</si>
  <si>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</si>
  <si>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</si>
  <si>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</si>
  <si>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</si>
  <si>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</si>
  <si>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</si>
  <si>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</si>
  <si>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</si>
  <si>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</si>
  <si>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</si>
  <si>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</si>
  <si>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</si>
  <si>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</si>
  <si>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</si>
  <si>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</si>
  <si>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</si>
  <si>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</si>
  <si>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</si>
  <si>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</si>
  <si>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</si>
  <si>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</si>
  <si>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</si>
  <si>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</si>
  <si>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</si>
  <si>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</si>
  <si>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</si>
  <si>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</si>
  <si>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</si>
  <si>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</si>
  <si>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</si>
  <si>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</si>
  <si>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</si>
  <si>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</si>
  <si>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</si>
  <si>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</si>
  <si>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</si>
  <si>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</si>
  <si>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</si>
  <si>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</si>
  <si>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</si>
  <si>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</si>
  <si>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</si>
  <si>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</si>
  <si>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</si>
  <si>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</si>
  <si>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</si>
  <si>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</si>
  <si>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</si>
  <si>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</si>
  <si>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</si>
  <si>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</si>
  <si>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</si>
  <si>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</si>
  <si>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</si>
  <si>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</si>
  <si>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</si>
  <si>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</si>
  <si>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</si>
  <si>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</si>
  <si>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</si>
  <si>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</si>
  <si>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</si>
  <si>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</si>
  <si>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</si>
  <si>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</si>
  <si>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</si>
  <si>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</si>
  <si>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</si>
  <si>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</si>
  <si>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</si>
  <si>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</si>
  <si>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</si>
  <si>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</si>
  <si>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</si>
  <si>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</si>
  <si>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</si>
  <si>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出让</t>
  </si>
  <si>
    <t>通路</t>
  </si>
  <si>
    <t>通讯</t>
  </si>
  <si>
    <t>通上水</t>
  </si>
  <si>
    <t>通下水</t>
  </si>
  <si>
    <t>燃气</t>
  </si>
  <si>
    <t>物业
类型</t>
  </si>
  <si>
    <t>财务房号</t>
    <phoneticPr fontId="3" type="noConversion"/>
  </si>
  <si>
    <t>建筑面积</t>
  </si>
  <si>
    <t>套内面积</t>
  </si>
  <si>
    <t>公摊</t>
  </si>
  <si>
    <t>公寓</t>
    <phoneticPr fontId="3" type="noConversion"/>
  </si>
  <si>
    <t>77#-101</t>
  </si>
  <si>
    <t>77#-102</t>
  </si>
  <si>
    <t>77#-103</t>
  </si>
  <si>
    <t>77#-104</t>
  </si>
  <si>
    <t>77#-105</t>
  </si>
  <si>
    <t>77#-106</t>
  </si>
  <si>
    <t>77#-107</t>
  </si>
  <si>
    <t>77#-108</t>
  </si>
  <si>
    <t>77#-109</t>
  </si>
  <si>
    <t>77#-110</t>
  </si>
  <si>
    <t>77#-111</t>
  </si>
  <si>
    <t>77#-112</t>
  </si>
  <si>
    <t>77#-113</t>
  </si>
  <si>
    <t>77#-114</t>
  </si>
  <si>
    <t>77#-115</t>
  </si>
  <si>
    <t>77#-116</t>
  </si>
  <si>
    <t>77#-117</t>
  </si>
  <si>
    <t>公寓</t>
    <phoneticPr fontId="3" type="noConversion"/>
  </si>
  <si>
    <t>77#-118</t>
  </si>
  <si>
    <t>77#-201</t>
  </si>
  <si>
    <t>77#-202</t>
  </si>
  <si>
    <t>77#-203</t>
  </si>
  <si>
    <t>77#-204</t>
  </si>
  <si>
    <t>77#-205</t>
  </si>
  <si>
    <t>77#-206</t>
  </si>
  <si>
    <t>77#-207</t>
  </si>
  <si>
    <t>77#-208</t>
  </si>
  <si>
    <t>77#-209</t>
  </si>
  <si>
    <t>77#-210</t>
  </si>
  <si>
    <t>77#-211</t>
  </si>
  <si>
    <t>77#-212</t>
  </si>
  <si>
    <t>77#-213</t>
  </si>
  <si>
    <t>77#-214</t>
  </si>
  <si>
    <t>77#-215</t>
  </si>
  <si>
    <t>77#-216</t>
  </si>
  <si>
    <t>77#-217</t>
  </si>
  <si>
    <t>77#-218</t>
  </si>
  <si>
    <t>77#-219</t>
  </si>
  <si>
    <t>77#-220</t>
  </si>
  <si>
    <t>77#-221</t>
  </si>
  <si>
    <t>77#-222</t>
  </si>
  <si>
    <t>77#-301</t>
  </si>
  <si>
    <t>77#-302</t>
  </si>
  <si>
    <t>77#-303</t>
  </si>
  <si>
    <t>77#-907</t>
  </si>
  <si>
    <t>77#-908</t>
  </si>
  <si>
    <t>77#-909</t>
  </si>
  <si>
    <t>77#-910</t>
  </si>
  <si>
    <t>77#-911</t>
  </si>
  <si>
    <t>77#-912</t>
  </si>
  <si>
    <t>77#-913</t>
  </si>
  <si>
    <t>77#-914</t>
  </si>
  <si>
    <t>77#-915</t>
  </si>
  <si>
    <t>77#-916</t>
  </si>
  <si>
    <t>77#-917</t>
  </si>
  <si>
    <t>77#-918</t>
  </si>
  <si>
    <t>77#-919</t>
  </si>
  <si>
    <t>77#-920</t>
  </si>
  <si>
    <t>77#-921</t>
  </si>
  <si>
    <t>77#-922</t>
  </si>
  <si>
    <t>77#-1001</t>
  </si>
  <si>
    <t>77#-1002</t>
  </si>
  <si>
    <t>77#-1003</t>
  </si>
  <si>
    <t>77#-1004</t>
  </si>
  <si>
    <t>77#-1005</t>
  </si>
  <si>
    <t>77#-1006</t>
  </si>
  <si>
    <t>77#-1007</t>
  </si>
  <si>
    <t>77#-1008</t>
  </si>
  <si>
    <t>77#-1009</t>
  </si>
  <si>
    <t>77#-1010</t>
  </si>
  <si>
    <t>77#-1011</t>
  </si>
  <si>
    <t>77#-1012</t>
  </si>
  <si>
    <t>77#-1013</t>
  </si>
  <si>
    <t>77#-1014</t>
  </si>
  <si>
    <t>77#-1015</t>
  </si>
  <si>
    <t>77#-1016</t>
  </si>
  <si>
    <t>77#-1017</t>
  </si>
  <si>
    <t>77#-1018</t>
  </si>
  <si>
    <t>77#-1019</t>
  </si>
  <si>
    <t>78#-101</t>
  </si>
  <si>
    <t>78#-102</t>
  </si>
  <si>
    <t>78#-103</t>
  </si>
  <si>
    <t>78#-104</t>
  </si>
  <si>
    <t>78#-105</t>
  </si>
  <si>
    <t>78#-106</t>
  </si>
  <si>
    <t>78#-107</t>
  </si>
  <si>
    <t>78#-108</t>
  </si>
  <si>
    <t>78#-109</t>
  </si>
  <si>
    <t>78#-110</t>
  </si>
  <si>
    <t>78#-111</t>
  </si>
  <si>
    <t>78#-113</t>
  </si>
  <si>
    <t>78#-114</t>
  </si>
  <si>
    <t>78#-115</t>
  </si>
  <si>
    <t>78#-116</t>
  </si>
  <si>
    <t>78#-117</t>
  </si>
  <si>
    <t>78#-118</t>
  </si>
  <si>
    <t>78#-201</t>
  </si>
  <si>
    <t>78#-202</t>
  </si>
  <si>
    <t>78#-203</t>
  </si>
  <si>
    <t>78#-204</t>
  </si>
  <si>
    <t>78#-206</t>
  </si>
  <si>
    <t>78#-207</t>
  </si>
  <si>
    <t>78#-208</t>
  </si>
  <si>
    <t>78#-209</t>
  </si>
  <si>
    <t>78#-210</t>
  </si>
  <si>
    <t>78#-211</t>
  </si>
  <si>
    <t>78#-212</t>
  </si>
  <si>
    <t>78#-213</t>
  </si>
  <si>
    <t>78#-214</t>
  </si>
  <si>
    <t>78#-215</t>
  </si>
  <si>
    <t>78#-216</t>
  </si>
  <si>
    <t>78#-217</t>
  </si>
  <si>
    <t>78#-218</t>
  </si>
  <si>
    <t>78#-219</t>
  </si>
  <si>
    <t>78#-220</t>
  </si>
  <si>
    <t>78#-221</t>
  </si>
  <si>
    <t>78#-222</t>
  </si>
  <si>
    <t>78#-301</t>
  </si>
  <si>
    <t>78#-302</t>
  </si>
  <si>
    <t>78#-303</t>
  </si>
  <si>
    <t>78#-304</t>
  </si>
  <si>
    <t>78#-305</t>
  </si>
  <si>
    <t>78#-306</t>
  </si>
  <si>
    <t>78#-307</t>
  </si>
  <si>
    <t>78#-308</t>
  </si>
  <si>
    <t>78#-309</t>
  </si>
  <si>
    <t>78#-310</t>
  </si>
  <si>
    <t>78#-311</t>
  </si>
  <si>
    <t>78#-312</t>
  </si>
  <si>
    <t>78#-313</t>
  </si>
  <si>
    <t>78#-314</t>
  </si>
  <si>
    <t>78#-315</t>
  </si>
  <si>
    <t>78#-316</t>
  </si>
  <si>
    <t>78#-317</t>
  </si>
  <si>
    <t>78#-318</t>
  </si>
  <si>
    <t>78#-319</t>
  </si>
  <si>
    <t>78#-320</t>
  </si>
  <si>
    <t>78#-321</t>
  </si>
  <si>
    <t>78#-322</t>
  </si>
  <si>
    <t>78#-401</t>
  </si>
  <si>
    <t>78#-402</t>
  </si>
  <si>
    <t>78#-403</t>
  </si>
  <si>
    <t>78#-404</t>
  </si>
  <si>
    <t>78#-405</t>
  </si>
  <si>
    <t>78#-406</t>
  </si>
  <si>
    <t>78#-407</t>
  </si>
  <si>
    <t>78#-408</t>
  </si>
  <si>
    <t>78#-409</t>
  </si>
  <si>
    <t>78#-410</t>
  </si>
  <si>
    <t>78#-411</t>
  </si>
  <si>
    <t>78#-412</t>
  </si>
  <si>
    <t>78#-413</t>
  </si>
  <si>
    <t>78#-414</t>
  </si>
  <si>
    <t>78#-415</t>
  </si>
  <si>
    <t>78#-416</t>
  </si>
  <si>
    <t>78#-417</t>
  </si>
  <si>
    <t>78#-418</t>
  </si>
  <si>
    <t>78#-419</t>
  </si>
  <si>
    <t>78#-420</t>
  </si>
  <si>
    <t>78#-421</t>
  </si>
  <si>
    <t>78#-422</t>
  </si>
  <si>
    <t>78#-502</t>
  </si>
  <si>
    <t>78#-504</t>
  </si>
  <si>
    <t>78#-505</t>
  </si>
  <si>
    <t>78#-510</t>
  </si>
  <si>
    <t>78#-511</t>
  </si>
  <si>
    <t>78#-512</t>
  </si>
  <si>
    <t>78#-513</t>
  </si>
  <si>
    <t>78#-514</t>
  </si>
  <si>
    <t>78#-515</t>
  </si>
  <si>
    <t>78#-516</t>
  </si>
  <si>
    <t>78#-517</t>
  </si>
  <si>
    <t>78#-520</t>
  </si>
  <si>
    <t>78#-521</t>
  </si>
  <si>
    <t>78#-522</t>
  </si>
  <si>
    <t>78#-605</t>
  </si>
  <si>
    <t>78#-610</t>
  </si>
  <si>
    <t>78#-611</t>
  </si>
  <si>
    <t>78#-612</t>
  </si>
  <si>
    <t>78#-613</t>
  </si>
  <si>
    <t>78#-614</t>
  </si>
  <si>
    <t>78#-615</t>
  </si>
  <si>
    <t>78#-616</t>
  </si>
  <si>
    <t>78#-617</t>
  </si>
  <si>
    <t>78#-618</t>
  </si>
  <si>
    <t>78#-619</t>
  </si>
  <si>
    <t>78#-620</t>
  </si>
  <si>
    <t>78#-621</t>
  </si>
  <si>
    <t>78#-622</t>
  </si>
  <si>
    <t>78#-704</t>
  </si>
  <si>
    <t>78#-705</t>
  </si>
  <si>
    <t>78#-710</t>
  </si>
  <si>
    <t>78#-711</t>
  </si>
  <si>
    <t>78#-712</t>
  </si>
  <si>
    <t>78#-713</t>
  </si>
  <si>
    <t>78#-714</t>
  </si>
  <si>
    <t>78#-715</t>
  </si>
  <si>
    <t>78#-716</t>
  </si>
  <si>
    <t>78#-717</t>
  </si>
  <si>
    <t>78#-718</t>
  </si>
  <si>
    <t>78#-720</t>
  </si>
  <si>
    <t>78#-721</t>
  </si>
  <si>
    <t>78#-722</t>
  </si>
  <si>
    <t>78#-805</t>
  </si>
  <si>
    <t>78#-810</t>
  </si>
  <si>
    <t>78#-811</t>
  </si>
  <si>
    <t>78#-812</t>
  </si>
  <si>
    <t>78#-813</t>
  </si>
  <si>
    <t>78#-814</t>
  </si>
  <si>
    <t>78#-815</t>
  </si>
  <si>
    <t>78#-816</t>
  </si>
  <si>
    <t>78#-817</t>
  </si>
  <si>
    <t>78#-818</t>
  </si>
  <si>
    <t>78#-820</t>
  </si>
  <si>
    <t>78#-821</t>
  </si>
  <si>
    <t>78#-905</t>
  </si>
  <si>
    <t>78#-910</t>
  </si>
  <si>
    <t>78#-911</t>
  </si>
  <si>
    <t>78#-912</t>
  </si>
  <si>
    <t>78#-913</t>
  </si>
  <si>
    <t>78#-914</t>
  </si>
  <si>
    <t>78#-915</t>
  </si>
  <si>
    <t>78#-916</t>
  </si>
  <si>
    <t>78#-917</t>
  </si>
  <si>
    <t>78#-918</t>
  </si>
  <si>
    <t>78#-919</t>
  </si>
  <si>
    <t>78#-921</t>
  </si>
  <si>
    <t>78#-922</t>
  </si>
  <si>
    <t>78#-1002</t>
    <phoneticPr fontId="3" type="noConversion"/>
  </si>
  <si>
    <t>78#-1005</t>
  </si>
  <si>
    <t>78#-1011</t>
  </si>
  <si>
    <t>78#-1012</t>
  </si>
  <si>
    <t>78#-1013</t>
  </si>
  <si>
    <t>78#-1014</t>
  </si>
  <si>
    <t>78#-1015</t>
  </si>
  <si>
    <t>78#-1016</t>
  </si>
  <si>
    <t>78#-1017</t>
  </si>
  <si>
    <t>78#-1018</t>
  </si>
  <si>
    <t>78#-1019</t>
  </si>
  <si>
    <t>78#-1020</t>
  </si>
  <si>
    <t>78#-1021</t>
  </si>
  <si>
    <t>78#-1105</t>
  </si>
  <si>
    <t>78#-1107</t>
  </si>
  <si>
    <t>78#-1111</t>
  </si>
  <si>
    <t>78#-1112</t>
  </si>
  <si>
    <t>78#-1113</t>
  </si>
  <si>
    <t>78#-1114</t>
  </si>
  <si>
    <t>78#-1115</t>
  </si>
  <si>
    <t>78#-1116</t>
  </si>
  <si>
    <t>78#-1117</t>
  </si>
  <si>
    <t>78#-1118</t>
  </si>
  <si>
    <t>78#-1119</t>
  </si>
  <si>
    <t>78#-1120</t>
  </si>
  <si>
    <t>78#-1121</t>
  </si>
  <si>
    <t>78#-1122</t>
  </si>
  <si>
    <t>78#-1204</t>
  </si>
  <si>
    <t>78#-1205</t>
  </si>
  <si>
    <t>78#-1206</t>
  </si>
  <si>
    <t>78#-1207</t>
  </si>
  <si>
    <t>78#-1208</t>
  </si>
  <si>
    <t>78#-1209</t>
  </si>
  <si>
    <t>78#-1210</t>
  </si>
  <si>
    <t>78#-1211</t>
  </si>
  <si>
    <t>78#-1212</t>
  </si>
  <si>
    <t>78#-1213</t>
  </si>
  <si>
    <t>78#-1214</t>
  </si>
  <si>
    <t>78#-1215</t>
  </si>
  <si>
    <t>78#-1216</t>
  </si>
  <si>
    <t>78#-1217</t>
  </si>
  <si>
    <t>78#-1218</t>
  </si>
  <si>
    <t>78#-1219</t>
  </si>
  <si>
    <t>78#-1220</t>
  </si>
  <si>
    <t>78#-1221</t>
  </si>
  <si>
    <t>78#-1222</t>
  </si>
  <si>
    <t>79#-101</t>
  </si>
  <si>
    <t>79#-102</t>
  </si>
  <si>
    <t>79#-103</t>
  </si>
  <si>
    <t>79#-104</t>
  </si>
  <si>
    <t>79#-105</t>
  </si>
  <si>
    <t>79#-106</t>
  </si>
  <si>
    <t>79#-107</t>
  </si>
  <si>
    <t>79#-108</t>
  </si>
  <si>
    <t>79#-109</t>
  </si>
  <si>
    <t>79#-110</t>
  </si>
  <si>
    <t>79#-111</t>
  </si>
  <si>
    <t>79#-112</t>
  </si>
  <si>
    <t>79#-113</t>
  </si>
  <si>
    <t>79#-114</t>
  </si>
  <si>
    <t>79#-115</t>
  </si>
  <si>
    <t>79#-116</t>
  </si>
  <si>
    <t>79#-117</t>
  </si>
  <si>
    <t>79#-118</t>
  </si>
  <si>
    <t>79#-201</t>
  </si>
  <si>
    <t>79#-202</t>
  </si>
  <si>
    <t>79#-203</t>
  </si>
  <si>
    <t>79#-204</t>
  </si>
  <si>
    <t>79#-205</t>
  </si>
  <si>
    <t>79#-206</t>
  </si>
  <si>
    <t>79#-207</t>
  </si>
  <si>
    <t>79#-208</t>
  </si>
  <si>
    <t>79#-209</t>
  </si>
  <si>
    <t>79#-210</t>
  </si>
  <si>
    <t>79#-211</t>
  </si>
  <si>
    <t>79#-212</t>
  </si>
  <si>
    <t>79#-213</t>
  </si>
  <si>
    <t>79#-214</t>
  </si>
  <si>
    <t>79#-215</t>
  </si>
  <si>
    <t>79#-216</t>
  </si>
  <si>
    <t>79#-217</t>
  </si>
  <si>
    <t>79#-218</t>
  </si>
  <si>
    <t>79#-219</t>
  </si>
  <si>
    <t>79#-220</t>
  </si>
  <si>
    <t>79#-221</t>
  </si>
  <si>
    <t>79#-222</t>
  </si>
  <si>
    <t>79#-301</t>
  </si>
  <si>
    <t>79#-302</t>
  </si>
  <si>
    <t>79#-303</t>
  </si>
  <si>
    <t>79#-304</t>
  </si>
  <si>
    <t>79#-305</t>
  </si>
  <si>
    <t>79#-306</t>
  </si>
  <si>
    <t>79#-307</t>
  </si>
  <si>
    <t>79#-308</t>
  </si>
  <si>
    <t>79#-309</t>
  </si>
  <si>
    <t>79#-310</t>
  </si>
  <si>
    <t>79#-311</t>
  </si>
  <si>
    <t>79#-312</t>
  </si>
  <si>
    <t>79#-313</t>
  </si>
  <si>
    <t>79#-314</t>
  </si>
  <si>
    <t>79#-315</t>
  </si>
  <si>
    <t>79#-316</t>
  </si>
  <si>
    <t>79#-317</t>
  </si>
  <si>
    <t>79#-318</t>
  </si>
  <si>
    <t>79#-319</t>
  </si>
  <si>
    <t>79#-320</t>
  </si>
  <si>
    <t>79#-321</t>
  </si>
  <si>
    <t>79#-322</t>
  </si>
  <si>
    <t>79#-401</t>
  </si>
  <si>
    <t>79#-403</t>
  </si>
  <si>
    <t>79#-404</t>
  </si>
  <si>
    <t>79#-405</t>
  </si>
  <si>
    <t>79#-406</t>
  </si>
  <si>
    <t>79#-407</t>
  </si>
  <si>
    <t>79#-408</t>
  </si>
  <si>
    <t>79#-409</t>
  </si>
  <si>
    <t>79#-410</t>
  </si>
  <si>
    <t>79#-411</t>
  </si>
  <si>
    <t>79#-412</t>
  </si>
  <si>
    <t>79#-413</t>
  </si>
  <si>
    <t>79#-414</t>
  </si>
  <si>
    <t>79#-415</t>
  </si>
  <si>
    <t>79#-416</t>
  </si>
  <si>
    <t>79#-417</t>
  </si>
  <si>
    <t>79#-418</t>
  </si>
  <si>
    <t>79#-419</t>
  </si>
  <si>
    <t>79#-420</t>
  </si>
  <si>
    <t>79#-421</t>
  </si>
  <si>
    <t>79#-422</t>
  </si>
  <si>
    <t>79#-502</t>
  </si>
  <si>
    <t>79#-503</t>
  </si>
  <si>
    <t>79#-504</t>
  </si>
  <si>
    <t>79#-505</t>
  </si>
  <si>
    <t>79#-506</t>
  </si>
  <si>
    <t>79#-507</t>
  </si>
  <si>
    <t>79#-508</t>
  </si>
  <si>
    <t>79#-509</t>
  </si>
  <si>
    <t>79#-510</t>
  </si>
  <si>
    <t>79#-511</t>
  </si>
  <si>
    <t>79#-512</t>
  </si>
  <si>
    <t>79#-513</t>
  </si>
  <si>
    <t>79#-514</t>
  </si>
  <si>
    <t>79#-515</t>
  </si>
  <si>
    <t>79#-516</t>
  </si>
  <si>
    <t>79#-517</t>
  </si>
  <si>
    <t>79#-518</t>
  </si>
  <si>
    <t>79#-519</t>
  </si>
  <si>
    <t>79#-520</t>
  </si>
  <si>
    <t>79#-521</t>
  </si>
  <si>
    <t>79#-522</t>
  </si>
  <si>
    <t>79#-603</t>
  </si>
  <si>
    <t>79#-604</t>
  </si>
  <si>
    <t>79#-605</t>
  </si>
  <si>
    <t>79#-606</t>
    <phoneticPr fontId="3" type="noConversion"/>
  </si>
  <si>
    <t>79#-608</t>
  </si>
  <si>
    <t>79#-610</t>
  </si>
  <si>
    <t>79#-611</t>
  </si>
  <si>
    <t>79#-612</t>
  </si>
  <si>
    <t>79#-613</t>
  </si>
  <si>
    <t>79#-614</t>
  </si>
  <si>
    <t>79#-615</t>
  </si>
  <si>
    <t>79#-616</t>
  </si>
  <si>
    <t>79#-617</t>
  </si>
  <si>
    <t>79#-618</t>
  </si>
  <si>
    <t>79#-619</t>
  </si>
  <si>
    <t>79#-620</t>
  </si>
  <si>
    <t>79#-621</t>
  </si>
  <si>
    <t>79#-622</t>
  </si>
  <si>
    <t>79#-703</t>
  </si>
  <si>
    <t>79#-704</t>
  </si>
  <si>
    <t>79#-705</t>
  </si>
  <si>
    <t>79#-706</t>
  </si>
  <si>
    <t>79#-707</t>
  </si>
  <si>
    <t>79#-708</t>
  </si>
  <si>
    <t>79#-710</t>
  </si>
  <si>
    <t>79#-711</t>
  </si>
  <si>
    <t>79#-712</t>
  </si>
  <si>
    <t>79#-713</t>
  </si>
  <si>
    <t>79#-714</t>
  </si>
  <si>
    <t>79#-715</t>
  </si>
  <si>
    <t>79#-716</t>
  </si>
  <si>
    <t>79#-717</t>
  </si>
  <si>
    <t>79#-718</t>
  </si>
  <si>
    <t>79#-719</t>
  </si>
  <si>
    <t>79#-720</t>
  </si>
  <si>
    <t>79#-721</t>
  </si>
  <si>
    <t>79#-722</t>
  </si>
  <si>
    <t>79#-803</t>
  </si>
  <si>
    <t>79#-804</t>
  </si>
  <si>
    <t>79#-805</t>
  </si>
  <si>
    <t>79#-806</t>
  </si>
  <si>
    <t>79#-807</t>
  </si>
  <si>
    <t>79#-808</t>
  </si>
  <si>
    <t>79#-810</t>
  </si>
  <si>
    <t>79#-811</t>
  </si>
  <si>
    <t>79#-812</t>
  </si>
  <si>
    <t>79#-813</t>
  </si>
  <si>
    <t>79#-814</t>
  </si>
  <si>
    <t>79#-815</t>
  </si>
  <si>
    <t>79#-816</t>
  </si>
  <si>
    <t>79#-817</t>
  </si>
  <si>
    <t>79#-818</t>
  </si>
  <si>
    <t>79#-819</t>
  </si>
  <si>
    <t>79#-820</t>
  </si>
  <si>
    <t>79#-821</t>
  </si>
  <si>
    <t>79#-822</t>
  </si>
  <si>
    <t>79#-901</t>
  </si>
  <si>
    <t>79#-902</t>
  </si>
  <si>
    <t>79#-903</t>
    <phoneticPr fontId="3" type="noConversion"/>
  </si>
  <si>
    <t>79#-904</t>
  </si>
  <si>
    <t>79#-905</t>
  </si>
  <si>
    <t>79#-906</t>
  </si>
  <si>
    <t>79#-907</t>
  </si>
  <si>
    <t>79#-908</t>
  </si>
  <si>
    <t>79#-909</t>
  </si>
  <si>
    <t>79#-910</t>
  </si>
  <si>
    <t>79#-911</t>
  </si>
  <si>
    <t>79#-912</t>
  </si>
  <si>
    <t>79#-913</t>
  </si>
  <si>
    <t>79#-914</t>
  </si>
  <si>
    <t>79#-915</t>
  </si>
  <si>
    <t>79#-916</t>
  </si>
  <si>
    <t>79#-917</t>
  </si>
  <si>
    <t>79#-918</t>
  </si>
  <si>
    <t>79#-919</t>
  </si>
  <si>
    <t>79#-920</t>
  </si>
  <si>
    <t>79#-921</t>
  </si>
  <si>
    <t>79#-922</t>
  </si>
  <si>
    <t>80#-101</t>
  </si>
  <si>
    <t>80#-102</t>
  </si>
  <si>
    <t>80#-103</t>
  </si>
  <si>
    <t>80#-104</t>
  </si>
  <si>
    <t>80#-105</t>
  </si>
  <si>
    <t>80#-106</t>
  </si>
  <si>
    <t>80#-107</t>
  </si>
  <si>
    <t>80#-108</t>
  </si>
  <si>
    <t>80#-109</t>
  </si>
  <si>
    <t>80#-110</t>
  </si>
  <si>
    <t>80#-111</t>
  </si>
  <si>
    <t>80#-112</t>
  </si>
  <si>
    <t>80#-113</t>
  </si>
  <si>
    <t>80#-114</t>
  </si>
  <si>
    <t>80#-115</t>
  </si>
  <si>
    <t>80#-116</t>
  </si>
  <si>
    <t>80#-117</t>
  </si>
  <si>
    <t>80#-118</t>
  </si>
  <si>
    <t>80#-119</t>
  </si>
  <si>
    <t>80#-201</t>
  </si>
  <si>
    <t>80#-202</t>
  </si>
  <si>
    <t>80#-203</t>
  </si>
  <si>
    <t>80#-204</t>
  </si>
  <si>
    <t>80#-205</t>
  </si>
  <si>
    <t>80#-206</t>
  </si>
  <si>
    <t>80#-207</t>
  </si>
  <si>
    <t>80#-208</t>
  </si>
  <si>
    <t>80#-209</t>
  </si>
  <si>
    <t>80#-210</t>
  </si>
  <si>
    <t>80#-211</t>
  </si>
  <si>
    <t>80#-212</t>
  </si>
  <si>
    <t>80#-213</t>
  </si>
  <si>
    <t>80#-214</t>
  </si>
  <si>
    <t>80#-215</t>
  </si>
  <si>
    <t>80#-216</t>
  </si>
  <si>
    <t>80#-217</t>
  </si>
  <si>
    <t>80#-218</t>
  </si>
  <si>
    <t>80#-219</t>
  </si>
  <si>
    <t>80#-220</t>
  </si>
  <si>
    <t>80#-221</t>
  </si>
  <si>
    <t>80#-222</t>
  </si>
  <si>
    <t>80#-301</t>
  </si>
  <si>
    <t>80#-302</t>
  </si>
  <si>
    <t>80#-303</t>
  </si>
  <si>
    <t>80#-304</t>
  </si>
  <si>
    <t>80#-305</t>
  </si>
  <si>
    <t>80#-306</t>
  </si>
  <si>
    <t>80#-307</t>
  </si>
  <si>
    <t>80#-308</t>
  </si>
  <si>
    <t>80#-309</t>
  </si>
  <si>
    <t>80#-310</t>
  </si>
  <si>
    <t>80#-311</t>
  </si>
  <si>
    <t>80#-312</t>
  </si>
  <si>
    <t>80#-313</t>
  </si>
  <si>
    <t>80#-314</t>
  </si>
  <si>
    <t>80#-315</t>
  </si>
  <si>
    <t>80#-316</t>
  </si>
  <si>
    <t>80#-317</t>
  </si>
  <si>
    <t>80#-318</t>
  </si>
  <si>
    <t>80#-319</t>
  </si>
  <si>
    <t>80#-320</t>
  </si>
  <si>
    <t>80#-321</t>
  </si>
  <si>
    <t>80#-322</t>
  </si>
  <si>
    <t>80#-401</t>
  </si>
  <si>
    <t>80#-402</t>
  </si>
  <si>
    <t>80#-403</t>
  </si>
  <si>
    <t>80#-404</t>
  </si>
  <si>
    <t>80#-405</t>
  </si>
  <si>
    <t>80#-406</t>
  </si>
  <si>
    <t>80#-407</t>
  </si>
  <si>
    <t>80#-408</t>
  </si>
  <si>
    <t>80#-409</t>
  </si>
  <si>
    <t>80#-410</t>
  </si>
  <si>
    <t>80#-411</t>
  </si>
  <si>
    <t>80#-412</t>
  </si>
  <si>
    <t>80#-413</t>
  </si>
  <si>
    <t>80#-414</t>
  </si>
  <si>
    <t>80#-415</t>
  </si>
  <si>
    <t>80#-416</t>
  </si>
  <si>
    <t>80#-417</t>
  </si>
  <si>
    <t>80#-418</t>
  </si>
  <si>
    <t>80#-419</t>
  </si>
  <si>
    <t>80#-420</t>
  </si>
  <si>
    <t>80#-421</t>
  </si>
  <si>
    <t>80#-422</t>
  </si>
  <si>
    <t>80#-501</t>
  </si>
  <si>
    <t>80#-502</t>
  </si>
  <si>
    <t>80#-503</t>
  </si>
  <si>
    <t>80#-504</t>
  </si>
  <si>
    <t>80#-505</t>
  </si>
  <si>
    <t>80#-506</t>
  </si>
  <si>
    <t>80#-507</t>
  </si>
  <si>
    <t>80#-508</t>
  </si>
  <si>
    <t>80#-509</t>
  </si>
  <si>
    <t>80#-510</t>
  </si>
  <si>
    <t>80#-511</t>
  </si>
  <si>
    <t>80#-512</t>
  </si>
  <si>
    <t>80#-513</t>
  </si>
  <si>
    <t>80#-514</t>
  </si>
  <si>
    <t>80#-515</t>
  </si>
  <si>
    <t>80#-516</t>
  </si>
  <si>
    <t>80#-517</t>
  </si>
  <si>
    <t>80#-518</t>
  </si>
  <si>
    <t>80#-519</t>
  </si>
  <si>
    <t>80#-520</t>
  </si>
  <si>
    <t>80#-521</t>
  </si>
  <si>
    <t>80#-522</t>
  </si>
  <si>
    <t>80#-601</t>
  </si>
  <si>
    <t>80#-602</t>
  </si>
  <si>
    <t>80#-603</t>
  </si>
  <si>
    <t>80#-604</t>
  </si>
  <si>
    <t>80#-605</t>
  </si>
  <si>
    <t>80#-606</t>
  </si>
  <si>
    <t>80#-607</t>
  </si>
  <si>
    <t>80#-608</t>
  </si>
  <si>
    <t>80#-609</t>
  </si>
  <si>
    <t>80#-610</t>
  </si>
  <si>
    <t>80#-611</t>
  </si>
  <si>
    <t>80#-612</t>
  </si>
  <si>
    <t>80#-613</t>
  </si>
  <si>
    <t>80#-614</t>
  </si>
  <si>
    <t>80#-615</t>
  </si>
  <si>
    <t>80#-616</t>
  </si>
  <si>
    <t>80#-617</t>
  </si>
  <si>
    <t>80#-618</t>
  </si>
  <si>
    <t>80#-619</t>
  </si>
  <si>
    <t>80#-620</t>
  </si>
  <si>
    <t>80#-621</t>
  </si>
  <si>
    <t>80#-622</t>
  </si>
  <si>
    <t>80#-701</t>
  </si>
  <si>
    <t>80#-702</t>
  </si>
  <si>
    <t>80#-703</t>
  </si>
  <si>
    <t>80#-704</t>
  </si>
  <si>
    <t>80#-705</t>
  </si>
  <si>
    <t>80#-706</t>
  </si>
  <si>
    <t>80#-707</t>
  </si>
  <si>
    <t>80#-708</t>
  </si>
  <si>
    <t>80#-709</t>
  </si>
  <si>
    <t>80#-710</t>
  </si>
  <si>
    <t>80#-711</t>
  </si>
  <si>
    <t>80#-712</t>
  </si>
  <si>
    <t>80#-713</t>
  </si>
  <si>
    <t>80#-714</t>
  </si>
  <si>
    <t>80#-715</t>
  </si>
  <si>
    <t>80#-716</t>
  </si>
  <si>
    <t>80#-717</t>
  </si>
  <si>
    <t>80#-718</t>
  </si>
  <si>
    <t>80#-719</t>
  </si>
  <si>
    <t>80#-720</t>
  </si>
  <si>
    <t>80#-721</t>
  </si>
  <si>
    <t>80#-722</t>
  </si>
  <si>
    <t>80#-801</t>
  </si>
  <si>
    <t>80#-802</t>
  </si>
  <si>
    <t>80#-803</t>
  </si>
  <si>
    <t>80#-804</t>
  </si>
  <si>
    <t>80#-805</t>
  </si>
  <si>
    <t>80#-806</t>
  </si>
  <si>
    <t>80#-807</t>
  </si>
  <si>
    <t>80#-808</t>
  </si>
  <si>
    <t>80#-809</t>
  </si>
  <si>
    <t>80#-810</t>
  </si>
  <si>
    <t>80#-811</t>
  </si>
  <si>
    <t>80#-812</t>
  </si>
  <si>
    <t>80#-813</t>
  </si>
  <si>
    <t>80#-814</t>
  </si>
  <si>
    <t>80#-815</t>
  </si>
  <si>
    <t>80#-816</t>
  </si>
  <si>
    <t>80#-817</t>
  </si>
  <si>
    <t>80#-818</t>
  </si>
  <si>
    <t>80#-819</t>
  </si>
  <si>
    <t>80#-820</t>
  </si>
  <si>
    <t>80#-821</t>
  </si>
  <si>
    <t>80#-822</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</si>
  <si>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</si>
  <si>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</si>
  <si>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</si>
  <si>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</si>
  <si>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</si>
  <si>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</si>
  <si>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</si>
  <si>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</si>
  <si>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</si>
  <si>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</si>
  <si>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</si>
  <si>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</si>
  <si>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</si>
  <si>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</si>
  <si>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</si>
  <si>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</si>
  <si>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</si>
  <si>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</si>
  <si>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</si>
  <si>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</si>
  <si>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</si>
  <si>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80#-1002</t>
  </si>
  <si>
    <t>80#-1003</t>
  </si>
  <si>
    <t>80#-1004</t>
  </si>
  <si>
    <t>80#-1005</t>
  </si>
  <si>
    <t>80#-1006</t>
  </si>
  <si>
    <t>80#-1007</t>
  </si>
  <si>
    <t>80#-1008</t>
  </si>
  <si>
    <t>80#-1010</t>
  </si>
  <si>
    <t>80#-1011</t>
  </si>
  <si>
    <t>80#-1012</t>
  </si>
  <si>
    <t>80#-1013</t>
  </si>
  <si>
    <t>80#-1014</t>
  </si>
  <si>
    <t>80#-1015</t>
  </si>
  <si>
    <t>80#-1016</t>
  </si>
  <si>
    <t>80#-1017</t>
  </si>
  <si>
    <t>80#-1018</t>
  </si>
  <si>
    <t>80#-1019</t>
  </si>
  <si>
    <t>80#-1020</t>
  </si>
  <si>
    <t>80#-1021</t>
  </si>
  <si>
    <t>80#-1022</t>
  </si>
  <si>
    <t>80#-1102</t>
  </si>
  <si>
    <t>80#-1103</t>
  </si>
  <si>
    <t>80#-1104</t>
  </si>
  <si>
    <t>80#-1105</t>
  </si>
  <si>
    <t>80#-1106</t>
  </si>
  <si>
    <t>80#-1107</t>
  </si>
  <si>
    <t>80#-1108</t>
  </si>
  <si>
    <t>80#-1109</t>
  </si>
  <si>
    <t>80#-1110</t>
  </si>
  <si>
    <t>80#-1111</t>
  </si>
  <si>
    <t>80#-1112</t>
  </si>
  <si>
    <t>80#-1113</t>
  </si>
  <si>
    <t>80#-1114</t>
  </si>
  <si>
    <t>80#-1115</t>
  </si>
  <si>
    <t>80#-1116</t>
  </si>
  <si>
    <t>80#-1117</t>
  </si>
  <si>
    <t>80#-1118</t>
  </si>
  <si>
    <t>80#-1119</t>
  </si>
  <si>
    <t>80#-1120</t>
  </si>
  <si>
    <t>80#-1121</t>
  </si>
  <si>
    <t>80#-1122</t>
  </si>
  <si>
    <t>80#-1201</t>
  </si>
  <si>
    <t>80#-1202</t>
  </si>
  <si>
    <t>80#-1203</t>
  </si>
  <si>
    <t>80#-1204</t>
  </si>
  <si>
    <t>80#-1205</t>
  </si>
  <si>
    <t>80#-1206</t>
  </si>
  <si>
    <t>80#-1207</t>
  </si>
  <si>
    <t>80#-1208</t>
  </si>
  <si>
    <t>80#-1209</t>
  </si>
  <si>
    <t>80#-1210</t>
  </si>
  <si>
    <t>80#-1211</t>
  </si>
  <si>
    <t>80#-1212</t>
  </si>
  <si>
    <t>80#-1213</t>
  </si>
  <si>
    <t>80#-1214</t>
  </si>
  <si>
    <t>80#-1215</t>
  </si>
  <si>
    <t>80#-1216</t>
  </si>
  <si>
    <t>80#-1217</t>
  </si>
  <si>
    <t>80#-1218</t>
  </si>
  <si>
    <t>80#-1219</t>
  </si>
  <si>
    <t>80#-1220</t>
  </si>
  <si>
    <t>80#-1221</t>
  </si>
  <si>
    <t>80#-1222</t>
  </si>
  <si>
    <t>81#-209</t>
  </si>
  <si>
    <t>81#-210</t>
  </si>
  <si>
    <t>81#-211</t>
  </si>
  <si>
    <t>81#-212</t>
  </si>
  <si>
    <t>81#-213</t>
  </si>
  <si>
    <t>81#-214</t>
  </si>
  <si>
    <t>81#-215</t>
  </si>
  <si>
    <t>81#-216</t>
  </si>
  <si>
    <t>81#-217</t>
  </si>
  <si>
    <t>81#-218</t>
  </si>
  <si>
    <t>81#-219</t>
  </si>
  <si>
    <t>81#-220</t>
  </si>
  <si>
    <t>81#-221</t>
  </si>
  <si>
    <t>81#-222</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</si>
  <si>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</si>
  <si>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</si>
  <si>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</si>
  <si>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</si>
  <si>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</si>
  <si>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</si>
  <si>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</si>
  <si>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</si>
  <si>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</si>
  <si>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</si>
  <si>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</si>
  <si>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</si>
  <si>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</si>
  <si>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</si>
  <si>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</si>
  <si>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</si>
  <si>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</si>
  <si>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</si>
  <si>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</si>
  <si>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</si>
  <si>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</si>
  <si>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</si>
  <si>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81#-401</t>
  </si>
  <si>
    <t>81#-402</t>
  </si>
  <si>
    <t>81#-403</t>
  </si>
  <si>
    <t>81#-404</t>
  </si>
  <si>
    <t>81#-405</t>
  </si>
  <si>
    <t>81#-419</t>
  </si>
  <si>
    <t>81#-420</t>
  </si>
  <si>
    <t>81#-421</t>
  </si>
  <si>
    <t>81#-422</t>
  </si>
  <si>
    <t>81#-501</t>
  </si>
  <si>
    <t>81#-502</t>
  </si>
  <si>
    <t>81#-503</t>
  </si>
  <si>
    <t>81#-504</t>
  </si>
  <si>
    <t>81#-505</t>
  </si>
  <si>
    <t>81#-506</t>
  </si>
  <si>
    <t>81#-507</t>
  </si>
  <si>
    <t>81#-508</t>
  </si>
  <si>
    <t>81#-509</t>
  </si>
  <si>
    <t>81#-510</t>
  </si>
  <si>
    <t>81#-511</t>
  </si>
  <si>
    <t>81#-512</t>
  </si>
  <si>
    <t>81#-513</t>
  </si>
  <si>
    <t>81#-514</t>
  </si>
  <si>
    <t>81#-515</t>
  </si>
  <si>
    <t>81#-516</t>
  </si>
  <si>
    <t>81#-517</t>
  </si>
  <si>
    <t>81#-518</t>
  </si>
  <si>
    <t>81#-519</t>
  </si>
  <si>
    <t>81#-520</t>
  </si>
  <si>
    <t>81#-521</t>
  </si>
  <si>
    <t>81#-522</t>
  </si>
  <si>
    <t>81#-601</t>
  </si>
  <si>
    <t>81#-706</t>
  </si>
  <si>
    <t>81#-707</t>
  </si>
  <si>
    <t>81#-708</t>
    <phoneticPr fontId="3" type="noConversion"/>
  </si>
  <si>
    <t>81#-709</t>
  </si>
  <si>
    <t>81#-710</t>
  </si>
  <si>
    <t>81#-711</t>
  </si>
  <si>
    <t>81#-712</t>
  </si>
  <si>
    <t>81#-713</t>
  </si>
  <si>
    <t>81#-714</t>
  </si>
  <si>
    <t>81#-715</t>
  </si>
  <si>
    <t>81#-716</t>
  </si>
  <si>
    <t>81#-717</t>
  </si>
  <si>
    <t>81#-718</t>
  </si>
  <si>
    <t>81#-719</t>
  </si>
  <si>
    <t>81#-720</t>
  </si>
  <si>
    <t>81#-721</t>
  </si>
  <si>
    <t>81#-722</t>
  </si>
  <si>
    <t>81#-801</t>
  </si>
  <si>
    <t>81#-802</t>
  </si>
  <si>
    <t>81#-803</t>
  </si>
  <si>
    <t>81#-804</t>
  </si>
  <si>
    <t>81#-805</t>
  </si>
  <si>
    <t>81#-806</t>
  </si>
  <si>
    <t>81#-807</t>
  </si>
  <si>
    <t>81#-808</t>
  </si>
  <si>
    <t>81#-809</t>
  </si>
  <si>
    <t>81#-810</t>
  </si>
  <si>
    <t>81#-811</t>
  </si>
  <si>
    <t>81#-812</t>
  </si>
  <si>
    <t>81#-813</t>
  </si>
  <si>
    <t>81#-814</t>
  </si>
  <si>
    <t>81#-815</t>
  </si>
  <si>
    <t>81#-816</t>
  </si>
  <si>
    <t>81#-817</t>
  </si>
  <si>
    <t>81#-818</t>
  </si>
  <si>
    <t>81#-819</t>
  </si>
  <si>
    <t>81#-820</t>
  </si>
  <si>
    <t>81#-821</t>
  </si>
  <si>
    <t>81#-822</t>
  </si>
  <si>
    <t>81#-901</t>
  </si>
  <si>
    <t>合院</t>
    <phoneticPr fontId="3" type="noConversion"/>
  </si>
  <si>
    <t>48#-101</t>
  </si>
  <si>
    <t>48#-102</t>
  </si>
  <si>
    <t>48#-103</t>
  </si>
  <si>
    <t>48#-104</t>
  </si>
  <si>
    <t>48#-105</t>
  </si>
  <si>
    <t>48#-106</t>
  </si>
  <si>
    <t>48#-107</t>
  </si>
  <si>
    <t>48#-108</t>
  </si>
  <si>
    <t>48#-109</t>
  </si>
  <si>
    <t>48#-110</t>
  </si>
  <si>
    <t>48#-111</t>
  </si>
  <si>
    <t>48#-112</t>
  </si>
  <si>
    <t>49#-101</t>
  </si>
  <si>
    <t>49#-102</t>
  </si>
  <si>
    <t>49#-103</t>
  </si>
  <si>
    <t>49#-104</t>
  </si>
  <si>
    <t>49#-105</t>
  </si>
  <si>
    <t>49#-106</t>
  </si>
  <si>
    <t>49#-107</t>
  </si>
  <si>
    <t>49#-108</t>
  </si>
  <si>
    <t>49#-109</t>
  </si>
  <si>
    <t>49#-110</t>
  </si>
  <si>
    <t>49#-111</t>
  </si>
  <si>
    <t>49#-112</t>
  </si>
  <si>
    <t>50#-101</t>
  </si>
  <si>
    <t>50#-102</t>
  </si>
  <si>
    <t>50#-103</t>
  </si>
  <si>
    <t>50#-104</t>
  </si>
  <si>
    <t>50#-105</t>
  </si>
  <si>
    <t>50#-106</t>
  </si>
  <si>
    <t>50#-107</t>
  </si>
  <si>
    <t>50#-108</t>
  </si>
  <si>
    <t>50#-109</t>
  </si>
  <si>
    <t>50#-110</t>
  </si>
  <si>
    <t>50#-111</t>
  </si>
  <si>
    <t>50#-112</t>
  </si>
  <si>
    <t>58#-101</t>
  </si>
  <si>
    <t>58#-102</t>
  </si>
  <si>
    <t>58#-103</t>
  </si>
  <si>
    <t>58#-104</t>
  </si>
  <si>
    <t>58#-105</t>
  </si>
  <si>
    <t>58#-106</t>
  </si>
  <si>
    <t>58#-107</t>
  </si>
  <si>
    <t>58#-108</t>
  </si>
  <si>
    <t>58#-109</t>
  </si>
  <si>
    <t>58#-110</t>
  </si>
  <si>
    <t>58#-112</t>
  </si>
  <si>
    <t>59#-102</t>
  </si>
  <si>
    <t>59#-103</t>
  </si>
  <si>
    <t>59#-104</t>
  </si>
  <si>
    <t>59#-105</t>
  </si>
  <si>
    <t>59#-106</t>
  </si>
  <si>
    <t>59#-107</t>
  </si>
  <si>
    <t>59#-108</t>
  </si>
  <si>
    <t>59#-109</t>
  </si>
  <si>
    <t>59#-110</t>
  </si>
  <si>
    <t>59#-112</t>
  </si>
  <si>
    <t>60#-101</t>
  </si>
  <si>
    <t>60#-102</t>
  </si>
  <si>
    <t>60#-103</t>
  </si>
  <si>
    <t>60#-104</t>
  </si>
  <si>
    <t>60#-105</t>
  </si>
  <si>
    <t>60#-106</t>
  </si>
  <si>
    <t>60#-107</t>
  </si>
  <si>
    <t>60#-108</t>
  </si>
  <si>
    <t>60#-109</t>
  </si>
  <si>
    <t>60#-110</t>
  </si>
  <si>
    <t>60#-111</t>
  </si>
  <si>
    <t>60#-112</t>
  </si>
  <si>
    <t>61#-101</t>
  </si>
  <si>
    <t>61#-102</t>
  </si>
  <si>
    <t>61#-103</t>
  </si>
  <si>
    <t>61#-104</t>
  </si>
  <si>
    <t>61#-105</t>
  </si>
  <si>
    <t>61#-106</t>
  </si>
  <si>
    <t>61#-107</t>
  </si>
  <si>
    <t>61#-108</t>
  </si>
  <si>
    <t>61#-109</t>
  </si>
  <si>
    <t>61#-110</t>
  </si>
  <si>
    <t>61#-111</t>
  </si>
  <si>
    <t>61#-112</t>
  </si>
  <si>
    <t>68#-101</t>
  </si>
  <si>
    <t>68#-102</t>
  </si>
  <si>
    <t>68#-103</t>
  </si>
  <si>
    <t>68#-104</t>
  </si>
  <si>
    <t>68#-105</t>
  </si>
  <si>
    <t>68#-106</t>
  </si>
  <si>
    <t>68#-107</t>
  </si>
  <si>
    <t>68#-108</t>
  </si>
  <si>
    <t>68#-109</t>
  </si>
  <si>
    <t>68#-110</t>
  </si>
  <si>
    <t>68#-111</t>
  </si>
  <si>
    <t>68#-112</t>
  </si>
  <si>
    <t>69#-101</t>
  </si>
  <si>
    <t>69#-102</t>
  </si>
  <si>
    <t>69#-103</t>
  </si>
  <si>
    <t>69#-104</t>
  </si>
  <si>
    <t>69#-105</t>
  </si>
  <si>
    <t>69#-106</t>
  </si>
  <si>
    <t>69#-107</t>
  </si>
  <si>
    <t>69#-108</t>
  </si>
  <si>
    <t>69#-109</t>
  </si>
  <si>
    <t>69#-110</t>
  </si>
  <si>
    <t>69#-111</t>
  </si>
  <si>
    <t>69#-112</t>
  </si>
  <si>
    <t>70#-101</t>
  </si>
  <si>
    <t>70#-102</t>
  </si>
  <si>
    <t>70#-103</t>
  </si>
  <si>
    <t>70#-104</t>
  </si>
  <si>
    <t>70#-105</t>
  </si>
  <si>
    <t>70#-106</t>
  </si>
  <si>
    <t>70#-107</t>
  </si>
  <si>
    <t>70#-108</t>
  </si>
  <si>
    <t>70#-109</t>
  </si>
  <si>
    <t>70#-110</t>
  </si>
  <si>
    <t>70#-112</t>
  </si>
  <si>
    <t>71#-101</t>
  </si>
  <si>
    <t>71#-102</t>
  </si>
  <si>
    <t>71#-103</t>
  </si>
  <si>
    <t>71#-104</t>
  </si>
  <si>
    <t>71#-105</t>
  </si>
  <si>
    <t>71#-106</t>
  </si>
  <si>
    <t>71#-107</t>
  </si>
  <si>
    <t>71#-108</t>
  </si>
  <si>
    <t>71#-109</t>
  </si>
  <si>
    <t>71#-110</t>
  </si>
  <si>
    <t>71#-111</t>
  </si>
  <si>
    <t>71#-112</t>
  </si>
  <si>
    <t>72#-101</t>
  </si>
  <si>
    <t>72#-102</t>
  </si>
  <si>
    <t>72#-103</t>
  </si>
  <si>
    <t>72#-104</t>
  </si>
  <si>
    <t>72#-105</t>
  </si>
  <si>
    <t>72#-106</t>
  </si>
  <si>
    <t>72#-107</t>
  </si>
  <si>
    <t>72#-108</t>
  </si>
  <si>
    <t>72#-109</t>
  </si>
  <si>
    <t>72#-110</t>
  </si>
  <si>
    <t>72#-111</t>
  </si>
  <si>
    <t>72#-112</t>
  </si>
  <si>
    <r>
      <t>LOFT</t>
    </r>
    <r>
      <rPr>
        <sz val="10"/>
        <color indexed="8"/>
        <rFont val="宋体"/>
        <family val="3"/>
        <charset val="134"/>
      </rPr>
      <t>公寓</t>
    </r>
    <phoneticPr fontId="3" type="noConversion"/>
  </si>
  <si>
    <t>是</t>
  </si>
  <si>
    <t>合院</t>
  </si>
  <si>
    <t>合院</t>
    <phoneticPr fontId="3" type="noConversion"/>
  </si>
  <si>
    <t>公寓</t>
  </si>
  <si>
    <t>楼号</t>
    <phoneticPr fontId="140" type="noConversion"/>
  </si>
  <si>
    <r>
      <t>7</t>
    </r>
    <r>
      <rPr>
        <sz val="11"/>
        <color theme="1"/>
        <rFont val="宋体"/>
        <family val="3"/>
        <charset val="134"/>
        <scheme val="minor"/>
      </rPr>
      <t>7#</t>
    </r>
    <phoneticPr fontId="140" type="noConversion"/>
  </si>
  <si>
    <t>面积</t>
    <phoneticPr fontId="140" type="noConversion"/>
  </si>
  <si>
    <r>
      <t>7</t>
    </r>
    <r>
      <rPr>
        <sz val="11"/>
        <color theme="1"/>
        <rFont val="宋体"/>
        <family val="3"/>
        <charset val="134"/>
        <scheme val="minor"/>
      </rPr>
      <t>8#</t>
    </r>
    <phoneticPr fontId="140" type="noConversion"/>
  </si>
  <si>
    <t>79#</t>
    <phoneticPr fontId="140" type="noConversion"/>
  </si>
  <si>
    <t>80#</t>
    <phoneticPr fontId="140" type="noConversion"/>
  </si>
  <si>
    <t>81#</t>
    <phoneticPr fontId="140" type="noConversion"/>
  </si>
  <si>
    <t>公寓</t>
    <phoneticPr fontId="140" type="noConversion"/>
  </si>
  <si>
    <t>合院</t>
    <phoneticPr fontId="140" type="noConversion"/>
  </si>
  <si>
    <r>
      <t>4</t>
    </r>
    <r>
      <rPr>
        <sz val="11"/>
        <color theme="1"/>
        <rFont val="宋体"/>
        <family val="3"/>
        <charset val="134"/>
        <scheme val="minor"/>
      </rPr>
      <t>8#</t>
    </r>
    <phoneticPr fontId="140" type="noConversion"/>
  </si>
  <si>
    <r>
      <t>49#</t>
    </r>
    <r>
      <rPr>
        <sz val="11"/>
        <color theme="1"/>
        <rFont val="宋体"/>
        <family val="3"/>
        <charset val="134"/>
        <scheme val="minor"/>
      </rPr>
      <t/>
    </r>
  </si>
  <si>
    <r>
      <t>50#</t>
    </r>
    <r>
      <rPr>
        <sz val="11"/>
        <color theme="1"/>
        <rFont val="宋体"/>
        <family val="3"/>
        <charset val="134"/>
        <scheme val="minor"/>
      </rPr>
      <t/>
    </r>
  </si>
  <si>
    <r>
      <t>5</t>
    </r>
    <r>
      <rPr>
        <sz val="11"/>
        <color theme="1"/>
        <rFont val="宋体"/>
        <family val="3"/>
        <charset val="134"/>
        <scheme val="minor"/>
      </rPr>
      <t>8</t>
    </r>
    <r>
      <rPr>
        <sz val="11"/>
        <color theme="1"/>
        <rFont val="宋体"/>
        <family val="3"/>
        <charset val="134"/>
        <scheme val="minor"/>
      </rPr>
      <t>#</t>
    </r>
    <r>
      <rPr>
        <sz val="11"/>
        <color theme="1"/>
        <rFont val="宋体"/>
        <family val="3"/>
        <charset val="134"/>
        <scheme val="minor"/>
      </rPr>
      <t/>
    </r>
    <phoneticPr fontId="140" type="noConversion"/>
  </si>
  <si>
    <r>
      <t>59#</t>
    </r>
    <r>
      <rPr>
        <sz val="11"/>
        <color theme="1"/>
        <rFont val="宋体"/>
        <family val="3"/>
        <charset val="134"/>
        <scheme val="minor"/>
      </rPr>
      <t/>
    </r>
  </si>
  <si>
    <r>
      <t>60#</t>
    </r>
    <r>
      <rPr>
        <sz val="11"/>
        <color theme="1"/>
        <rFont val="宋体"/>
        <family val="3"/>
        <charset val="134"/>
        <scheme val="minor"/>
      </rPr>
      <t/>
    </r>
  </si>
  <si>
    <r>
      <t>61#</t>
    </r>
    <r>
      <rPr>
        <sz val="11"/>
        <color theme="1"/>
        <rFont val="宋体"/>
        <family val="3"/>
        <charset val="134"/>
        <scheme val="minor"/>
      </rPr>
      <t/>
    </r>
  </si>
  <si>
    <t>68#</t>
    <phoneticPr fontId="140" type="noConversion"/>
  </si>
  <si>
    <t>69#</t>
  </si>
  <si>
    <t>70#</t>
  </si>
  <si>
    <t>71#</t>
  </si>
  <si>
    <t>72#</t>
  </si>
  <si>
    <t>合计</t>
    <phoneticPr fontId="140" type="noConversion"/>
  </si>
  <si>
    <t>地上</t>
  </si>
  <si>
    <t>LOFT住宅</t>
  </si>
  <si>
    <t>合院</t>
    <phoneticPr fontId="16" type="noConversion"/>
  </si>
  <si>
    <r>
      <t>LOFT</t>
    </r>
    <r>
      <rPr>
        <sz val="10"/>
        <color indexed="8"/>
        <rFont val="宋体"/>
        <family val="3"/>
        <charset val="134"/>
      </rPr>
      <t>公寓</t>
    </r>
    <phoneticPr fontId="7" type="noConversion"/>
  </si>
  <si>
    <t>合院</t>
    <phoneticPr fontId="7" type="noConversion"/>
  </si>
  <si>
    <t>地块名称</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</si>
  <si>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</si>
  <si>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</si>
  <si>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</si>
  <si>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</si>
  <si>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</si>
  <si>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</si>
  <si>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</si>
  <si>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</si>
  <si>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</si>
  <si>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</si>
  <si>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</si>
  <si>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</si>
  <si>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</si>
  <si>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怀来县桑园镇后郝窑村</t>
  </si>
  <si>
    <t>商业/办公用地</t>
  </si>
  <si>
    <t>大于1并且小于或等于3</t>
  </si>
  <si>
    <t>挂牌</t>
  </si>
  <si>
    <t>其他商服用地</t>
  </si>
  <si>
    <t>2020-10-30</t>
  </si>
  <si>
    <t>怀来新天地房地产开发有限公司</t>
  </si>
  <si>
    <t>沙城镇东水泉村、土木镇西辛堡村</t>
  </si>
  <si>
    <t>大于1并且小于或等于1.5</t>
  </si>
  <si>
    <t>2020-09-28</t>
  </si>
  <si>
    <t>瑞麟房地产开发(怀来县)有限责任公司</t>
  </si>
  <si>
    <t>怀来县东花园镇达子营村</t>
  </si>
  <si>
    <t>小于或等于0.6</t>
  </si>
  <si>
    <t>怀来县东花园大华液化气站</t>
  </si>
  <si>
    <t>怀来县新保安镇新兴街</t>
  </si>
  <si>
    <t>小于或等于3</t>
  </si>
  <si>
    <t>商务金融用地</t>
  </si>
  <si>
    <t>2020-08-03</t>
  </si>
  <si>
    <t>怀来县军隆天然气销售有限公司</t>
  </si>
  <si>
    <t>怀来县沙城镇三街村</t>
  </si>
  <si>
    <t>小于或等于3.5</t>
  </si>
  <si>
    <t>2020-06-24</t>
  </si>
  <si>
    <t>怀来县城投房地产开发有限公司</t>
  </si>
  <si>
    <t>怀来县沙城第二加油站</t>
  </si>
  <si>
    <t>怀来县沙城镇八街村</t>
  </si>
  <si>
    <t>小于或等于3.6</t>
  </si>
  <si>
    <t>怀来县京*西房地产*开发有限*公司</t>
  </si>
  <si>
    <t>怀来县沙城镇东水泉村、怀来县土木镇西辛堡村</t>
  </si>
  <si>
    <t>大于或等于1并且小于或等于1.5</t>
  </si>
  <si>
    <t>2020-03-27</t>
  </si>
  <si>
    <t>怀乡河畔怀来房地产开发有限公司</t>
  </si>
  <si>
    <t>怀来县东花园镇西花园村、垛口营村</t>
  </si>
  <si>
    <t>2019-10-17</t>
  </si>
  <si>
    <t>河北通亨房地产开发有限公司</t>
  </si>
  <si>
    <t>怀来县狼山乡五街、六街村</t>
  </si>
  <si>
    <t>大于或等于1.2并且小于或等于1.5</t>
  </si>
  <si>
    <t>2019-06-26</t>
  </si>
  <si>
    <t>怀来县嘉旭房地产开发有限公司</t>
  </si>
  <si>
    <t>怀来县北辛堡镇老君庄村、狼山乡六街村</t>
  </si>
  <si>
    <t>怀来县嘉韬房地产开发有限公司</t>
  </si>
  <si>
    <t>怀来县狼山乡六街村</t>
  </si>
  <si>
    <t>怀来县嘉泽房地产开发有限公司</t>
  </si>
  <si>
    <t>沙城镇四街村</t>
  </si>
  <si>
    <t>≤4</t>
  </si>
  <si>
    <t>2019-03-03</t>
  </si>
  <si>
    <t>怀来鸿翔恒居房地产开发有限公司</t>
  </si>
  <si>
    <t>东花园镇南水泉村</t>
  </si>
  <si>
    <t>2018-12-08</t>
  </si>
  <si>
    <t>怀来软通趣谷科技有限公司</t>
  </si>
  <si>
    <t>怀来软通智云房地产开发有限公司</t>
  </si>
  <si>
    <t>狼山乡狼山村</t>
  </si>
  <si>
    <t>小于或等于1.5</t>
  </si>
  <si>
    <t>2018-07-20</t>
  </si>
  <si>
    <t>怀来饕餮小镇房地产开发有限公司</t>
  </si>
  <si>
    <t>售价</t>
  </si>
  <si>
    <t>商业</t>
    <phoneticPr fontId="31" type="noConversion"/>
  </si>
  <si>
    <t>40</t>
    <phoneticPr fontId="31" type="noConversion"/>
  </si>
  <si>
    <t>一般</t>
  </si>
  <si>
    <t>较好</t>
  </si>
  <si>
    <t>六通</t>
  </si>
  <si>
    <t>较差</t>
  </si>
  <si>
    <t>未包含在土地购买价格中</t>
  </si>
  <si>
    <t>全部缴纳</t>
  </si>
  <si>
    <t>已包含在土地取得成本中</t>
  </si>
  <si>
    <t>LOFT公寓</t>
  </si>
  <si>
    <t>工程进度</t>
    <phoneticPr fontId="140" type="noConversion"/>
  </si>
  <si>
    <t>京北恒大国际文化城</t>
    <phoneticPr fontId="3" type="noConversion"/>
  </si>
  <si>
    <t>天保京北健康城湖山大院</t>
    <phoneticPr fontId="3" type="noConversion"/>
  </si>
  <si>
    <t>公寓</t>
    <phoneticPr fontId="31" type="noConversion"/>
  </si>
  <si>
    <t>30-40（含）</t>
  </si>
  <si>
    <t>差</t>
  </si>
  <si>
    <t>精装</t>
  </si>
  <si>
    <t>精装</t>
    <phoneticPr fontId="31" type="noConversion"/>
  </si>
  <si>
    <t>普装</t>
    <phoneticPr fontId="31" type="noConversion"/>
  </si>
  <si>
    <t>简装</t>
    <phoneticPr fontId="31" type="noConversion"/>
  </si>
  <si>
    <t>毛坯</t>
  </si>
  <si>
    <t>毛坯</t>
    <phoneticPr fontId="31" type="noConversion"/>
  </si>
  <si>
    <t>上谷科学城</t>
    <phoneticPr fontId="3" type="noConversion"/>
  </si>
  <si>
    <t>4.8LOFT</t>
  </si>
  <si>
    <t>4.8LOFT</t>
    <phoneticPr fontId="31" type="noConversion"/>
  </si>
  <si>
    <r>
      <t>LOFT</t>
    </r>
    <r>
      <rPr>
        <sz val="11"/>
        <rFont val="宋体"/>
        <family val="3"/>
        <charset val="134"/>
      </rPr>
      <t>公寓</t>
    </r>
    <phoneticPr fontId="31" type="noConversion"/>
  </si>
  <si>
    <t>联排</t>
  </si>
  <si>
    <t>合院</t>
    <phoneticPr fontId="140" type="noConversion"/>
  </si>
  <si>
    <t>观澜墅</t>
    <phoneticPr fontId="3" type="noConversion"/>
  </si>
  <si>
    <t>住宅</t>
  </si>
  <si>
    <t>住宅</t>
    <phoneticPr fontId="140" type="noConversion"/>
  </si>
  <si>
    <t>独栋</t>
    <phoneticPr fontId="140" type="noConversion"/>
  </si>
  <si>
    <t>双拼</t>
    <phoneticPr fontId="140" type="noConversion"/>
  </si>
  <si>
    <t>联排</t>
    <phoneticPr fontId="140" type="noConversion"/>
  </si>
  <si>
    <t>比较法-商业（公寓）</t>
  </si>
  <si>
    <t>比较法-商业（公寓）</t>
    <phoneticPr fontId="16" type="noConversion"/>
  </si>
  <si>
    <t>比较法-商业(合院)</t>
  </si>
  <si>
    <t>比较法-商业(合院)</t>
    <phoneticPr fontId="16" type="noConversion"/>
  </si>
  <si>
    <t>成本法（公寓）</t>
  </si>
  <si>
    <t>成本法（公寓）</t>
    <phoneticPr fontId="16" type="noConversion"/>
  </si>
  <si>
    <t>成本法（合院）</t>
  </si>
  <si>
    <t>成本法（合院）</t>
    <phoneticPr fontId="16" type="noConversion"/>
  </si>
  <si>
    <t>820套</t>
    <phoneticPr fontId="140" type="noConversion"/>
  </si>
  <si>
    <r>
      <t>1</t>
    </r>
    <r>
      <rPr>
        <sz val="11"/>
        <color theme="1"/>
        <rFont val="宋体"/>
        <family val="3"/>
        <charset val="134"/>
        <scheme val="minor"/>
      </rPr>
      <t>40套</t>
    </r>
    <phoneticPr fontId="140" type="noConversion"/>
  </si>
  <si>
    <r>
      <t>1</t>
    </r>
    <r>
      <rPr>
        <sz val="11"/>
        <color theme="1"/>
        <rFont val="宋体"/>
        <family val="3"/>
        <charset val="134"/>
        <scheme val="minor"/>
      </rPr>
      <t>234套</t>
    </r>
    <phoneticPr fontId="140" type="noConversion"/>
  </si>
  <si>
    <r>
      <t>1</t>
    </r>
    <r>
      <rPr>
        <sz val="11"/>
        <color theme="1"/>
        <rFont val="宋体"/>
        <family val="3"/>
        <charset val="134"/>
        <scheme val="minor"/>
      </rPr>
      <t>44套</t>
    </r>
    <phoneticPr fontId="140" type="noConversion"/>
  </si>
  <si>
    <t>较规则</t>
  </si>
  <si>
    <t>较规则</t>
    <phoneticPr fontId="31" type="noConversion"/>
  </si>
  <si>
    <t>六通</t>
    <phoneticPr fontId="31" type="noConversion"/>
  </si>
  <si>
    <t>五通</t>
  </si>
  <si>
    <t>五通</t>
    <phoneticPr fontId="31" type="noConversion"/>
  </si>
  <si>
    <t>四通</t>
    <phoneticPr fontId="31" type="noConversion"/>
  </si>
  <si>
    <t>三通</t>
  </si>
  <si>
    <t>三通</t>
    <phoneticPr fontId="31" type="noConversion"/>
  </si>
  <si>
    <t>较好</t>
    <phoneticPr fontId="31" type="noConversion"/>
  </si>
  <si>
    <t>成新度</t>
  </si>
  <si>
    <t>钢混</t>
  </si>
  <si>
    <t>钢混</t>
    <phoneticPr fontId="31" type="noConversion"/>
  </si>
  <si>
    <t>精装</t>
    <phoneticPr fontId="31" type="noConversion"/>
  </si>
  <si>
    <t>叠拼</t>
    <phoneticPr fontId="140" type="noConversion"/>
  </si>
  <si>
    <t>钢混</t>
    <phoneticPr fontId="140" type="noConversion"/>
  </si>
  <si>
    <t>精装</t>
    <phoneticPr fontId="140" type="noConversion"/>
  </si>
  <si>
    <t>六通</t>
    <phoneticPr fontId="140" type="noConversion"/>
  </si>
  <si>
    <t>成本比率</t>
  </si>
  <si>
    <t>总价</t>
  </si>
  <si>
    <t>LOFT公寓</t>
    <phoneticPr fontId="140" type="noConversion"/>
  </si>
  <si>
    <t>合院</t>
    <phoneticPr fontId="140" type="noConversion"/>
  </si>
  <si>
    <t>鸿威·翡翠城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</si>
</sst>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1"/>
      <name val="微软雅黑"/>
      <family val="2"/>
      <charset val="134"/>
    </font>
    <font>
      <sz val="11"/>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33CCFF"/>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54" fillId="20" borderId="1" xfId="0" applyFont="1" applyFill="1" applyBorder="1" applyAlignment="1">
      <alignment horizontal="center" vertical="center" wrapText="1"/>
    </xf>
    <xf numFmtId="177" fontId="254" fillId="20" borderId="1" xfId="0" applyNumberFormat="1" applyFont="1" applyFill="1" applyBorder="1" applyAlignment="1">
      <alignment horizontal="center" vertical="center"/>
    </xf>
    <xf numFmtId="176" fontId="254" fillId="20" borderId="1" xfId="0" applyNumberFormat="1" applyFont="1" applyFill="1" applyBorder="1" applyAlignment="1">
      <alignment horizontal="center" vertical="center"/>
    </xf>
    <xf numFmtId="49" fontId="254" fillId="20" borderId="1" xfId="0" applyNumberFormat="1" applyFont="1" applyFill="1" applyBorder="1" applyAlignment="1">
      <alignment horizontal="center" vertical="center"/>
    </xf>
    <xf numFmtId="0" fontId="255" fillId="0" borderId="1" xfId="0" applyFont="1" applyFill="1" applyBorder="1" applyAlignment="1">
      <alignment horizontal="center" vertical="center"/>
    </xf>
    <xf numFmtId="177" fontId="255" fillId="0" borderId="1" xfId="0" applyNumberFormat="1" applyFont="1" applyFill="1" applyBorder="1" applyAlignment="1">
      <alignment horizontal="center" vertical="center"/>
    </xf>
    <xf numFmtId="176" fontId="255" fillId="0" borderId="1" xfId="0" applyNumberFormat="1" applyFont="1" applyFill="1" applyBorder="1" applyAlignment="1">
      <alignment horizontal="center" vertical="center"/>
    </xf>
    <xf numFmtId="179" fontId="255" fillId="0" borderId="1" xfId="0" applyNumberFormat="1" applyFont="1" applyFill="1" applyBorder="1" applyAlignment="1">
      <alignment horizontal="center" vertical="center"/>
    </xf>
    <xf numFmtId="176" fontId="255" fillId="0" borderId="1" xfId="0" applyNumberFormat="1" applyFont="1" applyFill="1" applyBorder="1" applyAlignment="1" applyProtection="1">
      <alignment horizontal="center" vertical="center" shrinkToFit="1"/>
    </xf>
    <xf numFmtId="179" fontId="255" fillId="5" borderId="1" xfId="0" applyNumberFormat="1" applyFont="1" applyFill="1" applyBorder="1" applyAlignment="1">
      <alignment horizontal="center" vertical="center"/>
    </xf>
    <xf numFmtId="0" fontId="79" fillId="0" borderId="1" xfId="0" applyFont="1" applyBorder="1" applyAlignment="1" applyProtection="1">
      <alignment vertical="center" wrapText="1"/>
      <protection locked="0"/>
    </xf>
    <xf numFmtId="0" fontId="98" fillId="0" borderId="0" xfId="0" applyFont="1" applyAlignment="1"/>
    <xf numFmtId="0" fontId="98" fillId="0" borderId="0" xfId="0" applyFont="1" applyFill="1" applyBorder="1" applyAlignment="1"/>
    <xf numFmtId="176" fontId="0" fillId="0" borderId="0" xfId="0" applyNumberFormat="1" applyAlignment="1"/>
    <xf numFmtId="179" fontId="0" fillId="0" borderId="0" xfId="0" applyNumberFormat="1" applyAlignment="1"/>
    <xf numFmtId="0" fontId="0" fillId="0" borderId="0" xfId="0" applyFont="1" applyAlignment="1"/>
    <xf numFmtId="177" fontId="79" fillId="0" borderId="1" xfId="1" applyNumberFormat="1" applyFont="1" applyFill="1" applyBorder="1" applyAlignment="1" applyProtection="1">
      <alignment vertical="center"/>
      <protection locked="0" hidden="1"/>
    </xf>
    <xf numFmtId="0" fontId="55" fillId="0" borderId="0" xfId="17"/>
    <xf numFmtId="0" fontId="55" fillId="9" borderId="0" xfId="17" applyFill="1"/>
    <xf numFmtId="0" fontId="0" fillId="9" borderId="0" xfId="0" applyFill="1">
      <alignment vertical="center"/>
    </xf>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9" fontId="0" fillId="0" borderId="0" xfId="0" applyNumberFormat="1" applyAlignment="1"/>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20</xdr:row>
      <xdr:rowOff>0</xdr:rowOff>
    </xdr:from>
    <xdr:to>
      <xdr:col>11</xdr:col>
      <xdr:colOff>570420</xdr:colOff>
      <xdr:row>49</xdr:row>
      <xdr:rowOff>85093</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3429000"/>
          <a:ext cx="8647620" cy="5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332220</xdr:colOff>
      <xdr:row>33</xdr:row>
      <xdr:rowOff>142172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247620" cy="5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受贵公司委托，我公司对进行了预评估。</v>
      </c>
    </row>
    <row r="7" spans="1:2" s="1365" customFormat="1">
      <c r="A7" s="1363" t="s">
        <v>1231</v>
      </c>
      <c r="B7" s="1364" t="str">
        <f>'预评函-1'!A7</f>
        <v>估价对象为房地产，为所有。根据《国有土地使用证》[]，估价对象（分摊）出让国有建设用地使用权面积为38935.21平方米，建筑面积为58402.82平方米。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估价对象为房地产,属开发建设的，该项目尚在开发建设中。根据《国有土地使用证》[]，估价对象（分摊）出让国有建设用地使用权面积为38935.21平方米，规划建筑面积为58402.82平方米。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2020年11月18日（评估专业人员实地查勘之日）</v>
      </c>
    </row>
    <row r="13" spans="1:2" s="1365" customFormat="1">
      <c r="A13" s="1363" t="s">
        <v>1194</v>
      </c>
      <c r="B13" s="1364" t="str">
        <f>'预评函-1'!A18</f>
        <v>本次估价的“房地产价值”是指在正常市场情况下，在价值时点2020年11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58402.819999999992</v>
      </c>
    </row>
    <row r="44" spans="1:2" s="1365" customFormat="1">
      <c r="A44" s="1363" t="s">
        <v>1240</v>
      </c>
      <c r="B44" s="1364" t="str">
        <f>'预评函-3'!C2</f>
        <v>(分摊)土地面积</v>
      </c>
    </row>
    <row r="45" spans="1:2" s="1365" customFormat="1">
      <c r="A45" s="1363" t="s">
        <v>1212</v>
      </c>
      <c r="B45" s="1364">
        <f>'预评函-3'!C4</f>
        <v>38935.21</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2" sqref="C22"/>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4170</v>
      </c>
      <c r="C18" s="1734"/>
    </row>
    <row r="19" spans="1:3">
      <c r="A19" s="1733" t="s">
        <v>1733</v>
      </c>
      <c r="B19" s="1733" t="s">
        <v>4172</v>
      </c>
      <c r="C19" s="1734"/>
    </row>
    <row r="20" spans="1:3">
      <c r="A20" s="1733" t="s">
        <v>1734</v>
      </c>
      <c r="B20" s="1733" t="s">
        <v>4174</v>
      </c>
      <c r="C20" s="1734"/>
    </row>
    <row r="21" spans="1:3">
      <c r="A21" s="1733" t="s">
        <v>1735</v>
      </c>
      <c r="B21" s="1733" t="s">
        <v>4176</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4063</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8"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8"/>
      <c r="B54" s="1741" t="s">
        <v>832</v>
      </c>
      <c r="C54" s="1738" t="s">
        <v>1248</v>
      </c>
    </row>
    <row r="55" spans="1:4">
      <c r="A55" s="3138"/>
      <c r="B55" s="1741" t="s">
        <v>833</v>
      </c>
      <c r="C55" s="1738" t="s">
        <v>1249</v>
      </c>
    </row>
    <row r="56" spans="1:4">
      <c r="A56" s="3138"/>
      <c r="B56" s="1741" t="s">
        <v>834</v>
      </c>
      <c r="C56" s="1738" t="s">
        <v>1253</v>
      </c>
    </row>
    <row r="57" spans="1:4">
      <c r="A57" s="3138"/>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147" t="str">
        <f>IF(B10="北京市","北京市",C10)&amp;F10&amp;IF(结果表!G1="在建","出让国有建设用地使用权及在建建筑物",IF(结果表!G1="土地","出让国有建设用地使用权",))&amp;B9&amp;"预评估"</f>
        <v>预评估</v>
      </c>
      <c r="C1" s="3148"/>
      <c r="D1" s="3148"/>
      <c r="E1" s="3148"/>
      <c r="F1" s="3148"/>
      <c r="G1" s="3148"/>
      <c r="H1" s="3148"/>
      <c r="I1" s="3149"/>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
      </c>
      <c r="T1" s="1933"/>
      <c r="U1" s="1933"/>
      <c r="V1" s="1933"/>
      <c r="W1" s="1933"/>
      <c r="X1" s="1933"/>
      <c r="Y1" s="1933"/>
      <c r="Z1" s="1933"/>
      <c r="AA1" s="1933"/>
      <c r="AB1" s="1933"/>
    </row>
    <row r="2" spans="1:28">
      <c r="A2" s="2593" t="s">
        <v>2914</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2915</v>
      </c>
      <c r="B3" s="2599">
        <v>44153</v>
      </c>
      <c r="C3" s="2600" t="s">
        <v>2916</v>
      </c>
      <c r="D3" s="2599">
        <f>B3</f>
        <v>44153</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2920</v>
      </c>
      <c r="B7" s="2613"/>
      <c r="C7" s="2611"/>
      <c r="D7" s="2612"/>
      <c r="E7" s="2891"/>
      <c r="F7" s="2893"/>
      <c r="G7" s="2893"/>
      <c r="H7" s="2893"/>
      <c r="I7" s="2893"/>
      <c r="J7" s="2667"/>
      <c r="K7" s="2844"/>
      <c r="L7" s="2841"/>
      <c r="M7" s="2841"/>
      <c r="N7" s="2667"/>
      <c r="O7" s="2678"/>
      <c r="P7" s="2667"/>
      <c r="Q7" s="2667"/>
      <c r="R7" s="2667"/>
    </row>
    <row r="8" spans="1:28">
      <c r="A8" s="2614" t="s">
        <v>2921</v>
      </c>
      <c r="B8" s="2615"/>
      <c r="C8" s="2616"/>
      <c r="D8" s="3150" t="s">
        <v>2922</v>
      </c>
      <c r="E8" s="2617"/>
      <c r="F8" s="2618"/>
      <c r="G8" s="2892"/>
      <c r="H8" s="2892"/>
      <c r="I8" s="2892"/>
      <c r="J8" s="2667"/>
      <c r="K8" s="2842"/>
      <c r="L8" s="2841"/>
      <c r="M8" s="2841"/>
      <c r="N8" s="2667"/>
      <c r="O8" s="2678"/>
      <c r="P8" s="2667"/>
      <c r="Q8" s="2667"/>
      <c r="R8" s="2667"/>
    </row>
    <row r="9" spans="1:28" ht="13.5" thickBot="1">
      <c r="A9" s="2619" t="s">
        <v>2923</v>
      </c>
      <c r="B9" s="2620"/>
      <c r="C9" s="2621"/>
      <c r="D9" s="3151"/>
      <c r="E9" s="2620"/>
      <c r="F9" s="2622"/>
      <c r="G9" s="2894"/>
      <c r="H9" s="2894"/>
      <c r="I9" s="2894"/>
      <c r="J9" s="2667"/>
      <c r="K9" s="2844"/>
      <c r="L9" s="2841"/>
      <c r="M9" s="2841"/>
      <c r="N9" s="2667"/>
      <c r="O9" s="2678"/>
      <c r="P9" s="2667"/>
      <c r="Q9" s="2667"/>
      <c r="R9" s="2667"/>
    </row>
    <row r="10" spans="1:28" ht="13.5" thickTop="1">
      <c r="A10" s="2623" t="s">
        <v>2924</v>
      </c>
      <c r="B10" s="2624"/>
      <c r="C10" s="2625"/>
      <c r="D10" s="2608"/>
      <c r="E10" s="2626" t="s">
        <v>2925</v>
      </c>
      <c r="F10" s="2895"/>
      <c r="G10" s="2896"/>
      <c r="H10" s="2897"/>
      <c r="I10" s="2898"/>
      <c r="J10" s="2667"/>
      <c r="K10" s="2844"/>
      <c r="L10" s="2841"/>
      <c r="M10" s="2841"/>
      <c r="N10" s="2667"/>
      <c r="O10" s="2678"/>
      <c r="P10" s="2667"/>
      <c r="Q10" s="2667"/>
      <c r="R10" s="2667"/>
    </row>
    <row r="11" spans="1:28">
      <c r="A11" s="2627" t="s">
        <v>2926</v>
      </c>
      <c r="B11" s="2628"/>
      <c r="C11" s="2629"/>
      <c r="D11" s="2630"/>
      <c r="E11" s="2596"/>
      <c r="F11" s="2596"/>
      <c r="G11" s="2596"/>
      <c r="H11" s="2596"/>
      <c r="I11" s="2596"/>
      <c r="J11" s="2667"/>
      <c r="K11" s="2844"/>
      <c r="L11" s="2841"/>
      <c r="M11" s="2841"/>
      <c r="N11" s="2667"/>
      <c r="O11" s="2678"/>
      <c r="P11" s="2667"/>
      <c r="Q11" s="2667"/>
      <c r="R11" s="2667"/>
    </row>
    <row r="12" spans="1:28">
      <c r="A12" s="2631" t="s">
        <v>2927</v>
      </c>
      <c r="B12" s="2628" t="s">
        <v>3060</v>
      </c>
      <c r="C12" s="329" t="s">
        <v>2928</v>
      </c>
      <c r="D12" s="2632" t="s">
        <v>2929</v>
      </c>
      <c r="E12" s="2632" t="s">
        <v>2930</v>
      </c>
      <c r="F12" s="2632" t="s">
        <v>2931</v>
      </c>
      <c r="G12" s="2632" t="s">
        <v>2932</v>
      </c>
      <c r="H12" s="2632" t="s">
        <v>2933</v>
      </c>
      <c r="I12" s="2632" t="s">
        <v>2934</v>
      </c>
      <c r="J12" s="2667"/>
      <c r="K12" s="2844"/>
      <c r="L12" s="2841"/>
      <c r="M12" s="2841"/>
      <c r="N12" s="2667"/>
      <c r="O12" s="2678"/>
      <c r="P12" s="2667"/>
      <c r="Q12" s="2667"/>
      <c r="R12" s="2667"/>
    </row>
    <row r="13" spans="1:28">
      <c r="A13" s="1241"/>
      <c r="B13" s="2633"/>
      <c r="C13" s="2634" t="s">
        <v>2935</v>
      </c>
      <c r="D13" s="965"/>
      <c r="E13" s="965">
        <v>57980</v>
      </c>
      <c r="F13" s="965"/>
      <c r="G13" s="965"/>
      <c r="H13" s="965"/>
      <c r="I13" s="965"/>
      <c r="J13" s="2667"/>
      <c r="K13" s="2844"/>
      <c r="L13" s="2841"/>
      <c r="M13" s="2841"/>
      <c r="N13" s="2667"/>
      <c r="O13" s="2678"/>
      <c r="P13" s="2667"/>
      <c r="Q13" s="2667"/>
      <c r="R13" s="2667"/>
    </row>
    <row r="14" spans="1:28">
      <c r="A14" s="1241"/>
      <c r="B14" s="2633"/>
      <c r="C14" s="2634" t="s">
        <v>2936</v>
      </c>
      <c r="D14" s="2635"/>
      <c r="E14" s="2635">
        <v>40</v>
      </c>
      <c r="F14" s="2635"/>
      <c r="G14" s="2635"/>
      <c r="H14" s="2635"/>
      <c r="I14" s="2635"/>
      <c r="J14" s="2667"/>
      <c r="K14" s="2845"/>
      <c r="L14" s="2841"/>
      <c r="M14" s="2841"/>
      <c r="N14" s="2667"/>
      <c r="O14" s="2678"/>
      <c r="P14" s="2667"/>
      <c r="Q14" s="2667"/>
      <c r="R14" s="2667"/>
    </row>
    <row r="15" spans="1:28">
      <c r="A15" s="326"/>
      <c r="B15" s="2636"/>
      <c r="C15" s="2637" t="s">
        <v>2937</v>
      </c>
      <c r="D15" s="2638" t="str">
        <f>IF(B12="出让",IF(D13="","",ROUNDDOWN(MIN((D13-$D$3)/365,D14),2)),D14)</f>
        <v/>
      </c>
      <c r="E15" s="2638">
        <f>IF(B12="出让",IF(E13="","",ROUNDDOWN(MIN((E13-$D$3)/365,E14),2)),E14)</f>
        <v>37.880000000000003</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2938</v>
      </c>
      <c r="B16" s="3157"/>
      <c r="C16" s="3158"/>
      <c r="D16" s="3159"/>
      <c r="E16" s="2641" t="s">
        <v>2939</v>
      </c>
      <c r="F16" s="3160"/>
      <c r="G16" s="3161"/>
      <c r="H16" s="3161"/>
      <c r="I16" s="3162"/>
      <c r="J16" s="2667"/>
      <c r="K16" s="2846"/>
      <c r="L16" s="2679"/>
      <c r="M16" s="2679"/>
      <c r="N16" s="2737"/>
      <c r="O16" s="2679"/>
      <c r="P16" s="2737"/>
      <c r="Q16" s="2667"/>
      <c r="R16" s="2667"/>
    </row>
    <row r="17" spans="1:28">
      <c r="A17" s="319" t="s">
        <v>2940</v>
      </c>
      <c r="B17" s="308" t="s">
        <v>2941</v>
      </c>
      <c r="C17" s="11">
        <f>'数据-汇总表'!E3</f>
        <v>58402.819999999992</v>
      </c>
      <c r="D17" s="2547" t="s">
        <v>2942</v>
      </c>
      <c r="E17" s="3163" t="s">
        <v>2943</v>
      </c>
      <c r="F17" s="3164"/>
      <c r="G17" s="3164"/>
      <c r="H17" s="3164"/>
      <c r="I17" s="3165"/>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38935.21</v>
      </c>
      <c r="D18" s="1252" t="s">
        <v>2946</v>
      </c>
      <c r="E18" s="3166" t="s">
        <v>2947</v>
      </c>
      <c r="F18" s="3167"/>
      <c r="G18" s="3167"/>
      <c r="H18" s="3167"/>
      <c r="I18" s="3168"/>
      <c r="J18" s="2667"/>
      <c r="K18" s="2847"/>
      <c r="L18" s="2679"/>
      <c r="M18" s="2679"/>
      <c r="N18" s="2737"/>
      <c r="O18" s="2679"/>
      <c r="P18" s="2737"/>
      <c r="Q18" s="2667"/>
      <c r="R18" s="2667"/>
      <c r="S18" s="2667"/>
      <c r="T18" s="2667"/>
      <c r="U18" s="2667"/>
      <c r="V18" s="2667"/>
    </row>
    <row r="19" spans="1:28" ht="37.5" thickTop="1" thickBot="1">
      <c r="A19" s="333" t="s">
        <v>1741</v>
      </c>
      <c r="B19" s="313" t="s">
        <v>2948</v>
      </c>
      <c r="C19" s="1750"/>
      <c r="D19" s="1751" t="s">
        <v>2949</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2950</v>
      </c>
      <c r="B20" s="3153" t="s">
        <v>2951</v>
      </c>
      <c r="C20" s="3154"/>
      <c r="D20" s="3155" t="s">
        <v>2952</v>
      </c>
      <c r="E20" s="3156"/>
      <c r="F20" s="2876" t="s">
        <v>1742</v>
      </c>
      <c r="G20" s="2893"/>
      <c r="H20" s="2893"/>
      <c r="I20" s="2893"/>
      <c r="J20" s="2667"/>
      <c r="K20" s="3152"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2954</v>
      </c>
      <c r="C21" s="2863" t="s">
        <v>1743</v>
      </c>
      <c r="D21" s="1755" t="s">
        <v>2955</v>
      </c>
      <c r="E21" s="2864" t="s">
        <v>1743</v>
      </c>
      <c r="F21" s="2877"/>
      <c r="G21" s="2893"/>
      <c r="H21" s="2893"/>
      <c r="I21" s="2893"/>
      <c r="J21" s="2667"/>
      <c r="K21" s="315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2956</v>
      </c>
      <c r="C22" s="2863" t="s">
        <v>1744</v>
      </c>
      <c r="D22" s="2892"/>
      <c r="E22" s="2892"/>
      <c r="F22" s="2892"/>
      <c r="G22" s="2893"/>
      <c r="H22" s="2893"/>
      <c r="I22" s="2893"/>
      <c r="J22" s="2667"/>
      <c r="K22" s="315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2957</v>
      </c>
      <c r="B23" s="2730" t="s">
        <v>2958</v>
      </c>
      <c r="C23" s="2867"/>
      <c r="D23" s="2868" t="s">
        <v>2958</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40" t="s">
        <v>2959</v>
      </c>
      <c r="B27" s="326" t="s">
        <v>2960</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40"/>
      <c r="B28" s="308" t="s">
        <v>2961</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40"/>
      <c r="B29" s="308" t="s">
        <v>2962</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41"/>
      <c r="B30" s="308" t="s">
        <v>2963</v>
      </c>
      <c r="C30" s="3142"/>
      <c r="D30" s="3143"/>
      <c r="E30" s="2893"/>
      <c r="F30" s="2893"/>
      <c r="G30" s="2893"/>
      <c r="H30" s="2893"/>
      <c r="I30" s="2893"/>
      <c r="J30" s="2667"/>
      <c r="K30" s="2844"/>
      <c r="L30" s="2841"/>
      <c r="M30" s="2841"/>
      <c r="N30" s="2667"/>
      <c r="O30" s="2678"/>
      <c r="P30" s="2667"/>
      <c r="Q30" s="2667"/>
      <c r="R30" s="2667"/>
      <c r="S30" s="2667"/>
      <c r="T30" s="2667"/>
      <c r="U30" s="2667"/>
      <c r="V30" s="2667"/>
    </row>
    <row r="31" spans="1:28">
      <c r="A31" s="3144" t="s">
        <v>2964</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45"/>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45"/>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2965</v>
      </c>
      <c r="B34" s="2216" t="s">
        <v>3061</v>
      </c>
      <c r="C34" s="2216" t="s">
        <v>70</v>
      </c>
      <c r="D34" s="2216" t="s">
        <v>3062</v>
      </c>
      <c r="E34" s="2216" t="s">
        <v>3063</v>
      </c>
      <c r="F34" s="2216" t="s">
        <v>3064</v>
      </c>
      <c r="G34" s="2216" t="s">
        <v>70</v>
      </c>
      <c r="H34" s="2216" t="s">
        <v>3065</v>
      </c>
      <c r="I34" s="2893"/>
      <c r="J34" s="2667"/>
      <c r="K34" s="2655">
        <f>COUNTIF(B34:H34,"——")</f>
        <v>2</v>
      </c>
      <c r="L34" s="329" t="s">
        <v>2966</v>
      </c>
      <c r="M34" s="329" t="s">
        <v>2967</v>
      </c>
      <c r="N34" s="329" t="s">
        <v>2968</v>
      </c>
      <c r="O34" s="329" t="s">
        <v>2969</v>
      </c>
      <c r="P34" s="329" t="s">
        <v>2970</v>
      </c>
      <c r="Q34" s="329" t="s">
        <v>2971</v>
      </c>
      <c r="R34" s="329" t="s">
        <v>2972</v>
      </c>
      <c r="S34" s="3139" t="s">
        <v>2973</v>
      </c>
      <c r="T34" s="2656" t="str">
        <f>NUMBERSTRING(7-K34,1)&amp;"通"</f>
        <v>五通</v>
      </c>
      <c r="U34" s="2667"/>
      <c r="V34" s="2667"/>
    </row>
    <row r="35" spans="1:30">
      <c r="A35" s="2657"/>
      <c r="B35" s="3146" t="s">
        <v>2974</v>
      </c>
      <c r="C35" s="3146"/>
      <c r="D35" s="3146"/>
      <c r="E35" s="3146"/>
      <c r="F35" s="673">
        <f>C10</f>
        <v>0</v>
      </c>
      <c r="G35" s="2893"/>
      <c r="H35" s="2893"/>
      <c r="I35" s="2893"/>
      <c r="J35" s="2667"/>
      <c r="K35" s="329"/>
      <c r="L35" s="329" t="str">
        <f>B34</f>
        <v>通路</v>
      </c>
      <c r="M35" s="335" t="str">
        <f>B34&amp;"、"&amp;C34</f>
        <v>通路、——</v>
      </c>
      <c r="N35" s="335" t="str">
        <f>B34&amp;"、"&amp;C34&amp;"、"&amp;D34</f>
        <v>通路、——、通讯</v>
      </c>
      <c r="O35" s="335" t="str">
        <f>B34&amp;"、"&amp;C34&amp;"、"&amp;D34&amp;"、"&amp;E34</f>
        <v>通路、——、通讯、通上水</v>
      </c>
      <c r="P35" s="335" t="str">
        <f>B34&amp;"、"&amp;C34&amp;"、"&amp;D34&amp;"、"&amp;E34&amp;"、"&amp;F34</f>
        <v>通路、——、通讯、通上水、通下水</v>
      </c>
      <c r="Q35" s="335" t="str">
        <f>B34&amp;"、"&amp;C34&amp;"、"&amp;D34&amp;"、"&amp;E34&amp;"、"&amp;F34&amp;"、"&amp;G34</f>
        <v>通路、——、通讯、通上水、通下水、——</v>
      </c>
      <c r="R35" s="335" t="str">
        <f>B34&amp;"、"&amp;C34&amp;"、"&amp;D34&amp;"、"&amp;E34&amp;"、"&amp;F34&amp;"、"&amp;G34&amp;"、"&amp;H34</f>
        <v>通路、——、通讯、通上水、通下水、——、燃气</v>
      </c>
      <c r="S35" s="3139"/>
      <c r="T35" s="335" t="str">
        <f>IF(T34="一通",L35,IF(T34="二通",M35,IF(T34="三通",N35,IF(T34="四通",O35,IF(T34="五通",P35,IF(T34="六通",Q35,R35))))))</f>
        <v>通路、——、通讯、通上水、通下水</v>
      </c>
      <c r="U35" s="2667"/>
      <c r="V35" s="2667"/>
    </row>
    <row r="36" spans="1:30">
      <c r="A36" s="2658"/>
      <c r="B36" s="673" t="s">
        <v>2930</v>
      </c>
      <c r="C36" s="673" t="s">
        <v>2931</v>
      </c>
      <c r="D36" s="673" t="s">
        <v>2929</v>
      </c>
      <c r="E36" s="673" t="s">
        <v>2934</v>
      </c>
      <c r="F36" s="2899"/>
      <c r="G36" s="2893"/>
      <c r="H36" s="2893"/>
      <c r="I36" s="2893"/>
      <c r="J36" s="2667"/>
      <c r="K36" s="2844"/>
      <c r="L36" s="2841"/>
      <c r="M36" s="2841"/>
      <c r="N36" s="2667"/>
      <c r="O36" s="2678"/>
      <c r="P36" s="2667"/>
      <c r="Q36" s="2667"/>
      <c r="R36" s="2667"/>
      <c r="S36" s="2667"/>
      <c r="T36" s="2667"/>
      <c r="U36" s="2667"/>
      <c r="V36" s="2667"/>
    </row>
    <row r="37" spans="1:30">
      <c r="A37" s="2859" t="s">
        <v>2975</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2976</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2978</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5" t="s">
        <v>2988</v>
      </c>
      <c r="K42" s="2856" t="s">
        <v>2989</v>
      </c>
      <c r="L42" s="2856" t="s">
        <v>2990</v>
      </c>
      <c r="M42" s="2856" t="s">
        <v>2991</v>
      </c>
      <c r="N42" s="2849" t="s">
        <v>2992</v>
      </c>
      <c r="O42" s="2849" t="s">
        <v>2993</v>
      </c>
      <c r="P42" s="2849" t="s">
        <v>2994</v>
      </c>
      <c r="Q42" s="2850" t="s">
        <v>2995</v>
      </c>
      <c r="R42" s="2850"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B3/1.5</f>
        <v>38935.213333333326</v>
      </c>
      <c r="B3" s="14">
        <f>IF(C3="否",G5-AT5,G5)</f>
        <v>58402.819999999992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58402.819999999992</v>
      </c>
      <c r="H5" s="16">
        <f t="shared" ref="H5:AT5" si="0">SUM(H13:H656)</f>
        <v>58402.819999999992</v>
      </c>
      <c r="I5" s="16">
        <f t="shared" si="0"/>
        <v>37615.929999999993</v>
      </c>
      <c r="J5" s="16">
        <f t="shared" si="0"/>
        <v>0</v>
      </c>
      <c r="K5" s="16">
        <f t="shared" si="0"/>
        <v>20786.89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58402.819999999992</v>
      </c>
      <c r="BA5" s="18">
        <f t="shared" si="1"/>
        <v>58402.819999999992</v>
      </c>
      <c r="BB5" s="18">
        <f t="shared" si="1"/>
        <v>37615.929999999993</v>
      </c>
      <c r="BC5" s="18">
        <f t="shared" si="1"/>
        <v>20786.89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38935.22</v>
      </c>
      <c r="F6" s="16" t="s">
        <v>1</v>
      </c>
      <c r="G6" s="16" t="s">
        <v>2</v>
      </c>
      <c r="H6" s="20">
        <f>SUMIF(I$12:AB$12,"总值",I6:AB6)</f>
        <v>38935.22</v>
      </c>
      <c r="I6" s="16">
        <f t="shared" ref="I6:AB6" si="2">ROUND($A$3*I5/$B$3,2)</f>
        <v>25077.29</v>
      </c>
      <c r="J6" s="16">
        <f t="shared" si="2"/>
        <v>0</v>
      </c>
      <c r="K6" s="16">
        <f t="shared" si="2"/>
        <v>13857.93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38935.21</v>
      </c>
      <c r="AZ6" s="16" t="s">
        <v>3</v>
      </c>
      <c r="BA6" s="16">
        <f>ROUND($AY$6*BA5/$AZ$5,2)</f>
        <v>38935.21</v>
      </c>
      <c r="BB6" s="16">
        <f>ROUND($AY$6*BB5/$AZ$5,2)</f>
        <v>25077.279999999999</v>
      </c>
      <c r="BC6" s="16">
        <f t="shared" ref="BC6:BH6" si="4">ROUND($AY$6*BC5/$AZ$5,2)</f>
        <v>13857.93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4061</v>
      </c>
      <c r="J9" s="918"/>
      <c r="K9" s="1790" t="s">
        <v>4061</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1343</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地上</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4062</v>
      </c>
      <c r="J11" s="1802"/>
      <c r="K11" s="1801" t="s">
        <v>4036</v>
      </c>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LOFT住宅</v>
      </c>
      <c r="BC12" s="1811" t="str">
        <f>K11</f>
        <v>合院</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t="s">
        <v>4034</v>
      </c>
      <c r="D13" s="1812" t="s">
        <v>4035</v>
      </c>
      <c r="E13" s="16">
        <f>IF($C$3="是",ROUND($A$3*G13/$B$3,2),ROUND($A$3*(G13-AT13)/$B$3,2))</f>
        <v>25077.29</v>
      </c>
      <c r="F13" s="32"/>
      <c r="G13" s="33">
        <f>H13+AC13+AT13</f>
        <v>37615.929999999993</v>
      </c>
      <c r="H13" s="20">
        <f>SUMIF(I$12:AB$12,"总值",I13:AB13)</f>
        <v>37615.929999999993</v>
      </c>
      <c r="I13" s="1813">
        <f>面积清单!I7</f>
        <v>37615.929999999993</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LOFT公寓</v>
      </c>
      <c r="AY13" s="1535">
        <f>ROUND($AY$6*AZ13/$AZ$5,2)</f>
        <v>25077.279999999999</v>
      </c>
      <c r="AZ13" s="16">
        <f>BA13+BL13</f>
        <v>37615.929999999993</v>
      </c>
      <c r="BA13" s="16">
        <f>SUM(BB13:BK13)</f>
        <v>37615.929999999993</v>
      </c>
      <c r="BB13" s="16">
        <f>IF($D13="是",I13-J13,0)</f>
        <v>37615.929999999993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79" t="s">
        <v>4037</v>
      </c>
      <c r="D14" s="1812" t="s">
        <v>4035</v>
      </c>
      <c r="E14" s="16">
        <f>IF($C$3="是",ROUND($A$3*G14/$B$3,2),ROUND($A$3*(G14-AT14)/$B$3,2))</f>
        <v>13857.93</v>
      </c>
      <c r="F14" s="32"/>
      <c r="G14" s="33">
        <f>H14+AC14+AT14</f>
        <v>20786.89</v>
      </c>
      <c r="H14" s="20">
        <f>SUMIF(I$12:AB$12,"总值",I14:AB14)</f>
        <v>20786.89</v>
      </c>
      <c r="I14" s="1813"/>
      <c r="J14" s="1813"/>
      <c r="K14" s="1813">
        <f>面积清单!I20</f>
        <v>20786.89</v>
      </c>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合院</v>
      </c>
      <c r="AY14" s="1535">
        <f>ROUND($AY$6*AZ14/$AZ$5,2)</f>
        <v>13857.93</v>
      </c>
      <c r="AZ14" s="16">
        <f>BA14+BL14</f>
        <v>20786.89</v>
      </c>
      <c r="BA14" s="16">
        <f>SUM(BB14:BK14)</f>
        <v>20786.89</v>
      </c>
      <c r="BB14" s="16">
        <f>IF($D14="是",I14-J14,0)</f>
        <v>0</v>
      </c>
      <c r="BC14" s="16">
        <f>IF($D14="是",K14-L14,0)</f>
        <v>20786.89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9" t="s">
        <v>0</v>
      </c>
      <c r="B1" s="3169" t="s">
        <v>4</v>
      </c>
      <c r="C1" s="3169" t="s">
        <v>5</v>
      </c>
      <c r="D1" s="3170" t="s">
        <v>53</v>
      </c>
      <c r="E1" s="3170" t="s">
        <v>54</v>
      </c>
      <c r="F1" s="3170"/>
      <c r="G1" s="3170"/>
      <c r="H1" s="3170"/>
      <c r="I1" s="3170"/>
      <c r="J1" s="3170"/>
      <c r="K1" s="3170"/>
      <c r="L1" s="3170"/>
      <c r="M1" s="3170"/>
    </row>
    <row r="2" spans="1:13" ht="27" customHeight="1">
      <c r="A2" s="3169"/>
      <c r="B2" s="3169"/>
      <c r="C2" s="3169"/>
      <c r="D2" s="3170"/>
      <c r="E2" s="3170" t="s">
        <v>37</v>
      </c>
      <c r="F2" s="3170" t="s">
        <v>38</v>
      </c>
      <c r="G2" s="3170"/>
      <c r="H2" s="3170"/>
      <c r="I2" s="3170"/>
      <c r="J2" s="3170" t="s">
        <v>39</v>
      </c>
      <c r="K2" s="3170"/>
      <c r="L2" s="3170"/>
      <c r="M2" s="3170"/>
    </row>
    <row r="3" spans="1:13" ht="28.5">
      <c r="A3" s="3169"/>
      <c r="B3" s="3169"/>
      <c r="C3" s="3169"/>
      <c r="D3" s="3170"/>
      <c r="E3" s="31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0" t="s">
        <v>55</v>
      </c>
      <c r="B9" s="3170"/>
      <c r="C9" s="31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962"/>
  <sheetViews>
    <sheetView workbookViewId="0">
      <selection activeCell="F1" sqref="F1:F1048576"/>
    </sheetView>
  </sheetViews>
  <sheetFormatPr defaultRowHeight="13.5"/>
  <cols>
    <col min="1" max="1" width="9" style="1407"/>
    <col min="2" max="2" width="10.5" style="1407" bestFit="1" customWidth="1"/>
    <col min="3" max="3" width="10.875" style="1407" customWidth="1"/>
    <col min="4" max="4" width="9.25" style="1407" bestFit="1" customWidth="1"/>
    <col min="5" max="5" width="9" style="1407"/>
    <col min="6" max="6" width="11.625" style="1407" bestFit="1" customWidth="1"/>
    <col min="7" max="8" width="9" style="1407"/>
    <col min="9" max="9" width="10.5" style="1407" bestFit="1" customWidth="1"/>
    <col min="10" max="16384" width="9" style="1407"/>
  </cols>
  <sheetData>
    <row r="1" spans="1:15" ht="30">
      <c r="A1" s="3069" t="s">
        <v>3066</v>
      </c>
      <c r="B1" s="3070" t="s">
        <v>3067</v>
      </c>
      <c r="C1" s="3071" t="s">
        <v>3068</v>
      </c>
      <c r="D1" s="3072" t="s">
        <v>3069</v>
      </c>
      <c r="E1" s="3072" t="s">
        <v>3070</v>
      </c>
      <c r="H1" s="3080" t="s">
        <v>4039</v>
      </c>
      <c r="I1" s="3081" t="s">
        <v>4041</v>
      </c>
      <c r="K1" s="3080" t="s">
        <v>4145</v>
      </c>
    </row>
    <row r="2" spans="1:15" ht="16.5">
      <c r="A2" s="3073" t="s">
        <v>3071</v>
      </c>
      <c r="B2" s="3074" t="s">
        <v>3072</v>
      </c>
      <c r="C2" s="3075">
        <v>46.92</v>
      </c>
      <c r="D2" s="3076">
        <v>31.896999999999998</v>
      </c>
      <c r="E2" s="3076">
        <v>15.02</v>
      </c>
      <c r="F2" s="1407">
        <f ca="1">ROUND(系统读取表!$E$14*面积清单!C2,0)</f>
        <v>342751</v>
      </c>
      <c r="G2" s="3080"/>
      <c r="H2" s="3080" t="s">
        <v>4040</v>
      </c>
      <c r="I2" s="3082">
        <f>SUM(C2:C79)</f>
        <v>3438.5500000000006</v>
      </c>
      <c r="J2" s="3080" t="s">
        <v>4046</v>
      </c>
      <c r="K2" s="3092">
        <v>0.3</v>
      </c>
      <c r="L2" s="1407">
        <f>K2*I2</f>
        <v>1031.5650000000001</v>
      </c>
    </row>
    <row r="3" spans="1:15" ht="16.5">
      <c r="A3" s="3073" t="s">
        <v>3071</v>
      </c>
      <c r="B3" s="3074" t="s">
        <v>3073</v>
      </c>
      <c r="C3" s="3075">
        <v>47.73</v>
      </c>
      <c r="D3" s="3076">
        <v>32.450000000000003</v>
      </c>
      <c r="E3" s="3076">
        <v>15.281000000000001</v>
      </c>
      <c r="F3" s="1407">
        <f ca="1">ROUND(系统读取表!$E$14*面积清单!C3,0)</f>
        <v>348668</v>
      </c>
      <c r="H3" s="3080" t="s">
        <v>4042</v>
      </c>
      <c r="I3" s="3082">
        <f>SUM(C80:C274)</f>
        <v>8772.0500000000156</v>
      </c>
      <c r="J3" s="3080" t="s">
        <v>4046</v>
      </c>
      <c r="K3" s="3092">
        <v>0.2</v>
      </c>
      <c r="L3" s="1407">
        <f t="shared" ref="L3:L6" si="0">K3*I3</f>
        <v>1754.4100000000033</v>
      </c>
    </row>
    <row r="4" spans="1:15" ht="16.5">
      <c r="A4" s="3073" t="s">
        <v>3071</v>
      </c>
      <c r="B4" s="3074" t="s">
        <v>3074</v>
      </c>
      <c r="C4" s="3075">
        <v>47.73</v>
      </c>
      <c r="D4" s="3076">
        <v>32.450000000000003</v>
      </c>
      <c r="E4" s="3076">
        <v>15.281000000000001</v>
      </c>
      <c r="F4" s="1407">
        <f ca="1">ROUND(系统读取表!$E$14*面积清单!C4,0)</f>
        <v>348668</v>
      </c>
      <c r="H4" s="3080" t="s">
        <v>4043</v>
      </c>
      <c r="I4" s="3083">
        <f>SUM(C275:C456)</f>
        <v>8500.1200000000063</v>
      </c>
      <c r="J4" s="3080" t="s">
        <v>4046</v>
      </c>
      <c r="K4" s="3092">
        <v>0.3</v>
      </c>
      <c r="L4" s="1407">
        <f t="shared" si="0"/>
        <v>2550.0360000000019</v>
      </c>
    </row>
    <row r="5" spans="1:15" ht="16.5">
      <c r="A5" s="3073" t="s">
        <v>3071</v>
      </c>
      <c r="B5" s="3074" t="s">
        <v>3075</v>
      </c>
      <c r="C5" s="3075">
        <v>47.73</v>
      </c>
      <c r="D5" s="3076">
        <v>32.450000000000003</v>
      </c>
      <c r="E5" s="3076">
        <v>15.281000000000001</v>
      </c>
      <c r="F5" s="1407">
        <f ca="1">ROUND(系统读取表!$E$14*面积清单!C5,0)</f>
        <v>348668</v>
      </c>
      <c r="H5" s="3080" t="s">
        <v>4044</v>
      </c>
      <c r="I5" s="3082">
        <f>SUM(C457:C713)</f>
        <v>11914.929999999975</v>
      </c>
      <c r="J5" s="3080" t="s">
        <v>4046</v>
      </c>
      <c r="K5" s="3092">
        <v>0.2</v>
      </c>
      <c r="L5" s="1407">
        <f t="shared" si="0"/>
        <v>2382.9859999999949</v>
      </c>
    </row>
    <row r="6" spans="1:15" ht="16.5">
      <c r="A6" s="3073" t="s">
        <v>3071</v>
      </c>
      <c r="B6" s="3074" t="s">
        <v>3076</v>
      </c>
      <c r="C6" s="3075">
        <v>47.73</v>
      </c>
      <c r="D6" s="3076">
        <v>32.450000000000003</v>
      </c>
      <c r="E6" s="3076">
        <v>15.281000000000001</v>
      </c>
      <c r="F6" s="1407">
        <f ca="1">ROUND(系统读取表!$E$14*面积清单!C6,0)</f>
        <v>348668</v>
      </c>
      <c r="H6" s="3080" t="s">
        <v>4045</v>
      </c>
      <c r="I6" s="3082">
        <f>SUM(C714:C821)</f>
        <v>4990.2799999999961</v>
      </c>
      <c r="J6" s="3080" t="s">
        <v>4046</v>
      </c>
      <c r="K6" s="3092">
        <v>0.2</v>
      </c>
      <c r="L6" s="1407">
        <f t="shared" si="0"/>
        <v>998.05599999999924</v>
      </c>
    </row>
    <row r="7" spans="1:15" ht="16.5">
      <c r="A7" s="3073" t="s">
        <v>3071</v>
      </c>
      <c r="B7" s="3074" t="s">
        <v>3077</v>
      </c>
      <c r="C7" s="3075">
        <v>46.92</v>
      </c>
      <c r="D7" s="3076">
        <v>31.896999999999998</v>
      </c>
      <c r="E7" s="3076">
        <v>15.02</v>
      </c>
      <c r="F7" s="1407">
        <f ca="1">ROUND(系统读取表!$E$14*面积清单!C7,0)</f>
        <v>342751</v>
      </c>
      <c r="I7" s="3082">
        <f>SUM(I2:I6)</f>
        <v>37615.929999999993</v>
      </c>
      <c r="J7" s="3080" t="s">
        <v>4177</v>
      </c>
      <c r="K7" s="1407">
        <f>L7/I7</f>
        <v>0.23173833532761251</v>
      </c>
      <c r="L7" s="1407">
        <f>SUM(L2:L6)</f>
        <v>8717.0529999999981</v>
      </c>
      <c r="N7" s="3080" t="s">
        <v>4179</v>
      </c>
      <c r="O7" s="1407">
        <v>56945.07</v>
      </c>
    </row>
    <row r="8" spans="1:15" ht="16.5">
      <c r="A8" s="3073" t="s">
        <v>3071</v>
      </c>
      <c r="B8" s="3074" t="s">
        <v>3078</v>
      </c>
      <c r="C8" s="3075">
        <v>43.09</v>
      </c>
      <c r="D8" s="3076">
        <v>29.295000000000002</v>
      </c>
      <c r="E8" s="3076">
        <v>13.795</v>
      </c>
      <c r="F8" s="1407">
        <f ca="1">ROUND(系统读取表!$E$14*面积清单!C8,0)</f>
        <v>314772</v>
      </c>
      <c r="H8" s="3084" t="s">
        <v>4048</v>
      </c>
      <c r="I8" s="3082">
        <f>SUM(C822:C833)</f>
        <v>1839.1999999999998</v>
      </c>
      <c r="J8" s="3084" t="s">
        <v>4047</v>
      </c>
      <c r="K8" s="3092">
        <v>0.6</v>
      </c>
      <c r="L8" s="1407">
        <f>K8*I8</f>
        <v>1103.5199999999998</v>
      </c>
    </row>
    <row r="9" spans="1:15" ht="16.5">
      <c r="A9" s="3073" t="s">
        <v>3071</v>
      </c>
      <c r="B9" s="3074" t="s">
        <v>3079</v>
      </c>
      <c r="C9" s="3075">
        <v>43.09</v>
      </c>
      <c r="D9" s="3076">
        <v>29.295000000000002</v>
      </c>
      <c r="E9" s="3076">
        <v>13.795</v>
      </c>
      <c r="F9" s="1407">
        <f ca="1">ROUND(系统读取表!$E$14*面积清单!C9,0)</f>
        <v>314772</v>
      </c>
      <c r="H9" s="3084" t="s">
        <v>4049</v>
      </c>
      <c r="I9" s="3082">
        <f>SUM(C834:C845)</f>
        <v>1839.1999999999998</v>
      </c>
      <c r="J9" s="3084" t="s">
        <v>4047</v>
      </c>
      <c r="K9" s="3092">
        <f>K8</f>
        <v>0.6</v>
      </c>
      <c r="L9" s="1407">
        <f t="shared" ref="L9:L19" si="1">K9*I9</f>
        <v>1103.5199999999998</v>
      </c>
    </row>
    <row r="10" spans="1:15" ht="16.5">
      <c r="A10" s="3073" t="s">
        <v>3071</v>
      </c>
      <c r="B10" s="3074" t="s">
        <v>3080</v>
      </c>
      <c r="C10" s="3075">
        <v>43.09</v>
      </c>
      <c r="D10" s="3076">
        <v>29.295000000000002</v>
      </c>
      <c r="E10" s="3076">
        <v>13.795</v>
      </c>
      <c r="F10" s="1407">
        <f ca="1">ROUND(系统读取表!$E$14*面积清单!C10,0)</f>
        <v>314772</v>
      </c>
      <c r="H10" s="3084" t="s">
        <v>4050</v>
      </c>
      <c r="I10" s="3082">
        <f>SUM(C846:C857)</f>
        <v>1839.1999999999998</v>
      </c>
      <c r="J10" s="3084" t="s">
        <v>4047</v>
      </c>
      <c r="K10" s="3092">
        <f>K8</f>
        <v>0.6</v>
      </c>
      <c r="L10" s="1407">
        <f t="shared" si="1"/>
        <v>1103.5199999999998</v>
      </c>
    </row>
    <row r="11" spans="1:15" ht="16.5">
      <c r="A11" s="3073" t="s">
        <v>3071</v>
      </c>
      <c r="B11" s="3074" t="s">
        <v>3081</v>
      </c>
      <c r="C11" s="3075">
        <v>55.81</v>
      </c>
      <c r="D11" s="3076">
        <v>37.944000000000003</v>
      </c>
      <c r="E11" s="3076">
        <v>17.867999999999999</v>
      </c>
      <c r="F11" s="1407">
        <f ca="1">ROUND(系统读取表!$E$14*面积清单!C11,0)</f>
        <v>407692</v>
      </c>
      <c r="H11" s="3080" t="s">
        <v>4051</v>
      </c>
      <c r="I11" s="3082">
        <f>SUM(C858:C868)</f>
        <v>1537.8699999999997</v>
      </c>
      <c r="J11" s="3084" t="s">
        <v>4047</v>
      </c>
      <c r="K11" s="3092">
        <v>0.55000000000000004</v>
      </c>
      <c r="L11" s="1407">
        <f t="shared" si="1"/>
        <v>845.82849999999985</v>
      </c>
    </row>
    <row r="12" spans="1:15" ht="16.5">
      <c r="A12" s="3073" t="s">
        <v>3071</v>
      </c>
      <c r="B12" s="3074" t="s">
        <v>3082</v>
      </c>
      <c r="C12" s="3075">
        <v>38.6</v>
      </c>
      <c r="D12" s="3076">
        <v>26.244</v>
      </c>
      <c r="E12" s="3076">
        <v>12.358000000000001</v>
      </c>
      <c r="F12" s="1407">
        <f ca="1">ROUND(系统读取表!$E$14*面积清单!C12,0)</f>
        <v>281973</v>
      </c>
      <c r="H12" s="3080" t="s">
        <v>4052</v>
      </c>
      <c r="I12" s="3082">
        <f>SUM(C869:C878)</f>
        <v>1406.28</v>
      </c>
      <c r="J12" s="3084" t="s">
        <v>4047</v>
      </c>
      <c r="K12" s="3092">
        <f>K11</f>
        <v>0.55000000000000004</v>
      </c>
      <c r="L12" s="1407">
        <f t="shared" si="1"/>
        <v>773.45400000000006</v>
      </c>
    </row>
    <row r="13" spans="1:15" ht="16.5">
      <c r="A13" s="3073" t="s">
        <v>3071</v>
      </c>
      <c r="B13" s="3074" t="s">
        <v>3083</v>
      </c>
      <c r="C13" s="3075">
        <v>38.6</v>
      </c>
      <c r="D13" s="3076">
        <v>26.244</v>
      </c>
      <c r="E13" s="3076">
        <v>12.358000000000001</v>
      </c>
      <c r="F13" s="1407">
        <f ca="1">ROUND(系统读取表!$E$14*面积清单!C13,0)</f>
        <v>281973</v>
      </c>
      <c r="H13" s="3080" t="s">
        <v>4053</v>
      </c>
      <c r="I13" s="3082">
        <f>SUM(C879:C890)</f>
        <v>1669.4599999999996</v>
      </c>
      <c r="J13" s="3084" t="s">
        <v>4047</v>
      </c>
      <c r="K13" s="3092">
        <f>K11</f>
        <v>0.55000000000000004</v>
      </c>
      <c r="L13" s="1407">
        <f t="shared" si="1"/>
        <v>918.20299999999986</v>
      </c>
    </row>
    <row r="14" spans="1:15" ht="16.5">
      <c r="A14" s="3073" t="s">
        <v>3071</v>
      </c>
      <c r="B14" s="3074" t="s">
        <v>3084</v>
      </c>
      <c r="C14" s="3075">
        <v>44.37</v>
      </c>
      <c r="D14" s="3076">
        <v>30.167000000000002</v>
      </c>
      <c r="E14" s="3076">
        <v>14.206</v>
      </c>
      <c r="F14" s="1407">
        <f ca="1">ROUND(系统读取表!$E$14*面积清单!C14,0)</f>
        <v>324123</v>
      </c>
      <c r="H14" s="3080" t="s">
        <v>4054</v>
      </c>
      <c r="I14" s="3082">
        <f>SUM(C891:C902)</f>
        <v>1669.4599999999996</v>
      </c>
      <c r="J14" s="3084" t="s">
        <v>4047</v>
      </c>
      <c r="K14" s="3092">
        <f>K11</f>
        <v>0.55000000000000004</v>
      </c>
      <c r="L14" s="1407">
        <f t="shared" si="1"/>
        <v>918.20299999999986</v>
      </c>
    </row>
    <row r="15" spans="1:15" ht="16.5">
      <c r="A15" s="3073" t="s">
        <v>3071</v>
      </c>
      <c r="B15" s="3074" t="s">
        <v>3085</v>
      </c>
      <c r="C15" s="3075">
        <v>43.09</v>
      </c>
      <c r="D15" s="3076">
        <v>29.295000000000002</v>
      </c>
      <c r="E15" s="3076">
        <v>13.795</v>
      </c>
      <c r="F15" s="1407">
        <f ca="1">ROUND(系统读取表!$E$14*面积清单!C15,0)</f>
        <v>314772</v>
      </c>
      <c r="H15" s="3080" t="s">
        <v>4055</v>
      </c>
      <c r="I15" s="3082">
        <f>SUM(C903:C914)</f>
        <v>1839.1999999999998</v>
      </c>
      <c r="J15" s="3084" t="s">
        <v>4047</v>
      </c>
      <c r="K15" s="3092">
        <v>0.3</v>
      </c>
      <c r="L15" s="1407">
        <f t="shared" si="1"/>
        <v>551.75999999999988</v>
      </c>
    </row>
    <row r="16" spans="1:15" ht="16.5">
      <c r="A16" s="3073" t="s">
        <v>3071</v>
      </c>
      <c r="B16" s="3074" t="s">
        <v>3086</v>
      </c>
      <c r="C16" s="3075">
        <v>43.09</v>
      </c>
      <c r="D16" s="3076">
        <v>29.295000000000002</v>
      </c>
      <c r="E16" s="3076">
        <v>13.795</v>
      </c>
      <c r="F16" s="1407">
        <f ca="1">ROUND(系统读取表!$E$14*面积清单!C16,0)</f>
        <v>314772</v>
      </c>
      <c r="H16" s="3080" t="s">
        <v>4056</v>
      </c>
      <c r="I16" s="3082">
        <f>SUM(C915:C926)</f>
        <v>1839.1999999999998</v>
      </c>
      <c r="J16" s="3084" t="s">
        <v>4047</v>
      </c>
      <c r="K16" s="3092">
        <v>0.3</v>
      </c>
      <c r="L16" s="1407">
        <f t="shared" si="1"/>
        <v>551.75999999999988</v>
      </c>
    </row>
    <row r="17" spans="1:16" ht="16.5">
      <c r="A17" s="3073" t="s">
        <v>3071</v>
      </c>
      <c r="B17" s="3074" t="s">
        <v>3087</v>
      </c>
      <c r="C17" s="3075">
        <v>43.09</v>
      </c>
      <c r="D17" s="3076">
        <v>29.295000000000002</v>
      </c>
      <c r="E17" s="3076">
        <v>13.795</v>
      </c>
      <c r="F17" s="1407">
        <f ca="1">ROUND(系统读取表!$E$14*面积清单!C17,0)</f>
        <v>314772</v>
      </c>
      <c r="H17" s="3080" t="s">
        <v>4057</v>
      </c>
      <c r="I17" s="3082">
        <f>SUM(C927:C937)</f>
        <v>1629.4199999999998</v>
      </c>
      <c r="J17" s="3084" t="s">
        <v>4047</v>
      </c>
      <c r="K17" s="3092">
        <v>0.15</v>
      </c>
      <c r="L17" s="1407">
        <f t="shared" si="1"/>
        <v>244.41299999999995</v>
      </c>
    </row>
    <row r="18" spans="1:16" ht="16.5">
      <c r="A18" s="3073" t="s">
        <v>3071</v>
      </c>
      <c r="B18" s="3074" t="s">
        <v>3088</v>
      </c>
      <c r="C18" s="3075">
        <v>43.09</v>
      </c>
      <c r="D18" s="3076">
        <v>29.295000000000002</v>
      </c>
      <c r="E18" s="3076">
        <v>13.795</v>
      </c>
      <c r="F18" s="1407">
        <f ca="1">ROUND(系统读取表!$E$14*面积清单!C18,0)</f>
        <v>314772</v>
      </c>
      <c r="H18" s="3080" t="s">
        <v>4058</v>
      </c>
      <c r="I18" s="3082">
        <f>SUM(C938:C949)</f>
        <v>1839.1999999999998</v>
      </c>
      <c r="J18" s="3084" t="s">
        <v>4047</v>
      </c>
      <c r="K18" s="3092">
        <v>0.2</v>
      </c>
      <c r="L18" s="1407">
        <f t="shared" si="1"/>
        <v>367.84</v>
      </c>
    </row>
    <row r="19" spans="1:16" ht="16.5">
      <c r="A19" s="3073" t="s">
        <v>3089</v>
      </c>
      <c r="B19" s="3074" t="s">
        <v>3090</v>
      </c>
      <c r="C19" s="3075">
        <v>43.09</v>
      </c>
      <c r="D19" s="3076">
        <v>29.295000000000002</v>
      </c>
      <c r="E19" s="3076">
        <v>13.795</v>
      </c>
      <c r="F19" s="1407">
        <f ca="1">ROUND(系统读取表!$E$14*面积清单!C19,0)</f>
        <v>314772</v>
      </c>
      <c r="H19" s="3080" t="s">
        <v>4059</v>
      </c>
      <c r="I19" s="3082">
        <f>SUM(C950:C961)</f>
        <v>1839.1999999999998</v>
      </c>
      <c r="J19" s="3084" t="s">
        <v>4047</v>
      </c>
      <c r="K19" s="3092">
        <v>0.2</v>
      </c>
      <c r="L19" s="1407">
        <f t="shared" si="1"/>
        <v>367.84</v>
      </c>
    </row>
    <row r="20" spans="1:16" ht="16.5">
      <c r="A20" s="3073" t="s">
        <v>3089</v>
      </c>
      <c r="B20" s="3074" t="s">
        <v>3091</v>
      </c>
      <c r="C20" s="3075">
        <v>46.92</v>
      </c>
      <c r="D20" s="3076">
        <v>31.896999999999998</v>
      </c>
      <c r="E20" s="3076">
        <v>15.02</v>
      </c>
      <c r="F20" s="1407">
        <f ca="1">ROUND(系统读取表!$E$14*面积清单!C20,0)</f>
        <v>342751</v>
      </c>
      <c r="I20" s="3082">
        <f>SUM(I8:I19)</f>
        <v>20786.89</v>
      </c>
      <c r="J20" s="3084" t="s">
        <v>4178</v>
      </c>
      <c r="K20" s="1407">
        <f>L20/I20</f>
        <v>0.4257424511314582</v>
      </c>
      <c r="L20" s="1407">
        <f>SUM(L8:L19)</f>
        <v>8849.8614999999972</v>
      </c>
      <c r="N20" s="3080" t="s">
        <v>4180</v>
      </c>
      <c r="O20" s="1407">
        <v>21391.360000000001</v>
      </c>
    </row>
    <row r="21" spans="1:16" ht="16.5">
      <c r="A21" s="3073" t="s">
        <v>3089</v>
      </c>
      <c r="B21" s="3074" t="s">
        <v>3092</v>
      </c>
      <c r="C21" s="3075">
        <v>47.73</v>
      </c>
      <c r="D21" s="3076">
        <v>32.450000000000003</v>
      </c>
      <c r="E21" s="3076">
        <v>15.281000000000001</v>
      </c>
      <c r="F21" s="1407">
        <f ca="1">ROUND(系统读取表!$E$14*面积清单!C21,0)</f>
        <v>348668</v>
      </c>
      <c r="G21" s="3080" t="s">
        <v>4060</v>
      </c>
      <c r="I21" s="3082">
        <f>I7+I20</f>
        <v>58402.819999999992</v>
      </c>
      <c r="O21" s="1407">
        <f>O7+O20</f>
        <v>78336.429999999993</v>
      </c>
      <c r="P21" s="1407">
        <f>70000*10000/O21</f>
        <v>8935.8169628102787</v>
      </c>
    </row>
    <row r="22" spans="1:16" ht="16.5">
      <c r="A22" s="3073" t="s">
        <v>3089</v>
      </c>
      <c r="B22" s="3074" t="s">
        <v>3093</v>
      </c>
      <c r="C22" s="3075">
        <v>47.73</v>
      </c>
      <c r="D22" s="3076">
        <v>32.450000000000003</v>
      </c>
      <c r="E22" s="3076">
        <v>15.281000000000001</v>
      </c>
      <c r="F22" s="1407">
        <f ca="1">ROUND(系统读取表!$E$14*面积清单!C22,0)</f>
        <v>348668</v>
      </c>
      <c r="P22" s="1407">
        <f ca="1">('结果表(公寓)'!G19+'结果表(合院)'!G19)*10000/I21</f>
        <v>9428.3118520646785</v>
      </c>
    </row>
    <row r="23" spans="1:16" ht="16.5">
      <c r="A23" s="3073" t="s">
        <v>3089</v>
      </c>
      <c r="B23" s="3074" t="s">
        <v>3094</v>
      </c>
      <c r="C23" s="3075">
        <v>47.73</v>
      </c>
      <c r="D23" s="3076">
        <v>32.450000000000003</v>
      </c>
      <c r="E23" s="3076">
        <v>15.281000000000001</v>
      </c>
      <c r="F23" s="1407">
        <f ca="1">ROUND(系统读取表!$E$14*面积清单!C23,0)</f>
        <v>348668</v>
      </c>
    </row>
    <row r="24" spans="1:16" ht="16.5">
      <c r="A24" s="3073" t="s">
        <v>3089</v>
      </c>
      <c r="B24" s="3074" t="s">
        <v>3095</v>
      </c>
      <c r="C24" s="3075">
        <v>47.73</v>
      </c>
      <c r="D24" s="3076">
        <v>32.450000000000003</v>
      </c>
      <c r="E24" s="3076">
        <v>15.281000000000001</v>
      </c>
      <c r="F24" s="1407">
        <f ca="1">ROUND(系统读取表!$E$14*面积清单!C24,0)</f>
        <v>348668</v>
      </c>
    </row>
    <row r="25" spans="1:16" ht="16.5">
      <c r="A25" s="3073" t="s">
        <v>3089</v>
      </c>
      <c r="B25" s="3074" t="s">
        <v>3096</v>
      </c>
      <c r="C25" s="3075">
        <v>46.92</v>
      </c>
      <c r="D25" s="3076">
        <v>31.896999999999998</v>
      </c>
      <c r="E25" s="3076">
        <v>15.02</v>
      </c>
      <c r="F25" s="1407">
        <f ca="1">ROUND(系统读取表!$E$14*面积清单!C25,0)</f>
        <v>342751</v>
      </c>
    </row>
    <row r="26" spans="1:16" ht="16.5">
      <c r="A26" s="3073" t="s">
        <v>3089</v>
      </c>
      <c r="B26" s="3074" t="s">
        <v>3097</v>
      </c>
      <c r="C26" s="3075">
        <v>43.09</v>
      </c>
      <c r="D26" s="3076">
        <v>29.295000000000002</v>
      </c>
      <c r="E26" s="3076">
        <v>13.795</v>
      </c>
      <c r="F26" s="1407">
        <f ca="1">ROUND(系统读取表!$E$14*面积清单!C26,0)</f>
        <v>314772</v>
      </c>
    </row>
    <row r="27" spans="1:16" ht="16.5">
      <c r="A27" s="3073" t="s">
        <v>3089</v>
      </c>
      <c r="B27" s="3074" t="s">
        <v>3098</v>
      </c>
      <c r="C27" s="3075">
        <v>43.09</v>
      </c>
      <c r="D27" s="3076">
        <v>29.295000000000002</v>
      </c>
      <c r="E27" s="3076">
        <v>13.795</v>
      </c>
      <c r="F27" s="1407">
        <f ca="1">ROUND(系统读取表!$E$14*面积清单!C27,0)</f>
        <v>314772</v>
      </c>
    </row>
    <row r="28" spans="1:16" ht="16.5">
      <c r="A28" s="3073" t="s">
        <v>3089</v>
      </c>
      <c r="B28" s="3074" t="s">
        <v>3099</v>
      </c>
      <c r="C28" s="3075">
        <v>43.09</v>
      </c>
      <c r="D28" s="3076">
        <v>29.295000000000002</v>
      </c>
      <c r="E28" s="3076">
        <v>13.795</v>
      </c>
      <c r="F28" s="1407">
        <f ca="1">ROUND(系统读取表!$E$14*面积清单!C28,0)</f>
        <v>314772</v>
      </c>
    </row>
    <row r="29" spans="1:16" ht="16.5">
      <c r="A29" s="3073" t="s">
        <v>3089</v>
      </c>
      <c r="B29" s="3074" t="s">
        <v>3100</v>
      </c>
      <c r="C29" s="3075">
        <v>43.09</v>
      </c>
      <c r="D29" s="3076">
        <v>29.295000000000002</v>
      </c>
      <c r="E29" s="3076">
        <v>13.795</v>
      </c>
      <c r="F29" s="1407">
        <f ca="1">ROUND(系统读取表!$E$14*面积清单!C29,0)</f>
        <v>314772</v>
      </c>
    </row>
    <row r="30" spans="1:16" ht="16.5">
      <c r="A30" s="3073" t="s">
        <v>3089</v>
      </c>
      <c r="B30" s="3074" t="s">
        <v>3101</v>
      </c>
      <c r="C30" s="3075">
        <v>43.09</v>
      </c>
      <c r="D30" s="3076">
        <v>29.295000000000002</v>
      </c>
      <c r="E30" s="3076">
        <v>13.795</v>
      </c>
      <c r="F30" s="1407">
        <f ca="1">ROUND(系统读取表!$E$14*面积清单!C30,0)</f>
        <v>314772</v>
      </c>
    </row>
    <row r="31" spans="1:16" ht="16.5">
      <c r="A31" s="3073" t="s">
        <v>3089</v>
      </c>
      <c r="B31" s="3074" t="s">
        <v>3102</v>
      </c>
      <c r="C31" s="3075">
        <v>43.09</v>
      </c>
      <c r="D31" s="3076">
        <v>29.295000000000002</v>
      </c>
      <c r="E31" s="3076">
        <v>13.795</v>
      </c>
      <c r="F31" s="1407">
        <f ca="1">ROUND(系统读取表!$E$14*面积清单!C31,0)</f>
        <v>314772</v>
      </c>
    </row>
    <row r="32" spans="1:16" ht="16.5">
      <c r="A32" s="3073" t="s">
        <v>3089</v>
      </c>
      <c r="B32" s="3074" t="s">
        <v>3103</v>
      </c>
      <c r="C32" s="3075">
        <v>44.37</v>
      </c>
      <c r="D32" s="3076">
        <v>30.167000000000002</v>
      </c>
      <c r="E32" s="3076">
        <v>14.206</v>
      </c>
      <c r="F32" s="1407">
        <f ca="1">ROUND(系统读取表!$E$14*面积清单!C32,0)</f>
        <v>324123</v>
      </c>
    </row>
    <row r="33" spans="1:6" ht="16.5">
      <c r="A33" s="3073" t="s">
        <v>3089</v>
      </c>
      <c r="B33" s="3074" t="s">
        <v>3104</v>
      </c>
      <c r="C33" s="3075">
        <v>38.6</v>
      </c>
      <c r="D33" s="3076">
        <v>26.244</v>
      </c>
      <c r="E33" s="3076">
        <v>12.358000000000001</v>
      </c>
      <c r="F33" s="1407">
        <f ca="1">ROUND(系统读取表!$E$14*面积清单!C33,0)</f>
        <v>281973</v>
      </c>
    </row>
    <row r="34" spans="1:6" ht="16.5">
      <c r="A34" s="3073" t="s">
        <v>3089</v>
      </c>
      <c r="B34" s="3074" t="s">
        <v>3105</v>
      </c>
      <c r="C34" s="3075">
        <v>38.6</v>
      </c>
      <c r="D34" s="3076">
        <v>26.244</v>
      </c>
      <c r="E34" s="3076">
        <v>12.358000000000001</v>
      </c>
      <c r="F34" s="1407">
        <f ca="1">ROUND(系统读取表!$E$14*面积清单!C34,0)</f>
        <v>281973</v>
      </c>
    </row>
    <row r="35" spans="1:6" ht="16.5">
      <c r="A35" s="3073" t="s">
        <v>3089</v>
      </c>
      <c r="B35" s="3074" t="s">
        <v>3106</v>
      </c>
      <c r="C35" s="3075">
        <v>44.37</v>
      </c>
      <c r="D35" s="3076">
        <v>30.167000000000002</v>
      </c>
      <c r="E35" s="3076">
        <v>14.206</v>
      </c>
      <c r="F35" s="1407">
        <f ca="1">ROUND(系统读取表!$E$14*面积清单!C35,0)</f>
        <v>324123</v>
      </c>
    </row>
    <row r="36" spans="1:6" ht="16.5">
      <c r="A36" s="3073" t="s">
        <v>3089</v>
      </c>
      <c r="B36" s="3074" t="s">
        <v>3107</v>
      </c>
      <c r="C36" s="3075">
        <v>43.09</v>
      </c>
      <c r="D36" s="3076">
        <v>29.295000000000002</v>
      </c>
      <c r="E36" s="3076">
        <v>13.795</v>
      </c>
      <c r="F36" s="1407">
        <f ca="1">ROUND(系统读取表!$E$14*面积清单!C36,0)</f>
        <v>314772</v>
      </c>
    </row>
    <row r="37" spans="1:6" ht="16.5">
      <c r="A37" s="3073" t="s">
        <v>3089</v>
      </c>
      <c r="B37" s="3074" t="s">
        <v>3108</v>
      </c>
      <c r="C37" s="3075">
        <v>43.09</v>
      </c>
      <c r="D37" s="3076">
        <v>29.295000000000002</v>
      </c>
      <c r="E37" s="3076">
        <v>13.795</v>
      </c>
      <c r="F37" s="1407">
        <f ca="1">ROUND(系统读取表!$E$14*面积清单!C37,0)</f>
        <v>314772</v>
      </c>
    </row>
    <row r="38" spans="1:6" ht="16.5">
      <c r="A38" s="3073" t="s">
        <v>3089</v>
      </c>
      <c r="B38" s="3074" t="s">
        <v>3109</v>
      </c>
      <c r="C38" s="3075">
        <v>43.09</v>
      </c>
      <c r="D38" s="3076">
        <v>29.295000000000002</v>
      </c>
      <c r="E38" s="3076">
        <v>13.795</v>
      </c>
      <c r="F38" s="1407">
        <f ca="1">ROUND(系统读取表!$E$14*面积清单!C38,0)</f>
        <v>314772</v>
      </c>
    </row>
    <row r="39" spans="1:6" ht="16.5">
      <c r="A39" s="3073" t="s">
        <v>3089</v>
      </c>
      <c r="B39" s="3074" t="s">
        <v>3110</v>
      </c>
      <c r="C39" s="3075">
        <v>43.09</v>
      </c>
      <c r="D39" s="3076">
        <v>29.295000000000002</v>
      </c>
      <c r="E39" s="3076">
        <v>13.795</v>
      </c>
      <c r="F39" s="1407">
        <f ca="1">ROUND(系统读取表!$E$14*面积清单!C39,0)</f>
        <v>314772</v>
      </c>
    </row>
    <row r="40" spans="1:6" ht="16.5">
      <c r="A40" s="3073" t="s">
        <v>3089</v>
      </c>
      <c r="B40" s="3074" t="s">
        <v>3111</v>
      </c>
      <c r="C40" s="3075">
        <v>43.09</v>
      </c>
      <c r="D40" s="3076">
        <v>29.295000000000002</v>
      </c>
      <c r="E40" s="3076">
        <v>13.795</v>
      </c>
      <c r="F40" s="1407">
        <f ca="1">ROUND(系统读取表!$E$14*面积清单!C40,0)</f>
        <v>314772</v>
      </c>
    </row>
    <row r="41" spans="1:6" ht="16.5">
      <c r="A41" s="3073" t="s">
        <v>3089</v>
      </c>
      <c r="B41" s="3074" t="s">
        <v>3112</v>
      </c>
      <c r="C41" s="3075">
        <v>43.09</v>
      </c>
      <c r="D41" s="3076">
        <v>29.295000000000002</v>
      </c>
      <c r="E41" s="3076">
        <v>13.795</v>
      </c>
      <c r="F41" s="1407">
        <f ca="1">ROUND(系统读取表!$E$14*面积清单!C41,0)</f>
        <v>314772</v>
      </c>
    </row>
    <row r="42" spans="1:6" ht="16.5">
      <c r="A42" s="3073" t="s">
        <v>3089</v>
      </c>
      <c r="B42" s="3074" t="s">
        <v>3113</v>
      </c>
      <c r="C42" s="3075">
        <v>46.92</v>
      </c>
      <c r="D42" s="3076">
        <v>31.896999999999998</v>
      </c>
      <c r="E42" s="3076">
        <v>15.02</v>
      </c>
      <c r="F42" s="1407">
        <f ca="1">ROUND(系统读取表!$E$14*面积清单!C42,0)</f>
        <v>342751</v>
      </c>
    </row>
    <row r="43" spans="1:6" ht="16.5">
      <c r="A43" s="3073" t="s">
        <v>3089</v>
      </c>
      <c r="B43" s="3074" t="s">
        <v>3114</v>
      </c>
      <c r="C43" s="3075">
        <v>47.73</v>
      </c>
      <c r="D43" s="3076">
        <v>32.450000000000003</v>
      </c>
      <c r="E43" s="3076">
        <v>15.281000000000001</v>
      </c>
      <c r="F43" s="1407">
        <f ca="1">ROUND(系统读取表!$E$14*面积清单!C43,0)</f>
        <v>348668</v>
      </c>
    </row>
    <row r="44" spans="1:6" ht="16.5">
      <c r="A44" s="3073" t="s">
        <v>3089</v>
      </c>
      <c r="B44" s="3074" t="s">
        <v>3115</v>
      </c>
      <c r="C44" s="3075">
        <v>47.73</v>
      </c>
      <c r="D44" s="3076">
        <v>32.450000000000003</v>
      </c>
      <c r="E44" s="3076">
        <v>15.281000000000001</v>
      </c>
      <c r="F44" s="1407">
        <f ca="1">ROUND(系统读取表!$E$14*面积清单!C44,0)</f>
        <v>348668</v>
      </c>
    </row>
    <row r="45" spans="1:6" ht="16.5">
      <c r="A45" s="3073" t="s">
        <v>3089</v>
      </c>
      <c r="B45" s="3074" t="s">
        <v>3116</v>
      </c>
      <c r="C45" s="3077">
        <v>43.09</v>
      </c>
      <c r="D45" s="3076">
        <v>29.295000000000002</v>
      </c>
      <c r="E45" s="3076">
        <v>13.795</v>
      </c>
      <c r="F45" s="1407">
        <f ca="1">ROUND(系统读取表!$E$14*面积清单!C45,0)</f>
        <v>314772</v>
      </c>
    </row>
    <row r="46" spans="1:6" ht="16.5">
      <c r="A46" s="3073" t="s">
        <v>3089</v>
      </c>
      <c r="B46" s="3074" t="s">
        <v>3117</v>
      </c>
      <c r="C46" s="3077">
        <v>43.09</v>
      </c>
      <c r="D46" s="3076">
        <v>29.295000000000002</v>
      </c>
      <c r="E46" s="3076">
        <v>13.795</v>
      </c>
      <c r="F46" s="1407">
        <f ca="1">ROUND(系统读取表!$E$14*面积清单!C46,0)</f>
        <v>314772</v>
      </c>
    </row>
    <row r="47" spans="1:6" ht="16.5">
      <c r="A47" s="3073" t="s">
        <v>3089</v>
      </c>
      <c r="B47" s="3074" t="s">
        <v>3118</v>
      </c>
      <c r="C47" s="3077">
        <v>43.09</v>
      </c>
      <c r="D47" s="3076">
        <v>29.295000000000002</v>
      </c>
      <c r="E47" s="3076">
        <v>13.795</v>
      </c>
      <c r="F47" s="1407">
        <f ca="1">ROUND(系统读取表!$E$14*面积清单!C47,0)</f>
        <v>314772</v>
      </c>
    </row>
    <row r="48" spans="1:6" ht="16.5">
      <c r="A48" s="3073" t="s">
        <v>3089</v>
      </c>
      <c r="B48" s="3074" t="s">
        <v>3119</v>
      </c>
      <c r="C48" s="3077">
        <v>43.09</v>
      </c>
      <c r="D48" s="3076">
        <v>29.295000000000002</v>
      </c>
      <c r="E48" s="3076">
        <v>13.795</v>
      </c>
      <c r="F48" s="1407">
        <f ca="1">ROUND(系统读取表!$E$14*面积清单!C48,0)</f>
        <v>314772</v>
      </c>
    </row>
    <row r="49" spans="1:6" ht="16.5">
      <c r="A49" s="3073" t="s">
        <v>3089</v>
      </c>
      <c r="B49" s="3074" t="s">
        <v>3120</v>
      </c>
      <c r="C49" s="3077">
        <v>43.09</v>
      </c>
      <c r="D49" s="3076">
        <v>29.295000000000002</v>
      </c>
      <c r="E49" s="3076">
        <v>13.795</v>
      </c>
      <c r="F49" s="1407">
        <f ca="1">ROUND(系统读取表!$E$14*面积清单!C49,0)</f>
        <v>314772</v>
      </c>
    </row>
    <row r="50" spans="1:6" ht="16.5">
      <c r="A50" s="3073" t="s">
        <v>3089</v>
      </c>
      <c r="B50" s="3074" t="s">
        <v>3121</v>
      </c>
      <c r="C50" s="3077">
        <v>43.09</v>
      </c>
      <c r="D50" s="3076">
        <v>29.295000000000002</v>
      </c>
      <c r="E50" s="3076">
        <v>13.795</v>
      </c>
      <c r="F50" s="1407">
        <f ca="1">ROUND(系统读取表!$E$14*面积清单!C50,0)</f>
        <v>314772</v>
      </c>
    </row>
    <row r="51" spans="1:6" ht="16.5">
      <c r="A51" s="3073" t="s">
        <v>3089</v>
      </c>
      <c r="B51" s="3074" t="s">
        <v>3122</v>
      </c>
      <c r="C51" s="3077">
        <v>44.37</v>
      </c>
      <c r="D51" s="3076">
        <v>30.167000000000002</v>
      </c>
      <c r="E51" s="3076">
        <v>14.206</v>
      </c>
      <c r="F51" s="1407">
        <f ca="1">ROUND(系统读取表!$E$14*面积清单!C51,0)</f>
        <v>324123</v>
      </c>
    </row>
    <row r="52" spans="1:6" ht="16.5">
      <c r="A52" s="3073" t="s">
        <v>3089</v>
      </c>
      <c r="B52" s="3074" t="s">
        <v>3123</v>
      </c>
      <c r="C52" s="3077">
        <v>38.6</v>
      </c>
      <c r="D52" s="3076">
        <v>26.244</v>
      </c>
      <c r="E52" s="3076">
        <v>12.358000000000001</v>
      </c>
      <c r="F52" s="1407">
        <f ca="1">ROUND(系统读取表!$E$14*面积清单!C52,0)</f>
        <v>281973</v>
      </c>
    </row>
    <row r="53" spans="1:6" ht="16.5">
      <c r="A53" s="3073" t="s">
        <v>3089</v>
      </c>
      <c r="B53" s="3074" t="s">
        <v>3124</v>
      </c>
      <c r="C53" s="3077">
        <v>38.6</v>
      </c>
      <c r="D53" s="3076">
        <v>26.244</v>
      </c>
      <c r="E53" s="3076">
        <v>12.358000000000001</v>
      </c>
      <c r="F53" s="1407">
        <f ca="1">ROUND(系统读取表!$E$14*面积清单!C53,0)</f>
        <v>281973</v>
      </c>
    </row>
    <row r="54" spans="1:6" ht="16.5">
      <c r="A54" s="3073" t="s">
        <v>3089</v>
      </c>
      <c r="B54" s="3074" t="s">
        <v>3125</v>
      </c>
      <c r="C54" s="3077">
        <v>44.37</v>
      </c>
      <c r="D54" s="3076">
        <v>30.167000000000002</v>
      </c>
      <c r="E54" s="3076">
        <v>14.206</v>
      </c>
      <c r="F54" s="1407">
        <f ca="1">ROUND(系统读取表!$E$14*面积清单!C54,0)</f>
        <v>324123</v>
      </c>
    </row>
    <row r="55" spans="1:6" ht="16.5">
      <c r="A55" s="3073" t="s">
        <v>3089</v>
      </c>
      <c r="B55" s="3074" t="s">
        <v>3126</v>
      </c>
      <c r="C55" s="3077">
        <v>43.09</v>
      </c>
      <c r="D55" s="3076">
        <v>29.295000000000002</v>
      </c>
      <c r="E55" s="3076">
        <v>13.795</v>
      </c>
      <c r="F55" s="1407">
        <f ca="1">ROUND(系统读取表!$E$14*面积清单!C55,0)</f>
        <v>314772</v>
      </c>
    </row>
    <row r="56" spans="1:6" ht="16.5">
      <c r="A56" s="3073" t="s">
        <v>3089</v>
      </c>
      <c r="B56" s="3074" t="s">
        <v>3127</v>
      </c>
      <c r="C56" s="3077">
        <v>43.09</v>
      </c>
      <c r="D56" s="3076">
        <v>29.295000000000002</v>
      </c>
      <c r="E56" s="3076">
        <v>13.795</v>
      </c>
      <c r="F56" s="1407">
        <f ca="1">ROUND(系统读取表!$E$14*面积清单!C56,0)</f>
        <v>314772</v>
      </c>
    </row>
    <row r="57" spans="1:6" ht="16.5">
      <c r="A57" s="3073" t="s">
        <v>3089</v>
      </c>
      <c r="B57" s="3074" t="s">
        <v>3128</v>
      </c>
      <c r="C57" s="3077">
        <v>43.09</v>
      </c>
      <c r="D57" s="3076">
        <v>29.295000000000002</v>
      </c>
      <c r="E57" s="3076">
        <v>13.795</v>
      </c>
      <c r="F57" s="1407">
        <f ca="1">ROUND(系统读取表!$E$14*面积清单!C57,0)</f>
        <v>314772</v>
      </c>
    </row>
    <row r="58" spans="1:6" ht="16.5">
      <c r="A58" s="3073" t="s">
        <v>3089</v>
      </c>
      <c r="B58" s="3074" t="s">
        <v>3129</v>
      </c>
      <c r="C58" s="3077">
        <v>43.09</v>
      </c>
      <c r="D58" s="3076">
        <v>29.295000000000002</v>
      </c>
      <c r="E58" s="3076">
        <v>13.795</v>
      </c>
      <c r="F58" s="1407">
        <f ca="1">ROUND(系统读取表!$E$14*面积清单!C58,0)</f>
        <v>314772</v>
      </c>
    </row>
    <row r="59" spans="1:6" ht="16.5">
      <c r="A59" s="3073" t="s">
        <v>3089</v>
      </c>
      <c r="B59" s="3074" t="s">
        <v>3130</v>
      </c>
      <c r="C59" s="3077">
        <v>43.09</v>
      </c>
      <c r="D59" s="3076">
        <v>29.295000000000002</v>
      </c>
      <c r="E59" s="3076">
        <v>13.795</v>
      </c>
      <c r="F59" s="1407">
        <f ca="1">ROUND(系统读取表!$E$14*面积清单!C59,0)</f>
        <v>314772</v>
      </c>
    </row>
    <row r="60" spans="1:6" ht="16.5">
      <c r="A60" s="3073" t="s">
        <v>3089</v>
      </c>
      <c r="B60" s="3074" t="s">
        <v>3131</v>
      </c>
      <c r="C60" s="3077">
        <v>43.09</v>
      </c>
      <c r="D60" s="3076">
        <v>29.295000000000002</v>
      </c>
      <c r="E60" s="3076">
        <v>13.795</v>
      </c>
      <c r="F60" s="1407">
        <f ca="1">ROUND(系统读取表!$E$14*面积清单!C60,0)</f>
        <v>314772</v>
      </c>
    </row>
    <row r="61" spans="1:6" ht="16.5">
      <c r="A61" s="3073" t="s">
        <v>3089</v>
      </c>
      <c r="B61" s="3074" t="s">
        <v>3132</v>
      </c>
      <c r="C61" s="3077">
        <v>46.92</v>
      </c>
      <c r="D61" s="3076">
        <v>31.896999999999998</v>
      </c>
      <c r="E61" s="3076">
        <v>15.02</v>
      </c>
      <c r="F61" s="1407">
        <f ca="1">ROUND(系统读取表!$E$14*面积清单!C61,0)</f>
        <v>342751</v>
      </c>
    </row>
    <row r="62" spans="1:6" ht="16.5">
      <c r="A62" s="3073" t="s">
        <v>3089</v>
      </c>
      <c r="B62" s="3074" t="s">
        <v>3133</v>
      </c>
      <c r="C62" s="3077">
        <v>47.73</v>
      </c>
      <c r="D62" s="3076">
        <v>32.450000000000003</v>
      </c>
      <c r="E62" s="3076">
        <v>15.281000000000001</v>
      </c>
      <c r="F62" s="1407">
        <f ca="1">ROUND(系统读取表!$E$14*面积清单!C62,0)</f>
        <v>348668</v>
      </c>
    </row>
    <row r="63" spans="1:6" ht="16.5">
      <c r="A63" s="3073" t="s">
        <v>3089</v>
      </c>
      <c r="B63" s="3074" t="s">
        <v>3134</v>
      </c>
      <c r="C63" s="3077">
        <v>47.73</v>
      </c>
      <c r="D63" s="3076">
        <v>32.450000000000003</v>
      </c>
      <c r="E63" s="3076">
        <v>15.281000000000001</v>
      </c>
      <c r="F63" s="1407">
        <f ca="1">ROUND(系统读取表!$E$14*面积清单!C63,0)</f>
        <v>348668</v>
      </c>
    </row>
    <row r="64" spans="1:6" ht="16.5">
      <c r="A64" s="3073" t="s">
        <v>3089</v>
      </c>
      <c r="B64" s="3074" t="s">
        <v>3135</v>
      </c>
      <c r="C64" s="3077">
        <v>47.73</v>
      </c>
      <c r="D64" s="3076">
        <v>32.450000000000003</v>
      </c>
      <c r="E64" s="3076">
        <v>15.281000000000001</v>
      </c>
      <c r="F64" s="1407">
        <f ca="1">ROUND(系统读取表!$E$14*面积清单!C64,0)</f>
        <v>348668</v>
      </c>
    </row>
    <row r="65" spans="1:6" ht="16.5">
      <c r="A65" s="3073" t="s">
        <v>3089</v>
      </c>
      <c r="B65" s="3074" t="s">
        <v>3136</v>
      </c>
      <c r="C65" s="3077">
        <v>47.73</v>
      </c>
      <c r="D65" s="3076">
        <v>32.450000000000003</v>
      </c>
      <c r="E65" s="3076">
        <v>15.281000000000001</v>
      </c>
      <c r="F65" s="1407">
        <f ca="1">ROUND(系统读取表!$E$14*面积清单!C65,0)</f>
        <v>348668</v>
      </c>
    </row>
    <row r="66" spans="1:6" ht="16.5">
      <c r="A66" s="3073" t="s">
        <v>3089</v>
      </c>
      <c r="B66" s="3074" t="s">
        <v>3137</v>
      </c>
      <c r="C66" s="3077">
        <v>46.92</v>
      </c>
      <c r="D66" s="3076">
        <v>31.896999999999998</v>
      </c>
      <c r="E66" s="3076">
        <v>15.02</v>
      </c>
      <c r="F66" s="1407">
        <f ca="1">ROUND(系统读取表!$E$14*面积清单!C66,0)</f>
        <v>342751</v>
      </c>
    </row>
    <row r="67" spans="1:6" ht="16.5">
      <c r="A67" s="3073" t="s">
        <v>3089</v>
      </c>
      <c r="B67" s="3074" t="s">
        <v>3138</v>
      </c>
      <c r="C67" s="3077">
        <v>43.09</v>
      </c>
      <c r="D67" s="3076">
        <v>29.295000000000002</v>
      </c>
      <c r="E67" s="3076">
        <v>13.795</v>
      </c>
      <c r="F67" s="1407">
        <f ca="1">ROUND(系统读取表!$E$14*面积清单!C67,0)</f>
        <v>314772</v>
      </c>
    </row>
    <row r="68" spans="1:6" ht="16.5">
      <c r="A68" s="3073" t="s">
        <v>3089</v>
      </c>
      <c r="B68" s="3074" t="s">
        <v>3139</v>
      </c>
      <c r="C68" s="3077">
        <v>43.09</v>
      </c>
      <c r="D68" s="3076">
        <v>29.295000000000002</v>
      </c>
      <c r="E68" s="3076">
        <v>13.795</v>
      </c>
      <c r="F68" s="1407">
        <f ca="1">ROUND(系统读取表!$E$14*面积清单!C68,0)</f>
        <v>314772</v>
      </c>
    </row>
    <row r="69" spans="1:6" ht="16.5">
      <c r="A69" s="3073" t="s">
        <v>3089</v>
      </c>
      <c r="B69" s="3074" t="s">
        <v>3140</v>
      </c>
      <c r="C69" s="3077">
        <v>43.09</v>
      </c>
      <c r="D69" s="3076">
        <v>29.295000000000002</v>
      </c>
      <c r="E69" s="3076">
        <v>13.795</v>
      </c>
      <c r="F69" s="1407">
        <f ca="1">ROUND(系统读取表!$E$14*面积清单!C69,0)</f>
        <v>314772</v>
      </c>
    </row>
    <row r="70" spans="1:6" ht="16.5">
      <c r="A70" s="3073" t="s">
        <v>3089</v>
      </c>
      <c r="B70" s="3074" t="s">
        <v>3141</v>
      </c>
      <c r="C70" s="3077">
        <v>43.09</v>
      </c>
      <c r="D70" s="3076">
        <v>29.295000000000002</v>
      </c>
      <c r="E70" s="3076">
        <v>13.795</v>
      </c>
      <c r="F70" s="1407">
        <f ca="1">ROUND(系统读取表!$E$14*面积清单!C70,0)</f>
        <v>314772</v>
      </c>
    </row>
    <row r="71" spans="1:6" ht="16.5">
      <c r="A71" s="3073" t="s">
        <v>3089</v>
      </c>
      <c r="B71" s="3074" t="s">
        <v>3142</v>
      </c>
      <c r="C71" s="3077">
        <v>43.09</v>
      </c>
      <c r="D71" s="3076">
        <v>29.295000000000002</v>
      </c>
      <c r="E71" s="3076">
        <v>13.795</v>
      </c>
      <c r="F71" s="1407">
        <f ca="1">ROUND(系统读取表!$E$14*面积清单!C71,0)</f>
        <v>314772</v>
      </c>
    </row>
    <row r="72" spans="1:6" ht="16.5">
      <c r="A72" s="3073" t="s">
        <v>3089</v>
      </c>
      <c r="B72" s="3074" t="s">
        <v>3143</v>
      </c>
      <c r="C72" s="3077">
        <v>43.09</v>
      </c>
      <c r="D72" s="3076">
        <v>29.295000000000002</v>
      </c>
      <c r="E72" s="3076">
        <v>13.795</v>
      </c>
      <c r="F72" s="1407">
        <f ca="1">ROUND(系统读取表!$E$14*面积清单!C72,0)</f>
        <v>314772</v>
      </c>
    </row>
    <row r="73" spans="1:6" ht="16.5">
      <c r="A73" s="3073" t="s">
        <v>3089</v>
      </c>
      <c r="B73" s="3074" t="s">
        <v>3144</v>
      </c>
      <c r="C73" s="3077">
        <v>44.37</v>
      </c>
      <c r="D73" s="3076">
        <v>30.167000000000002</v>
      </c>
      <c r="E73" s="3076">
        <v>14.206</v>
      </c>
      <c r="F73" s="1407">
        <f ca="1">ROUND(系统读取表!$E$14*面积清单!C73,0)</f>
        <v>324123</v>
      </c>
    </row>
    <row r="74" spans="1:6" ht="16.5">
      <c r="A74" s="3073" t="s">
        <v>3089</v>
      </c>
      <c r="B74" s="3074" t="s">
        <v>3145</v>
      </c>
      <c r="C74" s="3077">
        <v>38.6</v>
      </c>
      <c r="D74" s="3076">
        <v>26.244</v>
      </c>
      <c r="E74" s="3076">
        <v>12.358000000000001</v>
      </c>
      <c r="F74" s="1407">
        <f ca="1">ROUND(系统读取表!$E$14*面积清单!C74,0)</f>
        <v>281973</v>
      </c>
    </row>
    <row r="75" spans="1:6" ht="16.5">
      <c r="A75" s="3073" t="s">
        <v>3089</v>
      </c>
      <c r="B75" s="3074" t="s">
        <v>3146</v>
      </c>
      <c r="C75" s="3077">
        <v>38.6</v>
      </c>
      <c r="D75" s="3076">
        <v>26.244</v>
      </c>
      <c r="E75" s="3076">
        <v>12.358000000000001</v>
      </c>
      <c r="F75" s="1407">
        <f ca="1">ROUND(系统读取表!$E$14*面积清单!C75,0)</f>
        <v>281973</v>
      </c>
    </row>
    <row r="76" spans="1:6" ht="16.5">
      <c r="A76" s="3073" t="s">
        <v>3089</v>
      </c>
      <c r="B76" s="3074" t="s">
        <v>3147</v>
      </c>
      <c r="C76" s="3077">
        <v>44.37</v>
      </c>
      <c r="D76" s="3076">
        <v>30.167000000000002</v>
      </c>
      <c r="E76" s="3076">
        <v>14.206</v>
      </c>
      <c r="F76" s="1407">
        <f ca="1">ROUND(系统读取表!$E$14*面积清单!C76,0)</f>
        <v>324123</v>
      </c>
    </row>
    <row r="77" spans="1:6" ht="16.5">
      <c r="A77" s="3073" t="s">
        <v>3089</v>
      </c>
      <c r="B77" s="3074" t="s">
        <v>3148</v>
      </c>
      <c r="C77" s="3077">
        <v>43.09</v>
      </c>
      <c r="D77" s="3076">
        <v>29.295000000000002</v>
      </c>
      <c r="E77" s="3076">
        <v>13.795</v>
      </c>
      <c r="F77" s="1407">
        <f ca="1">ROUND(系统读取表!$E$14*面积清单!C77,0)</f>
        <v>314772</v>
      </c>
    </row>
    <row r="78" spans="1:6" ht="16.5">
      <c r="A78" s="3073" t="s">
        <v>3089</v>
      </c>
      <c r="B78" s="3074" t="s">
        <v>3149</v>
      </c>
      <c r="C78" s="3077">
        <v>43.09</v>
      </c>
      <c r="D78" s="3076">
        <v>29.295000000000002</v>
      </c>
      <c r="E78" s="3076">
        <v>13.795</v>
      </c>
      <c r="F78" s="1407">
        <f ca="1">ROUND(系统读取表!$E$14*面积清单!C78,0)</f>
        <v>314772</v>
      </c>
    </row>
    <row r="79" spans="1:6" ht="16.5">
      <c r="A79" s="3073" t="s">
        <v>3089</v>
      </c>
      <c r="B79" s="3074" t="s">
        <v>3150</v>
      </c>
      <c r="C79" s="3077">
        <v>43.09</v>
      </c>
      <c r="D79" s="3076">
        <v>29.295000000000002</v>
      </c>
      <c r="E79" s="3076">
        <v>13.795</v>
      </c>
      <c r="F79" s="1407">
        <f ca="1">ROUND(系统读取表!$E$14*面积清单!C79,0)</f>
        <v>314772</v>
      </c>
    </row>
    <row r="80" spans="1:6" ht="16.5">
      <c r="A80" s="3073" t="s">
        <v>3089</v>
      </c>
      <c r="B80" s="3074" t="s">
        <v>3151</v>
      </c>
      <c r="C80" s="3077">
        <v>54.53</v>
      </c>
      <c r="D80" s="3076">
        <v>37.366</v>
      </c>
      <c r="E80" s="3076">
        <v>17.164999999999999</v>
      </c>
      <c r="F80" s="1407">
        <f ca="1">ROUND(系统读取表!$E$14*面积清单!C80,0)</f>
        <v>398342</v>
      </c>
    </row>
    <row r="81" spans="1:6" ht="16.5">
      <c r="A81" s="3073" t="s">
        <v>3089</v>
      </c>
      <c r="B81" s="3074" t="s">
        <v>3152</v>
      </c>
      <c r="C81" s="3077">
        <v>52.56</v>
      </c>
      <c r="D81" s="3076">
        <v>36.012999999999998</v>
      </c>
      <c r="E81" s="3076">
        <v>16.542999999999999</v>
      </c>
      <c r="F81" s="1407">
        <f ca="1">ROUND(系统读取表!$E$14*面积清单!C81,0)</f>
        <v>383951</v>
      </c>
    </row>
    <row r="82" spans="1:6" ht="16.5">
      <c r="A82" s="3073" t="s">
        <v>3089</v>
      </c>
      <c r="B82" s="3074" t="s">
        <v>3153</v>
      </c>
      <c r="C82" s="3077">
        <v>52.56</v>
      </c>
      <c r="D82" s="3076">
        <v>36.012999999999998</v>
      </c>
      <c r="E82" s="3076">
        <v>16.542999999999999</v>
      </c>
      <c r="F82" s="1407">
        <f ca="1">ROUND(系统读取表!$E$14*面积清单!C82,0)</f>
        <v>383951</v>
      </c>
    </row>
    <row r="83" spans="1:6" ht="16.5">
      <c r="A83" s="3073" t="s">
        <v>3089</v>
      </c>
      <c r="B83" s="3074" t="s">
        <v>3154</v>
      </c>
      <c r="C83" s="3077">
        <v>52.56</v>
      </c>
      <c r="D83" s="3076">
        <v>36.012999999999998</v>
      </c>
      <c r="E83" s="3076">
        <v>16.542999999999999</v>
      </c>
      <c r="F83" s="1407">
        <f ca="1">ROUND(系统读取表!$E$14*面积清单!C83,0)</f>
        <v>383951</v>
      </c>
    </row>
    <row r="84" spans="1:6" ht="16.5">
      <c r="A84" s="3073" t="s">
        <v>3089</v>
      </c>
      <c r="B84" s="3074" t="s">
        <v>3155</v>
      </c>
      <c r="C84" s="3077">
        <v>52.56</v>
      </c>
      <c r="D84" s="3076">
        <v>36.012999999999998</v>
      </c>
      <c r="E84" s="3076">
        <v>16.542999999999999</v>
      </c>
      <c r="F84" s="1407">
        <f ca="1">ROUND(系统读取表!$E$14*面积清单!C84,0)</f>
        <v>383951</v>
      </c>
    </row>
    <row r="85" spans="1:6" ht="16.5">
      <c r="A85" s="3073" t="s">
        <v>3089</v>
      </c>
      <c r="B85" s="3074" t="s">
        <v>3156</v>
      </c>
      <c r="C85" s="3077">
        <v>52.56</v>
      </c>
      <c r="D85" s="3076">
        <v>36.012999999999998</v>
      </c>
      <c r="E85" s="3076">
        <v>16.542999999999999</v>
      </c>
      <c r="F85" s="1407">
        <f ca="1">ROUND(系统读取表!$E$14*面积清单!C85,0)</f>
        <v>383951</v>
      </c>
    </row>
    <row r="86" spans="1:6" ht="16.5">
      <c r="A86" s="3073" t="s">
        <v>3089</v>
      </c>
      <c r="B86" s="3074" t="s">
        <v>3157</v>
      </c>
      <c r="C86" s="3077">
        <v>54.53</v>
      </c>
      <c r="D86" s="3076">
        <v>37.366</v>
      </c>
      <c r="E86" s="3076">
        <v>17.164999999999999</v>
      </c>
      <c r="F86" s="1407">
        <f ca="1">ROUND(系统读取表!$E$14*面积清单!C86,0)</f>
        <v>398342</v>
      </c>
    </row>
    <row r="87" spans="1:6" ht="16.5">
      <c r="A87" s="3073" t="s">
        <v>3089</v>
      </c>
      <c r="B87" s="3074" t="s">
        <v>3158</v>
      </c>
      <c r="C87" s="3077">
        <v>42.14</v>
      </c>
      <c r="D87" s="3076">
        <v>28.875</v>
      </c>
      <c r="E87" s="3076">
        <v>13.263999999999999</v>
      </c>
      <c r="F87" s="1407">
        <f ca="1">ROUND(系统读取表!$E$14*面积清单!C87,0)</f>
        <v>307833</v>
      </c>
    </row>
    <row r="88" spans="1:6" ht="16.5">
      <c r="A88" s="3073" t="s">
        <v>3089</v>
      </c>
      <c r="B88" s="3074" t="s">
        <v>3159</v>
      </c>
      <c r="C88" s="3077">
        <v>42.14</v>
      </c>
      <c r="D88" s="3076">
        <v>28.875</v>
      </c>
      <c r="E88" s="3076">
        <v>13.263999999999999</v>
      </c>
      <c r="F88" s="1407">
        <f ca="1">ROUND(系统读取表!$E$14*面积清单!C88,0)</f>
        <v>307833</v>
      </c>
    </row>
    <row r="89" spans="1:6" ht="16.5">
      <c r="A89" s="3073" t="s">
        <v>3089</v>
      </c>
      <c r="B89" s="3074" t="s">
        <v>3160</v>
      </c>
      <c r="C89" s="3077">
        <v>42.14</v>
      </c>
      <c r="D89" s="3076">
        <v>28.875</v>
      </c>
      <c r="E89" s="3076">
        <v>13.263999999999999</v>
      </c>
      <c r="F89" s="1407">
        <f ca="1">ROUND(系统读取表!$E$14*面积清单!C89,0)</f>
        <v>307833</v>
      </c>
    </row>
    <row r="90" spans="1:6" ht="16.5">
      <c r="A90" s="3073" t="s">
        <v>3089</v>
      </c>
      <c r="B90" s="3074" t="s">
        <v>3161</v>
      </c>
      <c r="C90" s="3077">
        <v>43.74</v>
      </c>
      <c r="D90" s="3076">
        <v>29.975000000000001</v>
      </c>
      <c r="E90" s="3076">
        <v>13.769</v>
      </c>
      <c r="F90" s="1407">
        <f ca="1">ROUND(系统读取表!$E$14*面积清单!C90,0)</f>
        <v>319521</v>
      </c>
    </row>
    <row r="91" spans="1:6" ht="16.5">
      <c r="A91" s="3073" t="s">
        <v>3089</v>
      </c>
      <c r="B91" s="3074" t="s">
        <v>3162</v>
      </c>
      <c r="C91" s="3077">
        <v>41.64</v>
      </c>
      <c r="D91" s="3076">
        <v>28.530999999999999</v>
      </c>
      <c r="E91" s="3076">
        <v>13.106</v>
      </c>
      <c r="F91" s="1407">
        <f ca="1">ROUND(系统读取表!$E$14*面积清单!C91,0)</f>
        <v>304180</v>
      </c>
    </row>
    <row r="92" spans="1:6" ht="16.5">
      <c r="A92" s="3073" t="s">
        <v>3089</v>
      </c>
      <c r="B92" s="3074" t="s">
        <v>3163</v>
      </c>
      <c r="C92" s="3077">
        <v>41.64</v>
      </c>
      <c r="D92" s="3076">
        <v>28.530999999999999</v>
      </c>
      <c r="E92" s="3076">
        <v>13.106</v>
      </c>
      <c r="F92" s="1407">
        <f ca="1">ROUND(系统读取表!$E$14*面积清单!C92,0)</f>
        <v>304180</v>
      </c>
    </row>
    <row r="93" spans="1:6" ht="16.5">
      <c r="A93" s="3073" t="s">
        <v>3089</v>
      </c>
      <c r="B93" s="3074" t="s">
        <v>3164</v>
      </c>
      <c r="C93" s="3077">
        <v>43.74</v>
      </c>
      <c r="D93" s="3076">
        <v>29.975000000000001</v>
      </c>
      <c r="E93" s="3076">
        <v>13.769</v>
      </c>
      <c r="F93" s="1407">
        <f ca="1">ROUND(系统读取表!$E$14*面积清单!C93,0)</f>
        <v>319521</v>
      </c>
    </row>
    <row r="94" spans="1:6" ht="16.5">
      <c r="A94" s="3073" t="s">
        <v>3089</v>
      </c>
      <c r="B94" s="3074" t="s">
        <v>3165</v>
      </c>
      <c r="C94" s="3077">
        <v>42.14</v>
      </c>
      <c r="D94" s="3076">
        <v>28.875</v>
      </c>
      <c r="E94" s="3076">
        <v>13.263999999999999</v>
      </c>
      <c r="F94" s="1407">
        <f ca="1">ROUND(系统读取表!$E$14*面积清单!C94,0)</f>
        <v>307833</v>
      </c>
    </row>
    <row r="95" spans="1:6" ht="16.5">
      <c r="A95" s="3073" t="s">
        <v>3089</v>
      </c>
      <c r="B95" s="3074" t="s">
        <v>3166</v>
      </c>
      <c r="C95" s="3077">
        <v>42.14</v>
      </c>
      <c r="D95" s="3076">
        <v>28.875</v>
      </c>
      <c r="E95" s="3076">
        <v>13.263999999999999</v>
      </c>
      <c r="F95" s="1407">
        <f ca="1">ROUND(系统读取表!$E$14*面积清单!C95,0)</f>
        <v>307833</v>
      </c>
    </row>
    <row r="96" spans="1:6" ht="16.5">
      <c r="A96" s="3073" t="s">
        <v>3089</v>
      </c>
      <c r="B96" s="3074" t="s">
        <v>3167</v>
      </c>
      <c r="C96" s="3077">
        <v>42.14</v>
      </c>
      <c r="D96" s="3076">
        <v>28.875</v>
      </c>
      <c r="E96" s="3076">
        <v>13.263999999999999</v>
      </c>
      <c r="F96" s="1407">
        <f ca="1">ROUND(系统读取表!$E$14*面积清单!C96,0)</f>
        <v>307833</v>
      </c>
    </row>
    <row r="97" spans="1:6" ht="16.5">
      <c r="A97" s="3073" t="s">
        <v>3089</v>
      </c>
      <c r="B97" s="3074" t="s">
        <v>3168</v>
      </c>
      <c r="C97" s="3077">
        <v>54.53</v>
      </c>
      <c r="D97" s="3076">
        <v>37.366</v>
      </c>
      <c r="E97" s="3076">
        <v>17.164999999999999</v>
      </c>
      <c r="F97" s="1407">
        <f ca="1">ROUND(系统读取表!$E$14*面积清单!C97,0)</f>
        <v>398342</v>
      </c>
    </row>
    <row r="98" spans="1:6" ht="16.5">
      <c r="A98" s="3073" t="s">
        <v>3089</v>
      </c>
      <c r="B98" s="3074" t="s">
        <v>3169</v>
      </c>
      <c r="C98" s="3077">
        <v>52.56</v>
      </c>
      <c r="D98" s="3076">
        <v>36.012999999999998</v>
      </c>
      <c r="E98" s="3076">
        <v>16.542999999999999</v>
      </c>
      <c r="F98" s="1407">
        <f ca="1">ROUND(系统读取表!$E$14*面积清单!C98,0)</f>
        <v>383951</v>
      </c>
    </row>
    <row r="99" spans="1:6" ht="16.5">
      <c r="A99" s="3073" t="s">
        <v>3089</v>
      </c>
      <c r="B99" s="3074" t="s">
        <v>3170</v>
      </c>
      <c r="C99" s="3077">
        <v>52.56</v>
      </c>
      <c r="D99" s="3076">
        <v>36.012999999999998</v>
      </c>
      <c r="E99" s="3076">
        <v>16.542999999999999</v>
      </c>
      <c r="F99" s="1407">
        <f ca="1">ROUND(系统读取表!$E$14*面积清单!C99,0)</f>
        <v>383951</v>
      </c>
    </row>
    <row r="100" spans="1:6" ht="16.5">
      <c r="A100" s="3073" t="s">
        <v>3089</v>
      </c>
      <c r="B100" s="3074" t="s">
        <v>3171</v>
      </c>
      <c r="C100" s="3077">
        <v>52.56</v>
      </c>
      <c r="D100" s="3076">
        <v>36.012999999999998</v>
      </c>
      <c r="E100" s="3076">
        <v>16.542999999999999</v>
      </c>
      <c r="F100" s="1407">
        <f ca="1">ROUND(系统读取表!$E$14*面积清单!C100,0)</f>
        <v>383951</v>
      </c>
    </row>
    <row r="101" spans="1:6" ht="16.5">
      <c r="A101" s="3073" t="s">
        <v>3089</v>
      </c>
      <c r="B101" s="3074" t="s">
        <v>3172</v>
      </c>
      <c r="C101" s="3077">
        <v>52.56</v>
      </c>
      <c r="D101" s="3076">
        <v>36.012999999999998</v>
      </c>
      <c r="E101" s="3076">
        <v>16.542999999999999</v>
      </c>
      <c r="F101" s="1407">
        <f ca="1">ROUND(系统读取表!$E$14*面积清单!C101,0)</f>
        <v>383951</v>
      </c>
    </row>
    <row r="102" spans="1:6" ht="16.5">
      <c r="A102" s="3073" t="s">
        <v>3089</v>
      </c>
      <c r="B102" s="3074" t="s">
        <v>3173</v>
      </c>
      <c r="C102" s="3077">
        <v>52.56</v>
      </c>
      <c r="D102" s="3076">
        <v>36.012999999999998</v>
      </c>
      <c r="E102" s="3076">
        <v>16.542999999999999</v>
      </c>
      <c r="F102" s="1407">
        <f ca="1">ROUND(系统读取表!$E$14*面积清单!C102,0)</f>
        <v>383951</v>
      </c>
    </row>
    <row r="103" spans="1:6" ht="16.5">
      <c r="A103" s="3073" t="s">
        <v>3089</v>
      </c>
      <c r="B103" s="3074" t="s">
        <v>3174</v>
      </c>
      <c r="C103" s="3077">
        <v>52.56</v>
      </c>
      <c r="D103" s="3076">
        <v>36.012999999999998</v>
      </c>
      <c r="E103" s="3076">
        <v>16.542999999999999</v>
      </c>
      <c r="F103" s="1407">
        <f ca="1">ROUND(系统读取表!$E$14*面积清单!C103,0)</f>
        <v>383951</v>
      </c>
    </row>
    <row r="104" spans="1:6" ht="16.5">
      <c r="A104" s="3073" t="s">
        <v>3089</v>
      </c>
      <c r="B104" s="3074" t="s">
        <v>3175</v>
      </c>
      <c r="C104" s="3077">
        <v>54.53</v>
      </c>
      <c r="D104" s="3076">
        <v>37.366</v>
      </c>
      <c r="E104" s="3076">
        <v>17.164999999999999</v>
      </c>
      <c r="F104" s="1407">
        <f ca="1">ROUND(系统读取表!$E$14*面积清单!C104,0)</f>
        <v>398342</v>
      </c>
    </row>
    <row r="105" spans="1:6" ht="16.5">
      <c r="A105" s="3073" t="s">
        <v>3089</v>
      </c>
      <c r="B105" s="3074" t="s">
        <v>3176</v>
      </c>
      <c r="C105" s="3077">
        <v>42.14</v>
      </c>
      <c r="D105" s="3076">
        <v>28.875</v>
      </c>
      <c r="E105" s="3076">
        <v>13.263999999999999</v>
      </c>
      <c r="F105" s="1407">
        <f ca="1">ROUND(系统读取表!$E$14*面积清单!C105,0)</f>
        <v>307833</v>
      </c>
    </row>
    <row r="106" spans="1:6" ht="16.5">
      <c r="A106" s="3073" t="s">
        <v>3089</v>
      </c>
      <c r="B106" s="3074" t="s">
        <v>3177</v>
      </c>
      <c r="C106" s="3077">
        <v>42.14</v>
      </c>
      <c r="D106" s="3076">
        <v>28.875</v>
      </c>
      <c r="E106" s="3076">
        <v>13.263999999999999</v>
      </c>
      <c r="F106" s="1407">
        <f ca="1">ROUND(系统读取表!$E$14*面积清单!C106,0)</f>
        <v>307833</v>
      </c>
    </row>
    <row r="107" spans="1:6" ht="16.5">
      <c r="A107" s="3073" t="s">
        <v>3089</v>
      </c>
      <c r="B107" s="3074" t="s">
        <v>3178</v>
      </c>
      <c r="C107" s="3077">
        <v>42.14</v>
      </c>
      <c r="D107" s="3076">
        <v>28.875</v>
      </c>
      <c r="E107" s="3076">
        <v>13.263999999999999</v>
      </c>
      <c r="F107" s="1407">
        <f ca="1">ROUND(系统读取表!$E$14*面积清单!C107,0)</f>
        <v>307833</v>
      </c>
    </row>
    <row r="108" spans="1:6" ht="16.5">
      <c r="A108" s="3073" t="s">
        <v>3089</v>
      </c>
      <c r="B108" s="3074" t="s">
        <v>3179</v>
      </c>
      <c r="C108" s="3077">
        <v>43.74</v>
      </c>
      <c r="D108" s="3076">
        <v>29.975000000000001</v>
      </c>
      <c r="E108" s="3076">
        <v>13.769</v>
      </c>
      <c r="F108" s="1407">
        <f ca="1">ROUND(系统读取表!$E$14*面积清单!C108,0)</f>
        <v>319521</v>
      </c>
    </row>
    <row r="109" spans="1:6" ht="16.5">
      <c r="A109" s="3073" t="s">
        <v>3089</v>
      </c>
      <c r="B109" s="3074" t="s">
        <v>3180</v>
      </c>
      <c r="C109" s="3077">
        <v>41.64</v>
      </c>
      <c r="D109" s="3076">
        <v>28.530999999999999</v>
      </c>
      <c r="E109" s="3076">
        <v>13.106</v>
      </c>
      <c r="F109" s="1407">
        <f ca="1">ROUND(系统读取表!$E$14*面积清单!C109,0)</f>
        <v>304180</v>
      </c>
    </row>
    <row r="110" spans="1:6" ht="16.5">
      <c r="A110" s="3073" t="s">
        <v>3089</v>
      </c>
      <c r="B110" s="3074" t="s">
        <v>3181</v>
      </c>
      <c r="C110" s="3077">
        <v>41.64</v>
      </c>
      <c r="D110" s="3076">
        <v>28.530999999999999</v>
      </c>
      <c r="E110" s="3076">
        <v>13.106</v>
      </c>
      <c r="F110" s="1407">
        <f ca="1">ROUND(系统读取表!$E$14*面积清单!C110,0)</f>
        <v>304180</v>
      </c>
    </row>
    <row r="111" spans="1:6" ht="16.5">
      <c r="A111" s="3073" t="s">
        <v>3089</v>
      </c>
      <c r="B111" s="3074" t="s">
        <v>3182</v>
      </c>
      <c r="C111" s="3077">
        <v>41.64</v>
      </c>
      <c r="D111" s="3076">
        <v>28.530999999999999</v>
      </c>
      <c r="E111" s="3076">
        <v>13.106</v>
      </c>
      <c r="F111" s="1407">
        <f ca="1">ROUND(系统读取表!$E$14*面积清单!C111,0)</f>
        <v>304180</v>
      </c>
    </row>
    <row r="112" spans="1:6" ht="16.5">
      <c r="A112" s="3073" t="s">
        <v>3089</v>
      </c>
      <c r="B112" s="3074" t="s">
        <v>3183</v>
      </c>
      <c r="C112" s="3077">
        <v>41.64</v>
      </c>
      <c r="D112" s="3076">
        <v>28.530999999999999</v>
      </c>
      <c r="E112" s="3076">
        <v>13.106</v>
      </c>
      <c r="F112" s="1407">
        <f ca="1">ROUND(系统读取表!$E$14*面积清单!C112,0)</f>
        <v>304180</v>
      </c>
    </row>
    <row r="113" spans="1:6" ht="16.5">
      <c r="A113" s="3073" t="s">
        <v>3089</v>
      </c>
      <c r="B113" s="3074" t="s">
        <v>3184</v>
      </c>
      <c r="C113" s="3077">
        <v>41.64</v>
      </c>
      <c r="D113" s="3076">
        <v>28.530999999999999</v>
      </c>
      <c r="E113" s="3076">
        <v>13.106</v>
      </c>
      <c r="F113" s="1407">
        <f ca="1">ROUND(系统读取表!$E$14*面积清单!C113,0)</f>
        <v>304180</v>
      </c>
    </row>
    <row r="114" spans="1:6" ht="16.5">
      <c r="A114" s="3073" t="s">
        <v>3089</v>
      </c>
      <c r="B114" s="3074" t="s">
        <v>3185</v>
      </c>
      <c r="C114" s="3077">
        <v>43.74</v>
      </c>
      <c r="D114" s="3076">
        <v>29.975000000000001</v>
      </c>
      <c r="E114" s="3076">
        <v>13.769</v>
      </c>
      <c r="F114" s="1407">
        <f ca="1">ROUND(系统读取表!$E$14*面积清单!C114,0)</f>
        <v>319521</v>
      </c>
    </row>
    <row r="115" spans="1:6" ht="16.5">
      <c r="A115" s="3073" t="s">
        <v>3089</v>
      </c>
      <c r="B115" s="3074" t="s">
        <v>3186</v>
      </c>
      <c r="C115" s="3077">
        <v>42.14</v>
      </c>
      <c r="D115" s="3076">
        <v>28.875</v>
      </c>
      <c r="E115" s="3076">
        <v>13.263999999999999</v>
      </c>
      <c r="F115" s="1407">
        <f ca="1">ROUND(系统读取表!$E$14*面积清单!C115,0)</f>
        <v>307833</v>
      </c>
    </row>
    <row r="116" spans="1:6" ht="16.5">
      <c r="A116" s="3073" t="s">
        <v>3089</v>
      </c>
      <c r="B116" s="3074" t="s">
        <v>3187</v>
      </c>
      <c r="C116" s="3077">
        <v>42.14</v>
      </c>
      <c r="D116" s="3076">
        <v>28.875</v>
      </c>
      <c r="E116" s="3076">
        <v>13.263999999999999</v>
      </c>
      <c r="F116" s="1407">
        <f ca="1">ROUND(系统读取表!$E$14*面积清单!C116,0)</f>
        <v>307833</v>
      </c>
    </row>
    <row r="117" spans="1:6" ht="16.5">
      <c r="A117" s="3073" t="s">
        <v>3089</v>
      </c>
      <c r="B117" s="3074" t="s">
        <v>3188</v>
      </c>
      <c r="C117" s="3077">
        <v>42.14</v>
      </c>
      <c r="D117" s="3076">
        <v>28.875</v>
      </c>
      <c r="E117" s="3076">
        <v>13.263999999999999</v>
      </c>
      <c r="F117" s="1407">
        <f ca="1">ROUND(系统读取表!$E$14*面积清单!C117,0)</f>
        <v>307833</v>
      </c>
    </row>
    <row r="118" spans="1:6" ht="16.5">
      <c r="A118" s="3073" t="s">
        <v>3089</v>
      </c>
      <c r="B118" s="3074" t="s">
        <v>3189</v>
      </c>
      <c r="C118" s="3077">
        <v>54.53</v>
      </c>
      <c r="D118" s="3076">
        <v>37.366</v>
      </c>
      <c r="E118" s="3076">
        <v>17.164999999999999</v>
      </c>
      <c r="F118" s="1407">
        <f ca="1">ROUND(系统读取表!$E$14*面积清单!C118,0)</f>
        <v>398342</v>
      </c>
    </row>
    <row r="119" spans="1:6" ht="16.5">
      <c r="A119" s="3073" t="s">
        <v>3089</v>
      </c>
      <c r="B119" s="3074" t="s">
        <v>3190</v>
      </c>
      <c r="C119" s="3077">
        <v>52.56</v>
      </c>
      <c r="D119" s="3076">
        <v>36.012999999999998</v>
      </c>
      <c r="E119" s="3076">
        <v>16.542999999999999</v>
      </c>
      <c r="F119" s="1407">
        <f ca="1">ROUND(系统读取表!$E$14*面积清单!C119,0)</f>
        <v>383951</v>
      </c>
    </row>
    <row r="120" spans="1:6" ht="16.5">
      <c r="A120" s="3073" t="s">
        <v>3089</v>
      </c>
      <c r="B120" s="3074" t="s">
        <v>3191</v>
      </c>
      <c r="C120" s="3077">
        <v>52.56</v>
      </c>
      <c r="D120" s="3076">
        <v>36.012999999999998</v>
      </c>
      <c r="E120" s="3076">
        <v>16.542999999999999</v>
      </c>
      <c r="F120" s="1407">
        <f ca="1">ROUND(系统读取表!$E$14*面积清单!C120,0)</f>
        <v>383951</v>
      </c>
    </row>
    <row r="121" spans="1:6" ht="16.5">
      <c r="A121" s="3073" t="s">
        <v>3089</v>
      </c>
      <c r="B121" s="3074" t="s">
        <v>3192</v>
      </c>
      <c r="C121" s="3077">
        <v>52.56</v>
      </c>
      <c r="D121" s="3076">
        <v>36.012999999999998</v>
      </c>
      <c r="E121" s="3076">
        <v>16.542999999999999</v>
      </c>
      <c r="F121" s="1407">
        <f ca="1">ROUND(系统读取表!$E$14*面积清单!C121,0)</f>
        <v>383951</v>
      </c>
    </row>
    <row r="122" spans="1:6" ht="16.5">
      <c r="A122" s="3073" t="s">
        <v>3089</v>
      </c>
      <c r="B122" s="3074" t="s">
        <v>3193</v>
      </c>
      <c r="C122" s="3077">
        <v>52.56</v>
      </c>
      <c r="D122" s="3076">
        <v>36.012999999999998</v>
      </c>
      <c r="E122" s="3076">
        <v>16.542999999999999</v>
      </c>
      <c r="F122" s="1407">
        <f ca="1">ROUND(系统读取表!$E$14*面积清单!C122,0)</f>
        <v>383951</v>
      </c>
    </row>
    <row r="123" spans="1:6" ht="16.5">
      <c r="A123" s="3073" t="s">
        <v>3089</v>
      </c>
      <c r="B123" s="3074" t="s">
        <v>3194</v>
      </c>
      <c r="C123" s="3077">
        <v>52.56</v>
      </c>
      <c r="D123" s="3076">
        <v>36.012999999999998</v>
      </c>
      <c r="E123" s="3076">
        <v>16.542999999999999</v>
      </c>
      <c r="F123" s="1407">
        <f ca="1">ROUND(系统读取表!$E$14*面积清单!C123,0)</f>
        <v>383951</v>
      </c>
    </row>
    <row r="124" spans="1:6" ht="16.5">
      <c r="A124" s="3073" t="s">
        <v>3089</v>
      </c>
      <c r="B124" s="3074" t="s">
        <v>3195</v>
      </c>
      <c r="C124" s="3077">
        <v>52.56</v>
      </c>
      <c r="D124" s="3076">
        <v>36.012999999999998</v>
      </c>
      <c r="E124" s="3076">
        <v>16.542999999999999</v>
      </c>
      <c r="F124" s="1407">
        <f ca="1">ROUND(系统读取表!$E$14*面积清单!C124,0)</f>
        <v>383951</v>
      </c>
    </row>
    <row r="125" spans="1:6" ht="16.5">
      <c r="A125" s="3073" t="s">
        <v>3089</v>
      </c>
      <c r="B125" s="3074" t="s">
        <v>3196</v>
      </c>
      <c r="C125" s="3077">
        <v>52.56</v>
      </c>
      <c r="D125" s="3076">
        <v>36.012999999999998</v>
      </c>
      <c r="E125" s="3076">
        <v>16.542999999999999</v>
      </c>
      <c r="F125" s="1407">
        <f ca="1">ROUND(系统读取表!$E$14*面积清单!C125,0)</f>
        <v>383951</v>
      </c>
    </row>
    <row r="126" spans="1:6" ht="16.5">
      <c r="A126" s="3073" t="s">
        <v>3089</v>
      </c>
      <c r="B126" s="3074" t="s">
        <v>3197</v>
      </c>
      <c r="C126" s="3077">
        <v>54.53</v>
      </c>
      <c r="D126" s="3076">
        <v>37.366</v>
      </c>
      <c r="E126" s="3076">
        <v>17.164999999999999</v>
      </c>
      <c r="F126" s="1407">
        <f ca="1">ROUND(系统读取表!$E$14*面积清单!C126,0)</f>
        <v>398342</v>
      </c>
    </row>
    <row r="127" spans="1:6" ht="16.5">
      <c r="A127" s="3073" t="s">
        <v>3089</v>
      </c>
      <c r="B127" s="3074" t="s">
        <v>3198</v>
      </c>
      <c r="C127" s="3077">
        <v>42.14</v>
      </c>
      <c r="D127" s="3076">
        <v>28.875</v>
      </c>
      <c r="E127" s="3076">
        <v>13.263999999999999</v>
      </c>
      <c r="F127" s="1407">
        <f ca="1">ROUND(系统读取表!$E$14*面积清单!C127,0)</f>
        <v>307833</v>
      </c>
    </row>
    <row r="128" spans="1:6" ht="16.5">
      <c r="A128" s="3073" t="s">
        <v>3089</v>
      </c>
      <c r="B128" s="3074" t="s">
        <v>3199</v>
      </c>
      <c r="C128" s="3077">
        <v>42.14</v>
      </c>
      <c r="D128" s="3076">
        <v>28.875</v>
      </c>
      <c r="E128" s="3076">
        <v>13.263999999999999</v>
      </c>
      <c r="F128" s="1407">
        <f ca="1">ROUND(系统读取表!$E$14*面积清单!C128,0)</f>
        <v>307833</v>
      </c>
    </row>
    <row r="129" spans="1:6" ht="16.5">
      <c r="A129" s="3073" t="s">
        <v>3089</v>
      </c>
      <c r="B129" s="3074" t="s">
        <v>3200</v>
      </c>
      <c r="C129" s="3077">
        <v>42.14</v>
      </c>
      <c r="D129" s="3076">
        <v>28.875</v>
      </c>
      <c r="E129" s="3076">
        <v>13.263999999999999</v>
      </c>
      <c r="F129" s="1407">
        <f ca="1">ROUND(系统读取表!$E$14*面积清单!C129,0)</f>
        <v>307833</v>
      </c>
    </row>
    <row r="130" spans="1:6" ht="16.5">
      <c r="A130" s="3073" t="s">
        <v>3089</v>
      </c>
      <c r="B130" s="3074" t="s">
        <v>3201</v>
      </c>
      <c r="C130" s="3077">
        <v>43.74</v>
      </c>
      <c r="D130" s="3076">
        <v>29.975000000000001</v>
      </c>
      <c r="E130" s="3076">
        <v>13.769</v>
      </c>
      <c r="F130" s="1407">
        <f ca="1">ROUND(系统读取表!$E$14*面积清单!C130,0)</f>
        <v>319521</v>
      </c>
    </row>
    <row r="131" spans="1:6" ht="16.5">
      <c r="A131" s="3073" t="s">
        <v>3089</v>
      </c>
      <c r="B131" s="3074" t="s">
        <v>3202</v>
      </c>
      <c r="C131" s="3077">
        <v>41.64</v>
      </c>
      <c r="D131" s="3076">
        <v>28.530999999999999</v>
      </c>
      <c r="E131" s="3076">
        <v>13.106</v>
      </c>
      <c r="F131" s="1407">
        <f ca="1">ROUND(系统读取表!$E$14*面积清单!C131,0)</f>
        <v>304180</v>
      </c>
    </row>
    <row r="132" spans="1:6" ht="16.5">
      <c r="A132" s="3073" t="s">
        <v>3089</v>
      </c>
      <c r="B132" s="3074" t="s">
        <v>3203</v>
      </c>
      <c r="C132" s="3077">
        <v>41.64</v>
      </c>
      <c r="D132" s="3076">
        <v>28.530999999999999</v>
      </c>
      <c r="E132" s="3076">
        <v>13.106</v>
      </c>
      <c r="F132" s="1407">
        <f ca="1">ROUND(系统读取表!$E$14*面积清单!C132,0)</f>
        <v>304180</v>
      </c>
    </row>
    <row r="133" spans="1:6" ht="16.5">
      <c r="A133" s="3073" t="s">
        <v>3089</v>
      </c>
      <c r="B133" s="3074" t="s">
        <v>3204</v>
      </c>
      <c r="C133" s="3077">
        <v>41.64</v>
      </c>
      <c r="D133" s="3076">
        <v>28.530999999999999</v>
      </c>
      <c r="E133" s="3076">
        <v>13.106</v>
      </c>
      <c r="F133" s="1407">
        <f ca="1">ROUND(系统读取表!$E$14*面积清单!C133,0)</f>
        <v>304180</v>
      </c>
    </row>
    <row r="134" spans="1:6" ht="16.5">
      <c r="A134" s="3073" t="s">
        <v>3089</v>
      </c>
      <c r="B134" s="3074" t="s">
        <v>3205</v>
      </c>
      <c r="C134" s="3077">
        <v>41.64</v>
      </c>
      <c r="D134" s="3076">
        <v>28.530999999999999</v>
      </c>
      <c r="E134" s="3076">
        <v>13.106</v>
      </c>
      <c r="F134" s="1407">
        <f ca="1">ROUND(系统读取表!$E$14*面积清单!C134,0)</f>
        <v>304180</v>
      </c>
    </row>
    <row r="135" spans="1:6" ht="16.5">
      <c r="A135" s="3073" t="s">
        <v>3089</v>
      </c>
      <c r="B135" s="3074" t="s">
        <v>3206</v>
      </c>
      <c r="C135" s="3077">
        <v>41.64</v>
      </c>
      <c r="D135" s="3076">
        <v>28.530999999999999</v>
      </c>
      <c r="E135" s="3076">
        <v>13.106</v>
      </c>
      <c r="F135" s="1407">
        <f ca="1">ROUND(系统读取表!$E$14*面积清单!C135,0)</f>
        <v>304180</v>
      </c>
    </row>
    <row r="136" spans="1:6" ht="16.5">
      <c r="A136" s="3073" t="s">
        <v>3089</v>
      </c>
      <c r="B136" s="3074" t="s">
        <v>3207</v>
      </c>
      <c r="C136" s="3077">
        <v>43.74</v>
      </c>
      <c r="D136" s="3076">
        <v>29.975000000000001</v>
      </c>
      <c r="E136" s="3076">
        <v>13.769</v>
      </c>
      <c r="F136" s="1407">
        <f ca="1">ROUND(系统读取表!$E$14*面积清单!C136,0)</f>
        <v>319521</v>
      </c>
    </row>
    <row r="137" spans="1:6" ht="16.5">
      <c r="A137" s="3073" t="s">
        <v>3089</v>
      </c>
      <c r="B137" s="3074" t="s">
        <v>3208</v>
      </c>
      <c r="C137" s="3077">
        <v>42.14</v>
      </c>
      <c r="D137" s="3076">
        <v>28.875</v>
      </c>
      <c r="E137" s="3076">
        <v>13.263999999999999</v>
      </c>
      <c r="F137" s="1407">
        <f ca="1">ROUND(系统读取表!$E$14*面积清单!C137,0)</f>
        <v>307833</v>
      </c>
    </row>
    <row r="138" spans="1:6" ht="16.5">
      <c r="A138" s="3073" t="s">
        <v>3089</v>
      </c>
      <c r="B138" s="3074" t="s">
        <v>3209</v>
      </c>
      <c r="C138" s="3077">
        <v>42.14</v>
      </c>
      <c r="D138" s="3076">
        <v>28.875</v>
      </c>
      <c r="E138" s="3076">
        <v>13.263999999999999</v>
      </c>
      <c r="F138" s="1407">
        <f ca="1">ROUND(系统读取表!$E$14*面积清单!C138,0)</f>
        <v>307833</v>
      </c>
    </row>
    <row r="139" spans="1:6" ht="16.5">
      <c r="A139" s="3073" t="s">
        <v>3089</v>
      </c>
      <c r="B139" s="3074" t="s">
        <v>3210</v>
      </c>
      <c r="C139" s="3077">
        <v>42.14</v>
      </c>
      <c r="D139" s="3076">
        <v>28.875</v>
      </c>
      <c r="E139" s="3076">
        <v>13.263999999999999</v>
      </c>
      <c r="F139" s="1407">
        <f ca="1">ROUND(系统读取表!$E$14*面积清单!C139,0)</f>
        <v>307833</v>
      </c>
    </row>
    <row r="140" spans="1:6" ht="16.5">
      <c r="A140" s="3073" t="s">
        <v>3089</v>
      </c>
      <c r="B140" s="3074" t="s">
        <v>3211</v>
      </c>
      <c r="C140" s="3077">
        <v>54.53</v>
      </c>
      <c r="D140" s="3076">
        <v>37.366</v>
      </c>
      <c r="E140" s="3076">
        <v>17.164999999999999</v>
      </c>
      <c r="F140" s="1407">
        <f ca="1">ROUND(系统读取表!$E$14*面积清单!C140,0)</f>
        <v>398342</v>
      </c>
    </row>
    <row r="141" spans="1:6" ht="16.5">
      <c r="A141" s="3073" t="s">
        <v>3089</v>
      </c>
      <c r="B141" s="3074" t="s">
        <v>3212</v>
      </c>
      <c r="C141" s="3077">
        <v>52.56</v>
      </c>
      <c r="D141" s="3076">
        <v>36.012999999999998</v>
      </c>
      <c r="E141" s="3076">
        <v>16.542999999999999</v>
      </c>
      <c r="F141" s="1407">
        <f ca="1">ROUND(系统读取表!$E$14*面积清单!C141,0)</f>
        <v>383951</v>
      </c>
    </row>
    <row r="142" spans="1:6" ht="16.5">
      <c r="A142" s="3073" t="s">
        <v>3089</v>
      </c>
      <c r="B142" s="3074" t="s">
        <v>3213</v>
      </c>
      <c r="C142" s="3077">
        <v>52.56</v>
      </c>
      <c r="D142" s="3076">
        <v>36.012999999999998</v>
      </c>
      <c r="E142" s="3076">
        <v>16.542999999999999</v>
      </c>
      <c r="F142" s="1407">
        <f ca="1">ROUND(系统读取表!$E$14*面积清单!C142,0)</f>
        <v>383951</v>
      </c>
    </row>
    <row r="143" spans="1:6" ht="16.5">
      <c r="A143" s="3073" t="s">
        <v>3089</v>
      </c>
      <c r="B143" s="3074" t="s">
        <v>3214</v>
      </c>
      <c r="C143" s="3077">
        <v>52.56</v>
      </c>
      <c r="D143" s="3076">
        <v>36.012999999999998</v>
      </c>
      <c r="E143" s="3076">
        <v>16.542999999999999</v>
      </c>
      <c r="F143" s="1407">
        <f ca="1">ROUND(系统读取表!$E$14*面积清单!C143,0)</f>
        <v>383951</v>
      </c>
    </row>
    <row r="144" spans="1:6" ht="16.5">
      <c r="A144" s="3073" t="s">
        <v>3089</v>
      </c>
      <c r="B144" s="3074" t="s">
        <v>3215</v>
      </c>
      <c r="C144" s="3077">
        <v>52.56</v>
      </c>
      <c r="D144" s="3076">
        <v>36.012999999999998</v>
      </c>
      <c r="E144" s="3076">
        <v>16.542999999999999</v>
      </c>
      <c r="F144" s="1407">
        <f ca="1">ROUND(系统读取表!$E$14*面积清单!C144,0)</f>
        <v>383951</v>
      </c>
    </row>
    <row r="145" spans="1:6" ht="16.5">
      <c r="A145" s="3073" t="s">
        <v>3089</v>
      </c>
      <c r="B145" s="3074" t="s">
        <v>3216</v>
      </c>
      <c r="C145" s="3077">
        <v>52.56</v>
      </c>
      <c r="D145" s="3076">
        <v>36.012999999999998</v>
      </c>
      <c r="E145" s="3076">
        <v>16.542999999999999</v>
      </c>
      <c r="F145" s="1407">
        <f ca="1">ROUND(系统读取表!$E$14*面积清单!C145,0)</f>
        <v>383951</v>
      </c>
    </row>
    <row r="146" spans="1:6" ht="16.5">
      <c r="A146" s="3073" t="s">
        <v>3089</v>
      </c>
      <c r="B146" s="3074" t="s">
        <v>3217</v>
      </c>
      <c r="C146" s="3077">
        <v>52.56</v>
      </c>
      <c r="D146" s="3076">
        <v>36.012999999999998</v>
      </c>
      <c r="E146" s="3076">
        <v>16.542999999999999</v>
      </c>
      <c r="F146" s="1407">
        <f ca="1">ROUND(系统读取表!$E$14*面积清单!C146,0)</f>
        <v>383951</v>
      </c>
    </row>
    <row r="147" spans="1:6" ht="16.5">
      <c r="A147" s="3073" t="s">
        <v>3089</v>
      </c>
      <c r="B147" s="3074" t="s">
        <v>3218</v>
      </c>
      <c r="C147" s="3077">
        <v>52.56</v>
      </c>
      <c r="D147" s="3076">
        <v>36.012999999999998</v>
      </c>
      <c r="E147" s="3076">
        <v>16.542999999999999</v>
      </c>
      <c r="F147" s="1407">
        <f ca="1">ROUND(系统读取表!$E$14*面积清单!C147,0)</f>
        <v>383951</v>
      </c>
    </row>
    <row r="148" spans="1:6" ht="16.5">
      <c r="A148" s="3073" t="s">
        <v>3089</v>
      </c>
      <c r="B148" s="3074" t="s">
        <v>3219</v>
      </c>
      <c r="C148" s="3077">
        <v>54.53</v>
      </c>
      <c r="D148" s="3076">
        <v>37.366</v>
      </c>
      <c r="E148" s="3076">
        <v>17.164999999999999</v>
      </c>
      <c r="F148" s="1407">
        <f ca="1">ROUND(系统读取表!$E$14*面积清单!C148,0)</f>
        <v>398342</v>
      </c>
    </row>
    <row r="149" spans="1:6" ht="16.5">
      <c r="A149" s="3073" t="s">
        <v>3089</v>
      </c>
      <c r="B149" s="3074" t="s">
        <v>3220</v>
      </c>
      <c r="C149" s="3077">
        <v>42.14</v>
      </c>
      <c r="D149" s="3076">
        <v>28.875</v>
      </c>
      <c r="E149" s="3076">
        <v>13.263999999999999</v>
      </c>
      <c r="F149" s="1407">
        <f ca="1">ROUND(系统读取表!$E$14*面积清单!C149,0)</f>
        <v>307833</v>
      </c>
    </row>
    <row r="150" spans="1:6" ht="16.5">
      <c r="A150" s="3073" t="s">
        <v>3089</v>
      </c>
      <c r="B150" s="3074" t="s">
        <v>3221</v>
      </c>
      <c r="C150" s="3077">
        <v>42.14</v>
      </c>
      <c r="D150" s="3076">
        <v>28.875</v>
      </c>
      <c r="E150" s="3076">
        <v>13.263999999999999</v>
      </c>
      <c r="F150" s="1407">
        <f ca="1">ROUND(系统读取表!$E$14*面积清单!C150,0)</f>
        <v>307833</v>
      </c>
    </row>
    <row r="151" spans="1:6" ht="16.5">
      <c r="A151" s="3073" t="s">
        <v>3089</v>
      </c>
      <c r="B151" s="3074" t="s">
        <v>3222</v>
      </c>
      <c r="C151" s="3077">
        <v>42.14</v>
      </c>
      <c r="D151" s="3076">
        <v>28.875</v>
      </c>
      <c r="E151" s="3076">
        <v>13.263999999999999</v>
      </c>
      <c r="F151" s="1407">
        <f ca="1">ROUND(系统读取表!$E$14*面积清单!C151,0)</f>
        <v>307833</v>
      </c>
    </row>
    <row r="152" spans="1:6" ht="16.5">
      <c r="A152" s="3073" t="s">
        <v>3089</v>
      </c>
      <c r="B152" s="3074" t="s">
        <v>3223</v>
      </c>
      <c r="C152" s="3077">
        <v>43.74</v>
      </c>
      <c r="D152" s="3076">
        <v>29.975000000000001</v>
      </c>
      <c r="E152" s="3076">
        <v>13.769</v>
      </c>
      <c r="F152" s="1407">
        <f ca="1">ROUND(系统读取表!$E$14*面积清单!C152,0)</f>
        <v>319521</v>
      </c>
    </row>
    <row r="153" spans="1:6" ht="16.5">
      <c r="A153" s="3073" t="s">
        <v>3089</v>
      </c>
      <c r="B153" s="3074" t="s">
        <v>3224</v>
      </c>
      <c r="C153" s="3077">
        <v>41.64</v>
      </c>
      <c r="D153" s="3076">
        <v>28.530999999999999</v>
      </c>
      <c r="E153" s="3076">
        <v>13.106</v>
      </c>
      <c r="F153" s="1407">
        <f ca="1">ROUND(系统读取表!$E$14*面积清单!C153,0)</f>
        <v>304180</v>
      </c>
    </row>
    <row r="154" spans="1:6" ht="16.5">
      <c r="A154" s="3073" t="s">
        <v>3089</v>
      </c>
      <c r="B154" s="3074" t="s">
        <v>3225</v>
      </c>
      <c r="C154" s="3077">
        <v>41.64</v>
      </c>
      <c r="D154" s="3076">
        <v>28.530999999999999</v>
      </c>
      <c r="E154" s="3076">
        <v>13.106</v>
      </c>
      <c r="F154" s="1407">
        <f ca="1">ROUND(系统读取表!$E$14*面积清单!C154,0)</f>
        <v>304180</v>
      </c>
    </row>
    <row r="155" spans="1:6" ht="16.5">
      <c r="A155" s="3073" t="s">
        <v>3089</v>
      </c>
      <c r="B155" s="3074" t="s">
        <v>3226</v>
      </c>
      <c r="C155" s="3077">
        <v>41.64</v>
      </c>
      <c r="D155" s="3076">
        <v>28.530999999999999</v>
      </c>
      <c r="E155" s="3076">
        <v>13.106</v>
      </c>
      <c r="F155" s="1407">
        <f ca="1">ROUND(系统读取表!$E$14*面积清单!C155,0)</f>
        <v>304180</v>
      </c>
    </row>
    <row r="156" spans="1:6" ht="16.5">
      <c r="A156" s="3073" t="s">
        <v>3089</v>
      </c>
      <c r="B156" s="3074" t="s">
        <v>3227</v>
      </c>
      <c r="C156" s="3077">
        <v>41.64</v>
      </c>
      <c r="D156" s="3076">
        <v>28.530999999999999</v>
      </c>
      <c r="E156" s="3076">
        <v>13.106</v>
      </c>
      <c r="F156" s="1407">
        <f ca="1">ROUND(系统读取表!$E$14*面积清单!C156,0)</f>
        <v>304180</v>
      </c>
    </row>
    <row r="157" spans="1:6" ht="16.5">
      <c r="A157" s="3073" t="s">
        <v>3089</v>
      </c>
      <c r="B157" s="3074" t="s">
        <v>3228</v>
      </c>
      <c r="C157" s="3077">
        <v>41.64</v>
      </c>
      <c r="D157" s="3076">
        <v>28.530999999999999</v>
      </c>
      <c r="E157" s="3076">
        <v>13.106</v>
      </c>
      <c r="F157" s="1407">
        <f ca="1">ROUND(系统读取表!$E$14*面积清单!C157,0)</f>
        <v>304180</v>
      </c>
    </row>
    <row r="158" spans="1:6" ht="16.5">
      <c r="A158" s="3073" t="s">
        <v>3089</v>
      </c>
      <c r="B158" s="3074" t="s">
        <v>3229</v>
      </c>
      <c r="C158" s="3077">
        <v>43.74</v>
      </c>
      <c r="D158" s="3076">
        <v>29.975000000000001</v>
      </c>
      <c r="E158" s="3076">
        <v>13.769</v>
      </c>
      <c r="F158" s="1407">
        <f ca="1">ROUND(系统读取表!$E$14*面积清单!C158,0)</f>
        <v>319521</v>
      </c>
    </row>
    <row r="159" spans="1:6" ht="16.5">
      <c r="A159" s="3073" t="s">
        <v>3089</v>
      </c>
      <c r="B159" s="3074" t="s">
        <v>3230</v>
      </c>
      <c r="C159" s="3077">
        <v>42.14</v>
      </c>
      <c r="D159" s="3076">
        <v>28.875</v>
      </c>
      <c r="E159" s="3076">
        <v>13.263999999999999</v>
      </c>
      <c r="F159" s="1407">
        <f ca="1">ROUND(系统读取表!$E$14*面积清单!C159,0)</f>
        <v>307833</v>
      </c>
    </row>
    <row r="160" spans="1:6" ht="16.5">
      <c r="A160" s="3073" t="s">
        <v>3089</v>
      </c>
      <c r="B160" s="3074" t="s">
        <v>3231</v>
      </c>
      <c r="C160" s="3077">
        <v>42.14</v>
      </c>
      <c r="D160" s="3076">
        <v>28.875</v>
      </c>
      <c r="E160" s="3076">
        <v>13.263999999999999</v>
      </c>
      <c r="F160" s="1407">
        <f ca="1">ROUND(系统读取表!$E$14*面积清单!C160,0)</f>
        <v>307833</v>
      </c>
    </row>
    <row r="161" spans="1:6" ht="16.5">
      <c r="A161" s="3073" t="s">
        <v>3089</v>
      </c>
      <c r="B161" s="3074" t="s">
        <v>3232</v>
      </c>
      <c r="C161" s="3077">
        <v>42.14</v>
      </c>
      <c r="D161" s="3076">
        <v>28.875</v>
      </c>
      <c r="E161" s="3076">
        <v>13.263999999999999</v>
      </c>
      <c r="F161" s="1407">
        <f ca="1">ROUND(系统读取表!$E$14*面积清单!C161,0)</f>
        <v>307833</v>
      </c>
    </row>
    <row r="162" spans="1:6" ht="16.5">
      <c r="A162" s="3073" t="s">
        <v>3089</v>
      </c>
      <c r="B162" s="3074" t="s">
        <v>3233</v>
      </c>
      <c r="C162" s="3076">
        <v>52.56</v>
      </c>
      <c r="D162" s="3076">
        <v>36.012999999999998</v>
      </c>
      <c r="E162" s="3076">
        <v>16.542999999999999</v>
      </c>
      <c r="F162" s="1407">
        <f ca="1">ROUND(系统读取表!$E$14*面积清单!C162,0)</f>
        <v>383951</v>
      </c>
    </row>
    <row r="163" spans="1:6" ht="16.5">
      <c r="A163" s="3073" t="s">
        <v>3089</v>
      </c>
      <c r="B163" s="3074" t="s">
        <v>3234</v>
      </c>
      <c r="C163" s="3076">
        <v>52.56</v>
      </c>
      <c r="D163" s="3076">
        <v>36.012999999999998</v>
      </c>
      <c r="E163" s="3076">
        <v>16.542999999999999</v>
      </c>
      <c r="F163" s="1407">
        <f ca="1">ROUND(系统读取表!$E$14*面积清单!C163,0)</f>
        <v>383951</v>
      </c>
    </row>
    <row r="164" spans="1:6" ht="16.5">
      <c r="A164" s="3073" t="s">
        <v>3089</v>
      </c>
      <c r="B164" s="3074" t="s">
        <v>3235</v>
      </c>
      <c r="C164" s="3076">
        <v>52.56</v>
      </c>
      <c r="D164" s="3076">
        <v>36.012999999999998</v>
      </c>
      <c r="E164" s="3076">
        <v>16.542999999999999</v>
      </c>
      <c r="F164" s="1407">
        <f ca="1">ROUND(系统读取表!$E$14*面积清单!C164,0)</f>
        <v>383951</v>
      </c>
    </row>
    <row r="165" spans="1:6" ht="16.5">
      <c r="A165" s="3073" t="s">
        <v>3089</v>
      </c>
      <c r="B165" s="3074" t="s">
        <v>3236</v>
      </c>
      <c r="C165" s="3076">
        <v>42.14</v>
      </c>
      <c r="D165" s="3076">
        <v>28.875</v>
      </c>
      <c r="E165" s="3076">
        <v>13.263999999999999</v>
      </c>
      <c r="F165" s="1407">
        <f ca="1">ROUND(系统读取表!$E$14*面积清单!C165,0)</f>
        <v>307833</v>
      </c>
    </row>
    <row r="166" spans="1:6" ht="16.5">
      <c r="A166" s="3073" t="s">
        <v>3089</v>
      </c>
      <c r="B166" s="3074" t="s">
        <v>3237</v>
      </c>
      <c r="C166" s="3076">
        <v>42.14</v>
      </c>
      <c r="D166" s="3076">
        <v>28.875</v>
      </c>
      <c r="E166" s="3076">
        <v>13.263999999999999</v>
      </c>
      <c r="F166" s="1407">
        <f ca="1">ROUND(系统读取表!$E$14*面积清单!C166,0)</f>
        <v>307833</v>
      </c>
    </row>
    <row r="167" spans="1:6" ht="16.5">
      <c r="A167" s="3073" t="s">
        <v>3089</v>
      </c>
      <c r="B167" s="3074" t="s">
        <v>3238</v>
      </c>
      <c r="C167" s="3076">
        <v>42.14</v>
      </c>
      <c r="D167" s="3076">
        <v>28.875</v>
      </c>
      <c r="E167" s="3076">
        <v>13.263999999999999</v>
      </c>
      <c r="F167" s="1407">
        <f ca="1">ROUND(系统读取表!$E$14*面积清单!C167,0)</f>
        <v>307833</v>
      </c>
    </row>
    <row r="168" spans="1:6" ht="16.5">
      <c r="A168" s="3073" t="s">
        <v>3089</v>
      </c>
      <c r="B168" s="3074" t="s">
        <v>3239</v>
      </c>
      <c r="C168" s="3076">
        <v>43.74</v>
      </c>
      <c r="D168" s="3076">
        <v>29.975000000000001</v>
      </c>
      <c r="E168" s="3076">
        <v>13.769</v>
      </c>
      <c r="F168" s="1407">
        <f ca="1">ROUND(系统读取表!$E$14*面积清单!C168,0)</f>
        <v>319521</v>
      </c>
    </row>
    <row r="169" spans="1:6" ht="16.5">
      <c r="A169" s="3073" t="s">
        <v>3089</v>
      </c>
      <c r="B169" s="3074" t="s">
        <v>3240</v>
      </c>
      <c r="C169" s="3076">
        <v>41.64</v>
      </c>
      <c r="D169" s="3076">
        <v>28.530999999999999</v>
      </c>
      <c r="E169" s="3076">
        <v>13.106</v>
      </c>
      <c r="F169" s="1407">
        <f ca="1">ROUND(系统读取表!$E$14*面积清单!C169,0)</f>
        <v>304180</v>
      </c>
    </row>
    <row r="170" spans="1:6" ht="16.5">
      <c r="A170" s="3073" t="s">
        <v>3089</v>
      </c>
      <c r="B170" s="3074" t="s">
        <v>3241</v>
      </c>
      <c r="C170" s="3076">
        <v>41.64</v>
      </c>
      <c r="D170" s="3076">
        <v>28.530999999999999</v>
      </c>
      <c r="E170" s="3076">
        <v>13.106</v>
      </c>
      <c r="F170" s="1407">
        <f ca="1">ROUND(系统读取表!$E$14*面积清单!C170,0)</f>
        <v>304180</v>
      </c>
    </row>
    <row r="171" spans="1:6" ht="16.5">
      <c r="A171" s="3073" t="s">
        <v>3089</v>
      </c>
      <c r="B171" s="3074" t="s">
        <v>3242</v>
      </c>
      <c r="C171" s="3076">
        <v>41.64</v>
      </c>
      <c r="D171" s="3076">
        <v>28.530999999999999</v>
      </c>
      <c r="E171" s="3076">
        <v>13.106</v>
      </c>
      <c r="F171" s="1407">
        <f ca="1">ROUND(系统读取表!$E$14*面积清单!C171,0)</f>
        <v>304180</v>
      </c>
    </row>
    <row r="172" spans="1:6" ht="16.5">
      <c r="A172" s="3073" t="s">
        <v>3089</v>
      </c>
      <c r="B172" s="3074" t="s">
        <v>3243</v>
      </c>
      <c r="C172" s="3076">
        <v>41.64</v>
      </c>
      <c r="D172" s="3076">
        <v>28.530999999999999</v>
      </c>
      <c r="E172" s="3076">
        <v>13.106</v>
      </c>
      <c r="F172" s="1407">
        <f ca="1">ROUND(系统读取表!$E$14*面积清单!C172,0)</f>
        <v>304180</v>
      </c>
    </row>
    <row r="173" spans="1:6" ht="16.5">
      <c r="A173" s="3073" t="s">
        <v>3089</v>
      </c>
      <c r="B173" s="3074" t="s">
        <v>3244</v>
      </c>
      <c r="C173" s="3076">
        <v>42.14</v>
      </c>
      <c r="D173" s="3076">
        <v>28.875</v>
      </c>
      <c r="E173" s="3076">
        <v>13.263999999999999</v>
      </c>
      <c r="F173" s="1407">
        <f ca="1">ROUND(系统读取表!$E$14*面积清单!C173,0)</f>
        <v>307833</v>
      </c>
    </row>
    <row r="174" spans="1:6" ht="16.5">
      <c r="A174" s="3073" t="s">
        <v>3089</v>
      </c>
      <c r="B174" s="3074" t="s">
        <v>3245</v>
      </c>
      <c r="C174" s="3076">
        <v>42.14</v>
      </c>
      <c r="D174" s="3076">
        <v>28.875</v>
      </c>
      <c r="E174" s="3076">
        <v>13.263999999999999</v>
      </c>
      <c r="F174" s="1407">
        <f ca="1">ROUND(系统读取表!$E$14*面积清单!C174,0)</f>
        <v>307833</v>
      </c>
    </row>
    <row r="175" spans="1:6" ht="16.5">
      <c r="A175" s="3073" t="s">
        <v>3089</v>
      </c>
      <c r="B175" s="3074" t="s">
        <v>3246</v>
      </c>
      <c r="C175" s="3076">
        <v>42.14</v>
      </c>
      <c r="D175" s="3076">
        <v>28.875</v>
      </c>
      <c r="E175" s="3076">
        <v>13.263999999999999</v>
      </c>
      <c r="F175" s="1407">
        <f ca="1">ROUND(系统读取表!$E$14*面积清单!C175,0)</f>
        <v>307833</v>
      </c>
    </row>
    <row r="176" spans="1:6" ht="16.5">
      <c r="A176" s="3073" t="s">
        <v>3089</v>
      </c>
      <c r="B176" s="3074" t="s">
        <v>3247</v>
      </c>
      <c r="C176" s="3076">
        <v>52.56</v>
      </c>
      <c r="D176" s="3076">
        <v>36.012999999999998</v>
      </c>
      <c r="E176" s="3076">
        <v>16.542999999999999</v>
      </c>
      <c r="F176" s="1407">
        <f ca="1">ROUND(系统读取表!$E$14*面积清单!C176,0)</f>
        <v>383951</v>
      </c>
    </row>
    <row r="177" spans="1:6" ht="16.5">
      <c r="A177" s="3073" t="s">
        <v>3089</v>
      </c>
      <c r="B177" s="3074" t="s">
        <v>3248</v>
      </c>
      <c r="C177" s="3076">
        <v>42.14</v>
      </c>
      <c r="D177" s="3076">
        <v>28.875</v>
      </c>
      <c r="E177" s="3076">
        <v>13.263999999999999</v>
      </c>
      <c r="F177" s="1407">
        <f ca="1">ROUND(系统读取表!$E$14*面积清单!C177,0)</f>
        <v>307833</v>
      </c>
    </row>
    <row r="178" spans="1:6" ht="16.5">
      <c r="A178" s="3073" t="s">
        <v>3089</v>
      </c>
      <c r="B178" s="3074" t="s">
        <v>3249</v>
      </c>
      <c r="C178" s="3076">
        <v>42.14</v>
      </c>
      <c r="D178" s="3076">
        <v>28.875</v>
      </c>
      <c r="E178" s="3076">
        <v>13.263999999999999</v>
      </c>
      <c r="F178" s="1407">
        <f ca="1">ROUND(系统读取表!$E$14*面积清单!C178,0)</f>
        <v>307833</v>
      </c>
    </row>
    <row r="179" spans="1:6" ht="16.5">
      <c r="A179" s="3073" t="s">
        <v>3089</v>
      </c>
      <c r="B179" s="3074" t="s">
        <v>3250</v>
      </c>
      <c r="C179" s="3076">
        <v>42.14</v>
      </c>
      <c r="D179" s="3076">
        <v>28.875</v>
      </c>
      <c r="E179" s="3076">
        <v>13.263999999999999</v>
      </c>
      <c r="F179" s="1407">
        <f ca="1">ROUND(系统读取表!$E$14*面积清单!C179,0)</f>
        <v>307833</v>
      </c>
    </row>
    <row r="180" spans="1:6" ht="16.5">
      <c r="A180" s="3073" t="s">
        <v>3089</v>
      </c>
      <c r="B180" s="3074" t="s">
        <v>3251</v>
      </c>
      <c r="C180" s="3076">
        <v>43.74</v>
      </c>
      <c r="D180" s="3076">
        <v>29.975000000000001</v>
      </c>
      <c r="E180" s="3076">
        <v>13.769</v>
      </c>
      <c r="F180" s="1407">
        <f ca="1">ROUND(系统读取表!$E$14*面积清单!C180,0)</f>
        <v>319521</v>
      </c>
    </row>
    <row r="181" spans="1:6" ht="16.5">
      <c r="A181" s="3073" t="s">
        <v>3089</v>
      </c>
      <c r="B181" s="3074" t="s">
        <v>3252</v>
      </c>
      <c r="C181" s="3076">
        <v>41.64</v>
      </c>
      <c r="D181" s="3076">
        <v>28.530999999999999</v>
      </c>
      <c r="E181" s="3076">
        <v>13.106</v>
      </c>
      <c r="F181" s="1407">
        <f ca="1">ROUND(系统读取表!$E$14*面积清单!C181,0)</f>
        <v>304180</v>
      </c>
    </row>
    <row r="182" spans="1:6" ht="16.5">
      <c r="A182" s="3073" t="s">
        <v>3089</v>
      </c>
      <c r="B182" s="3074" t="s">
        <v>3253</v>
      </c>
      <c r="C182" s="3076">
        <v>41.64</v>
      </c>
      <c r="D182" s="3076">
        <v>28.530999999999999</v>
      </c>
      <c r="E182" s="3076">
        <v>13.106</v>
      </c>
      <c r="F182" s="1407">
        <f ca="1">ROUND(系统读取表!$E$14*面积清单!C182,0)</f>
        <v>304180</v>
      </c>
    </row>
    <row r="183" spans="1:6" ht="16.5">
      <c r="A183" s="3073" t="s">
        <v>3089</v>
      </c>
      <c r="B183" s="3074" t="s">
        <v>3254</v>
      </c>
      <c r="C183" s="3076">
        <v>41.64</v>
      </c>
      <c r="D183" s="3076">
        <v>28.530999999999999</v>
      </c>
      <c r="E183" s="3076">
        <v>13.106</v>
      </c>
      <c r="F183" s="1407">
        <f ca="1">ROUND(系统读取表!$E$14*面积清单!C183,0)</f>
        <v>304180</v>
      </c>
    </row>
    <row r="184" spans="1:6" ht="16.5">
      <c r="A184" s="3073" t="s">
        <v>3089</v>
      </c>
      <c r="B184" s="3074" t="s">
        <v>3255</v>
      </c>
      <c r="C184" s="3076">
        <v>41.64</v>
      </c>
      <c r="D184" s="3076">
        <v>28.530999999999999</v>
      </c>
      <c r="E184" s="3076">
        <v>13.106</v>
      </c>
      <c r="F184" s="1407">
        <f ca="1">ROUND(系统读取表!$E$14*面积清单!C184,0)</f>
        <v>304180</v>
      </c>
    </row>
    <row r="185" spans="1:6" ht="16.5">
      <c r="A185" s="3073" t="s">
        <v>3089</v>
      </c>
      <c r="B185" s="3074" t="s">
        <v>3256</v>
      </c>
      <c r="C185" s="3076">
        <v>41.64</v>
      </c>
      <c r="D185" s="3076">
        <v>28.530999999999999</v>
      </c>
      <c r="E185" s="3076">
        <v>13.106</v>
      </c>
      <c r="F185" s="1407">
        <f ca="1">ROUND(系统读取表!$E$14*面积清单!C185,0)</f>
        <v>304180</v>
      </c>
    </row>
    <row r="186" spans="1:6" ht="16.5">
      <c r="A186" s="3073" t="s">
        <v>3089</v>
      </c>
      <c r="B186" s="3074" t="s">
        <v>3257</v>
      </c>
      <c r="C186" s="3076">
        <v>43.74</v>
      </c>
      <c r="D186" s="3076">
        <v>29.975000000000001</v>
      </c>
      <c r="E186" s="3076">
        <v>13.769</v>
      </c>
      <c r="F186" s="1407">
        <f ca="1">ROUND(系统读取表!$E$14*面积清单!C186,0)</f>
        <v>319521</v>
      </c>
    </row>
    <row r="187" spans="1:6" ht="16.5">
      <c r="A187" s="3073" t="s">
        <v>3089</v>
      </c>
      <c r="B187" s="3074" t="s">
        <v>3258</v>
      </c>
      <c r="C187" s="3076">
        <v>42.14</v>
      </c>
      <c r="D187" s="3076">
        <v>28.875</v>
      </c>
      <c r="E187" s="3076">
        <v>13.263999999999999</v>
      </c>
      <c r="F187" s="1407">
        <f ca="1">ROUND(系统读取表!$E$14*面积清单!C187,0)</f>
        <v>307833</v>
      </c>
    </row>
    <row r="188" spans="1:6" ht="16.5">
      <c r="A188" s="3073" t="s">
        <v>3089</v>
      </c>
      <c r="B188" s="3074" t="s">
        <v>3259</v>
      </c>
      <c r="C188" s="3076">
        <v>42.14</v>
      </c>
      <c r="D188" s="3076">
        <v>28.875</v>
      </c>
      <c r="E188" s="3076">
        <v>13.263999999999999</v>
      </c>
      <c r="F188" s="1407">
        <f ca="1">ROUND(系统读取表!$E$14*面积清单!C188,0)</f>
        <v>307833</v>
      </c>
    </row>
    <row r="189" spans="1:6" ht="16.5">
      <c r="A189" s="3073" t="s">
        <v>3089</v>
      </c>
      <c r="B189" s="3074" t="s">
        <v>3260</v>
      </c>
      <c r="C189" s="3076">
        <v>42.14</v>
      </c>
      <c r="D189" s="3076">
        <v>28.875</v>
      </c>
      <c r="E189" s="3076">
        <v>13.263999999999999</v>
      </c>
      <c r="F189" s="1407">
        <f ca="1">ROUND(系统读取表!$E$14*面积清单!C189,0)</f>
        <v>307833</v>
      </c>
    </row>
    <row r="190" spans="1:6" ht="16.5">
      <c r="A190" s="3073" t="s">
        <v>3089</v>
      </c>
      <c r="B190" s="3074" t="s">
        <v>3261</v>
      </c>
      <c r="C190" s="3076">
        <v>52.56</v>
      </c>
      <c r="D190" s="3076">
        <v>36.012999999999998</v>
      </c>
      <c r="E190" s="3076">
        <v>16.542999999999999</v>
      </c>
      <c r="F190" s="1407">
        <f ca="1">ROUND(系统读取表!$E$14*面积清单!C190,0)</f>
        <v>383951</v>
      </c>
    </row>
    <row r="191" spans="1:6" ht="16.5">
      <c r="A191" s="3073" t="s">
        <v>3089</v>
      </c>
      <c r="B191" s="3074" t="s">
        <v>3262</v>
      </c>
      <c r="C191" s="3076">
        <v>52.56</v>
      </c>
      <c r="D191" s="3076">
        <v>36.012999999999998</v>
      </c>
      <c r="E191" s="3076">
        <v>16.542999999999999</v>
      </c>
      <c r="F191" s="1407">
        <f ca="1">ROUND(系统读取表!$E$14*面积清单!C191,0)</f>
        <v>383951</v>
      </c>
    </row>
    <row r="192" spans="1:6" ht="16.5">
      <c r="A192" s="3073" t="s">
        <v>3089</v>
      </c>
      <c r="B192" s="3074" t="s">
        <v>3263</v>
      </c>
      <c r="C192" s="3076">
        <v>42.14</v>
      </c>
      <c r="D192" s="3076">
        <v>28.875</v>
      </c>
      <c r="E192" s="3076">
        <v>13.263999999999999</v>
      </c>
      <c r="F192" s="1407">
        <f ca="1">ROUND(系统读取表!$E$14*面积清单!C192,0)</f>
        <v>307833</v>
      </c>
    </row>
    <row r="193" spans="1:6" ht="16.5">
      <c r="A193" s="3073" t="s">
        <v>3089</v>
      </c>
      <c r="B193" s="3074" t="s">
        <v>3264</v>
      </c>
      <c r="C193" s="3076">
        <v>42.14</v>
      </c>
      <c r="D193" s="3076">
        <v>28.875</v>
      </c>
      <c r="E193" s="3076">
        <v>13.263999999999999</v>
      </c>
      <c r="F193" s="1407">
        <f ca="1">ROUND(系统读取表!$E$14*面积清单!C193,0)</f>
        <v>307833</v>
      </c>
    </row>
    <row r="194" spans="1:6" ht="16.5">
      <c r="A194" s="3073" t="s">
        <v>3089</v>
      </c>
      <c r="B194" s="3074" t="s">
        <v>3265</v>
      </c>
      <c r="C194" s="3076">
        <v>42.14</v>
      </c>
      <c r="D194" s="3076">
        <v>28.875</v>
      </c>
      <c r="E194" s="3076">
        <v>13.263999999999999</v>
      </c>
      <c r="F194" s="1407">
        <f ca="1">ROUND(系统读取表!$E$14*面积清单!C194,0)</f>
        <v>307833</v>
      </c>
    </row>
    <row r="195" spans="1:6" ht="16.5">
      <c r="A195" s="3073" t="s">
        <v>3089</v>
      </c>
      <c r="B195" s="3074" t="s">
        <v>3266</v>
      </c>
      <c r="C195" s="3076">
        <v>43.74</v>
      </c>
      <c r="D195" s="3076">
        <v>29.975000000000001</v>
      </c>
      <c r="E195" s="3076">
        <v>13.769</v>
      </c>
      <c r="F195" s="1407">
        <f ca="1">ROUND(系统读取表!$E$14*面积清单!C195,0)</f>
        <v>319521</v>
      </c>
    </row>
    <row r="196" spans="1:6" ht="16.5">
      <c r="A196" s="3073" t="s">
        <v>3089</v>
      </c>
      <c r="B196" s="3074" t="s">
        <v>3267</v>
      </c>
      <c r="C196" s="3076">
        <v>41.64</v>
      </c>
      <c r="D196" s="3076">
        <v>28.530999999999999</v>
      </c>
      <c r="E196" s="3076">
        <v>13.106</v>
      </c>
      <c r="F196" s="1407">
        <f ca="1">ROUND(系统读取表!$E$14*面积清单!C196,0)</f>
        <v>304180</v>
      </c>
    </row>
    <row r="197" spans="1:6" ht="16.5">
      <c r="A197" s="3073" t="s">
        <v>3089</v>
      </c>
      <c r="B197" s="3074" t="s">
        <v>3268</v>
      </c>
      <c r="C197" s="3076">
        <v>41.64</v>
      </c>
      <c r="D197" s="3076">
        <v>28.530999999999999</v>
      </c>
      <c r="E197" s="3076">
        <v>13.106</v>
      </c>
      <c r="F197" s="1407">
        <f ca="1">ROUND(系统读取表!$E$14*面积清单!C197,0)</f>
        <v>304180</v>
      </c>
    </row>
    <row r="198" spans="1:6" ht="16.5">
      <c r="A198" s="3073" t="s">
        <v>3089</v>
      </c>
      <c r="B198" s="3074" t="s">
        <v>3269</v>
      </c>
      <c r="C198" s="3076">
        <v>41.64</v>
      </c>
      <c r="D198" s="3076">
        <v>28.530999999999999</v>
      </c>
      <c r="E198" s="3076">
        <v>13.106</v>
      </c>
      <c r="F198" s="1407">
        <f ca="1">ROUND(系统读取表!$E$14*面积清单!C198,0)</f>
        <v>304180</v>
      </c>
    </row>
    <row r="199" spans="1:6" ht="16.5">
      <c r="A199" s="3073" t="s">
        <v>3089</v>
      </c>
      <c r="B199" s="3074" t="s">
        <v>3270</v>
      </c>
      <c r="C199" s="3076">
        <v>41.64</v>
      </c>
      <c r="D199" s="3076">
        <v>28.530999999999999</v>
      </c>
      <c r="E199" s="3076">
        <v>13.106</v>
      </c>
      <c r="F199" s="1407">
        <f ca="1">ROUND(系统读取表!$E$14*面积清单!C199,0)</f>
        <v>304180</v>
      </c>
    </row>
    <row r="200" spans="1:6" ht="16.5">
      <c r="A200" s="3073" t="s">
        <v>3089</v>
      </c>
      <c r="B200" s="3074" t="s">
        <v>3271</v>
      </c>
      <c r="C200" s="3076">
        <v>41.64</v>
      </c>
      <c r="D200" s="3076">
        <v>28.530999999999999</v>
      </c>
      <c r="E200" s="3076">
        <v>13.106</v>
      </c>
      <c r="F200" s="1407">
        <f ca="1">ROUND(系统读取表!$E$14*面积清单!C200,0)</f>
        <v>304180</v>
      </c>
    </row>
    <row r="201" spans="1:6" ht="16.5">
      <c r="A201" s="3073" t="s">
        <v>3089</v>
      </c>
      <c r="B201" s="3074" t="s">
        <v>3272</v>
      </c>
      <c r="C201" s="3076">
        <v>42.14</v>
      </c>
      <c r="D201" s="3076">
        <v>28.875</v>
      </c>
      <c r="E201" s="3076">
        <v>13.263999999999999</v>
      </c>
      <c r="F201" s="1407">
        <f ca="1">ROUND(系统读取表!$E$14*面积清单!C201,0)</f>
        <v>307833</v>
      </c>
    </row>
    <row r="202" spans="1:6" ht="16.5">
      <c r="A202" s="3073" t="s">
        <v>3089</v>
      </c>
      <c r="B202" s="3074" t="s">
        <v>3273</v>
      </c>
      <c r="C202" s="3076">
        <v>42.14</v>
      </c>
      <c r="D202" s="3076">
        <v>28.875</v>
      </c>
      <c r="E202" s="3076">
        <v>13.263999999999999</v>
      </c>
      <c r="F202" s="1407">
        <f ca="1">ROUND(系统读取表!$E$14*面积清单!C202,0)</f>
        <v>307833</v>
      </c>
    </row>
    <row r="203" spans="1:6" ht="16.5">
      <c r="A203" s="3073" t="s">
        <v>3089</v>
      </c>
      <c r="B203" s="3074" t="s">
        <v>3274</v>
      </c>
      <c r="C203" s="3076">
        <v>42.14</v>
      </c>
      <c r="D203" s="3076">
        <v>28.875</v>
      </c>
      <c r="E203" s="3076">
        <v>13.263999999999999</v>
      </c>
      <c r="F203" s="1407">
        <f ca="1">ROUND(系统读取表!$E$14*面积清单!C203,0)</f>
        <v>307833</v>
      </c>
    </row>
    <row r="204" spans="1:6" ht="16.5">
      <c r="A204" s="3073" t="s">
        <v>3089</v>
      </c>
      <c r="B204" s="3074" t="s">
        <v>3275</v>
      </c>
      <c r="C204" s="3076">
        <v>52.56</v>
      </c>
      <c r="D204" s="3076">
        <v>36.012999999999998</v>
      </c>
      <c r="E204" s="3076">
        <v>16.542999999999999</v>
      </c>
      <c r="F204" s="1407">
        <f ca="1">ROUND(系统读取表!$E$14*面积清单!C204,0)</f>
        <v>383951</v>
      </c>
    </row>
    <row r="205" spans="1:6" ht="16.5">
      <c r="A205" s="3073" t="s">
        <v>3089</v>
      </c>
      <c r="B205" s="3074" t="s">
        <v>3276</v>
      </c>
      <c r="C205" s="3076">
        <v>42.14</v>
      </c>
      <c r="D205" s="3076">
        <v>28.875</v>
      </c>
      <c r="E205" s="3076">
        <v>13.263999999999999</v>
      </c>
      <c r="F205" s="1407">
        <f ca="1">ROUND(系统读取表!$E$14*面积清单!C205,0)</f>
        <v>307833</v>
      </c>
    </row>
    <row r="206" spans="1:6" ht="16.5">
      <c r="A206" s="3073" t="s">
        <v>3089</v>
      </c>
      <c r="B206" s="3074" t="s">
        <v>3277</v>
      </c>
      <c r="C206" s="3076">
        <v>42.14</v>
      </c>
      <c r="D206" s="3076">
        <v>28.875</v>
      </c>
      <c r="E206" s="3076">
        <v>13.263999999999999</v>
      </c>
      <c r="F206" s="1407">
        <f ca="1">ROUND(系统读取表!$E$14*面积清单!C206,0)</f>
        <v>307833</v>
      </c>
    </row>
    <row r="207" spans="1:6" ht="16.5">
      <c r="A207" s="3073" t="s">
        <v>3089</v>
      </c>
      <c r="B207" s="3074" t="s">
        <v>3278</v>
      </c>
      <c r="C207" s="3076">
        <v>42.14</v>
      </c>
      <c r="D207" s="3076">
        <v>28.875</v>
      </c>
      <c r="E207" s="3076">
        <v>13.263999999999999</v>
      </c>
      <c r="F207" s="1407">
        <f ca="1">ROUND(系统读取表!$E$14*面积清单!C207,0)</f>
        <v>307833</v>
      </c>
    </row>
    <row r="208" spans="1:6" ht="16.5">
      <c r="A208" s="3073" t="s">
        <v>3089</v>
      </c>
      <c r="B208" s="3074" t="s">
        <v>3279</v>
      </c>
      <c r="C208" s="3076">
        <v>43.74</v>
      </c>
      <c r="D208" s="3076">
        <v>29.975000000000001</v>
      </c>
      <c r="E208" s="3076">
        <v>13.769</v>
      </c>
      <c r="F208" s="1407">
        <f ca="1">ROUND(系统读取表!$E$14*面积清单!C208,0)</f>
        <v>319521</v>
      </c>
    </row>
    <row r="209" spans="1:6" ht="16.5">
      <c r="A209" s="3073" t="s">
        <v>3089</v>
      </c>
      <c r="B209" s="3074" t="s">
        <v>3280</v>
      </c>
      <c r="C209" s="3076">
        <v>41.64</v>
      </c>
      <c r="D209" s="3076">
        <v>28.530999999999999</v>
      </c>
      <c r="E209" s="3076">
        <v>13.106</v>
      </c>
      <c r="F209" s="1407">
        <f ca="1">ROUND(系统读取表!$E$14*面积清单!C209,0)</f>
        <v>304180</v>
      </c>
    </row>
    <row r="210" spans="1:6" ht="16.5">
      <c r="A210" s="3073" t="s">
        <v>3089</v>
      </c>
      <c r="B210" s="3074" t="s">
        <v>3281</v>
      </c>
      <c r="C210" s="3076">
        <v>41.64</v>
      </c>
      <c r="D210" s="3076">
        <v>28.530999999999999</v>
      </c>
      <c r="E210" s="3076">
        <v>13.106</v>
      </c>
      <c r="F210" s="1407">
        <f ca="1">ROUND(系统读取表!$E$14*面积清单!C210,0)</f>
        <v>304180</v>
      </c>
    </row>
    <row r="211" spans="1:6" ht="16.5">
      <c r="A211" s="3073" t="s">
        <v>3089</v>
      </c>
      <c r="B211" s="3074" t="s">
        <v>3282</v>
      </c>
      <c r="C211" s="3076">
        <v>41.64</v>
      </c>
      <c r="D211" s="3076">
        <v>28.530999999999999</v>
      </c>
      <c r="E211" s="3076">
        <v>13.106</v>
      </c>
      <c r="F211" s="1407">
        <f ca="1">ROUND(系统读取表!$E$14*面积清单!C211,0)</f>
        <v>304180</v>
      </c>
    </row>
    <row r="212" spans="1:6" ht="16.5">
      <c r="A212" s="3073" t="s">
        <v>3089</v>
      </c>
      <c r="B212" s="3074" t="s">
        <v>3283</v>
      </c>
      <c r="C212" s="3076">
        <v>41.64</v>
      </c>
      <c r="D212" s="3076">
        <v>28.530999999999999</v>
      </c>
      <c r="E212" s="3076">
        <v>13.106</v>
      </c>
      <c r="F212" s="1407">
        <f ca="1">ROUND(系统读取表!$E$14*面积清单!C212,0)</f>
        <v>304180</v>
      </c>
    </row>
    <row r="213" spans="1:6" ht="16.5">
      <c r="A213" s="3073" t="s">
        <v>3089</v>
      </c>
      <c r="B213" s="3074" t="s">
        <v>3284</v>
      </c>
      <c r="C213" s="3076">
        <v>41.64</v>
      </c>
      <c r="D213" s="3076">
        <v>28.530999999999999</v>
      </c>
      <c r="E213" s="3076">
        <v>13.106</v>
      </c>
      <c r="F213" s="1407">
        <f ca="1">ROUND(系统读取表!$E$14*面积清单!C213,0)</f>
        <v>304180</v>
      </c>
    </row>
    <row r="214" spans="1:6" ht="16.5">
      <c r="A214" s="3073" t="s">
        <v>3089</v>
      </c>
      <c r="B214" s="3074" t="s">
        <v>3285</v>
      </c>
      <c r="C214" s="3076">
        <v>42.14</v>
      </c>
      <c r="D214" s="3076">
        <v>28.875</v>
      </c>
      <c r="E214" s="3076">
        <v>13.263999999999999</v>
      </c>
      <c r="F214" s="1407">
        <f ca="1">ROUND(系统读取表!$E$14*面积清单!C214,0)</f>
        <v>307833</v>
      </c>
    </row>
    <row r="215" spans="1:6" ht="16.5">
      <c r="A215" s="3073" t="s">
        <v>3089</v>
      </c>
      <c r="B215" s="3074" t="s">
        <v>3286</v>
      </c>
      <c r="C215" s="3076">
        <v>42.14</v>
      </c>
      <c r="D215" s="3076">
        <v>28.875</v>
      </c>
      <c r="E215" s="3076">
        <v>13.263999999999999</v>
      </c>
      <c r="F215" s="1407">
        <f ca="1">ROUND(系统读取表!$E$14*面积清单!C215,0)</f>
        <v>307833</v>
      </c>
    </row>
    <row r="216" spans="1:6" ht="16.5">
      <c r="A216" s="3073" t="s">
        <v>3089</v>
      </c>
      <c r="B216" s="3074" t="s">
        <v>3287</v>
      </c>
      <c r="C216" s="3076">
        <v>52.56</v>
      </c>
      <c r="D216" s="3076">
        <v>36.012999999999998</v>
      </c>
      <c r="E216" s="3076">
        <v>16.542999999999999</v>
      </c>
      <c r="F216" s="1407">
        <f ca="1">ROUND(系统读取表!$E$14*面积清单!C216,0)</f>
        <v>383951</v>
      </c>
    </row>
    <row r="217" spans="1:6" ht="16.5">
      <c r="A217" s="3073" t="s">
        <v>3089</v>
      </c>
      <c r="B217" s="3074" t="s">
        <v>3288</v>
      </c>
      <c r="C217" s="3076">
        <v>42.14</v>
      </c>
      <c r="D217" s="3076">
        <v>28.875</v>
      </c>
      <c r="E217" s="3076">
        <v>13.263999999999999</v>
      </c>
      <c r="F217" s="1407">
        <f ca="1">ROUND(系统读取表!$E$14*面积清单!C217,0)</f>
        <v>307833</v>
      </c>
    </row>
    <row r="218" spans="1:6" ht="16.5">
      <c r="A218" s="3073" t="s">
        <v>3089</v>
      </c>
      <c r="B218" s="3074" t="s">
        <v>3289</v>
      </c>
      <c r="C218" s="3076">
        <v>42.14</v>
      </c>
      <c r="D218" s="3076">
        <v>28.875</v>
      </c>
      <c r="E218" s="3076">
        <v>13.263999999999999</v>
      </c>
      <c r="F218" s="1407">
        <f ca="1">ROUND(系统读取表!$E$14*面积清单!C218,0)</f>
        <v>307833</v>
      </c>
    </row>
    <row r="219" spans="1:6" ht="16.5">
      <c r="A219" s="3073" t="s">
        <v>3089</v>
      </c>
      <c r="B219" s="3074" t="s">
        <v>3290</v>
      </c>
      <c r="C219" s="3076">
        <v>42.14</v>
      </c>
      <c r="D219" s="3076">
        <v>28.875</v>
      </c>
      <c r="E219" s="3076">
        <v>13.263999999999999</v>
      </c>
      <c r="F219" s="1407">
        <f ca="1">ROUND(系统读取表!$E$14*面积清单!C219,0)</f>
        <v>307833</v>
      </c>
    </row>
    <row r="220" spans="1:6" ht="16.5">
      <c r="A220" s="3073" t="s">
        <v>3089</v>
      </c>
      <c r="B220" s="3074" t="s">
        <v>3291</v>
      </c>
      <c r="C220" s="3076">
        <v>43.74</v>
      </c>
      <c r="D220" s="3076">
        <v>29.975000000000001</v>
      </c>
      <c r="E220" s="3076">
        <v>13.769</v>
      </c>
      <c r="F220" s="1407">
        <f ca="1">ROUND(系统读取表!$E$14*面积清单!C220,0)</f>
        <v>319521</v>
      </c>
    </row>
    <row r="221" spans="1:6" ht="16.5">
      <c r="A221" s="3073" t="s">
        <v>3089</v>
      </c>
      <c r="B221" s="3074" t="s">
        <v>3292</v>
      </c>
      <c r="C221" s="3076">
        <v>41.64</v>
      </c>
      <c r="D221" s="3076">
        <v>28.530999999999999</v>
      </c>
      <c r="E221" s="3076">
        <v>13.106</v>
      </c>
      <c r="F221" s="1407">
        <f ca="1">ROUND(系统读取表!$E$14*面积清单!C221,0)</f>
        <v>304180</v>
      </c>
    </row>
    <row r="222" spans="1:6" ht="16.5">
      <c r="A222" s="3073" t="s">
        <v>3089</v>
      </c>
      <c r="B222" s="3074" t="s">
        <v>3293</v>
      </c>
      <c r="C222" s="3076">
        <v>41.64</v>
      </c>
      <c r="D222" s="3076">
        <v>28.530999999999999</v>
      </c>
      <c r="E222" s="3076">
        <v>13.106</v>
      </c>
      <c r="F222" s="1407">
        <f ca="1">ROUND(系统读取表!$E$14*面积清单!C222,0)</f>
        <v>304180</v>
      </c>
    </row>
    <row r="223" spans="1:6" ht="16.5">
      <c r="A223" s="3073" t="s">
        <v>3089</v>
      </c>
      <c r="B223" s="3074" t="s">
        <v>3294</v>
      </c>
      <c r="C223" s="3076">
        <v>41.64</v>
      </c>
      <c r="D223" s="3076">
        <v>28.530999999999999</v>
      </c>
      <c r="E223" s="3076">
        <v>13.106</v>
      </c>
      <c r="F223" s="1407">
        <f ca="1">ROUND(系统读取表!$E$14*面积清单!C223,0)</f>
        <v>304180</v>
      </c>
    </row>
    <row r="224" spans="1:6" ht="16.5">
      <c r="A224" s="3073" t="s">
        <v>3089</v>
      </c>
      <c r="B224" s="3074" t="s">
        <v>3295</v>
      </c>
      <c r="C224" s="3076">
        <v>41.64</v>
      </c>
      <c r="D224" s="3076">
        <v>28.530999999999999</v>
      </c>
      <c r="E224" s="3076">
        <v>13.106</v>
      </c>
      <c r="F224" s="1407">
        <f ca="1">ROUND(系统读取表!$E$14*面积清单!C224,0)</f>
        <v>304180</v>
      </c>
    </row>
    <row r="225" spans="1:6" ht="16.5">
      <c r="A225" s="3073" t="s">
        <v>3089</v>
      </c>
      <c r="B225" s="3074" t="s">
        <v>3296</v>
      </c>
      <c r="C225" s="3076">
        <v>41.64</v>
      </c>
      <c r="D225" s="3076">
        <v>28.530999999999999</v>
      </c>
      <c r="E225" s="3076">
        <v>13.106</v>
      </c>
      <c r="F225" s="1407">
        <f ca="1">ROUND(系统读取表!$E$14*面积清单!C225,0)</f>
        <v>304180</v>
      </c>
    </row>
    <row r="226" spans="1:6" ht="16.5">
      <c r="A226" s="3073" t="s">
        <v>3089</v>
      </c>
      <c r="B226" s="3074" t="s">
        <v>3297</v>
      </c>
      <c r="C226" s="3076">
        <v>43.74</v>
      </c>
      <c r="D226" s="3076">
        <v>29.975000000000001</v>
      </c>
      <c r="E226" s="3076">
        <v>13.769</v>
      </c>
      <c r="F226" s="1407">
        <f ca="1">ROUND(系统读取表!$E$14*面积清单!C226,0)</f>
        <v>319521</v>
      </c>
    </row>
    <row r="227" spans="1:6" ht="16.5">
      <c r="A227" s="3073" t="s">
        <v>3089</v>
      </c>
      <c r="B227" s="3074" t="s">
        <v>3298</v>
      </c>
      <c r="C227" s="3076">
        <v>42.14</v>
      </c>
      <c r="D227" s="3076">
        <v>28.875</v>
      </c>
      <c r="E227" s="3076">
        <v>13.263999999999999</v>
      </c>
      <c r="F227" s="1407">
        <f ca="1">ROUND(系统读取表!$E$14*面积清单!C227,0)</f>
        <v>307833</v>
      </c>
    </row>
    <row r="228" spans="1:6" ht="16.5">
      <c r="A228" s="3073" t="s">
        <v>3089</v>
      </c>
      <c r="B228" s="3074" t="s">
        <v>3299</v>
      </c>
      <c r="C228" s="3076">
        <v>42.14</v>
      </c>
      <c r="D228" s="3076">
        <v>28.875</v>
      </c>
      <c r="E228" s="3076">
        <v>13.263999999999999</v>
      </c>
      <c r="F228" s="1407">
        <f ca="1">ROUND(系统读取表!$E$14*面积清单!C228,0)</f>
        <v>307833</v>
      </c>
    </row>
    <row r="229" spans="1:6" ht="16.5">
      <c r="A229" s="3073" t="s">
        <v>3089</v>
      </c>
      <c r="B229" s="3074" t="s">
        <v>3300</v>
      </c>
      <c r="C229" s="3076">
        <v>52.56</v>
      </c>
      <c r="D229" s="3076">
        <v>36.012999999999998</v>
      </c>
      <c r="E229" s="3076">
        <v>16.542999999999999</v>
      </c>
      <c r="F229" s="1407">
        <f ca="1">ROUND(系统读取表!$E$14*面积清单!C229,0)</f>
        <v>383951</v>
      </c>
    </row>
    <row r="230" spans="1:6" ht="16.5">
      <c r="A230" s="3073" t="s">
        <v>3089</v>
      </c>
      <c r="B230" s="3074" t="s">
        <v>3301</v>
      </c>
      <c r="C230" s="3076">
        <v>52.56</v>
      </c>
      <c r="D230" s="3076">
        <v>36.012999999999998</v>
      </c>
      <c r="E230" s="3076">
        <v>16.542999999999999</v>
      </c>
      <c r="F230" s="1407">
        <f ca="1">ROUND(系统读取表!$E$14*面积清单!C230,0)</f>
        <v>383951</v>
      </c>
    </row>
    <row r="231" spans="1:6" ht="16.5">
      <c r="A231" s="3073" t="s">
        <v>3089</v>
      </c>
      <c r="B231" s="3074" t="s">
        <v>3302</v>
      </c>
      <c r="C231" s="3076">
        <v>42.14</v>
      </c>
      <c r="D231" s="3076">
        <v>28.875</v>
      </c>
      <c r="E231" s="3076">
        <v>13.263999999999999</v>
      </c>
      <c r="F231" s="1407">
        <f ca="1">ROUND(系统读取表!$E$14*面积清单!C231,0)</f>
        <v>307833</v>
      </c>
    </row>
    <row r="232" spans="1:6" ht="16.5">
      <c r="A232" s="3073" t="s">
        <v>3089</v>
      </c>
      <c r="B232" s="3074" t="s">
        <v>3303</v>
      </c>
      <c r="C232" s="3076">
        <v>42.14</v>
      </c>
      <c r="D232" s="3076">
        <v>28.875</v>
      </c>
      <c r="E232" s="3076">
        <v>13.263999999999999</v>
      </c>
      <c r="F232" s="1407">
        <f ca="1">ROUND(系统读取表!$E$14*面积清单!C232,0)</f>
        <v>307833</v>
      </c>
    </row>
    <row r="233" spans="1:6" ht="16.5">
      <c r="A233" s="3073" t="s">
        <v>3089</v>
      </c>
      <c r="B233" s="3074" t="s">
        <v>3304</v>
      </c>
      <c r="C233" s="3076">
        <v>43.74</v>
      </c>
      <c r="D233" s="3076">
        <v>29.975000000000001</v>
      </c>
      <c r="E233" s="3076">
        <v>13.769</v>
      </c>
      <c r="F233" s="1407">
        <f ca="1">ROUND(系统读取表!$E$14*面积清单!C233,0)</f>
        <v>319521</v>
      </c>
    </row>
    <row r="234" spans="1:6" ht="16.5">
      <c r="A234" s="3073" t="s">
        <v>3089</v>
      </c>
      <c r="B234" s="3074" t="s">
        <v>3305</v>
      </c>
      <c r="C234" s="3076">
        <v>41.64</v>
      </c>
      <c r="D234" s="3076">
        <v>28.530999999999999</v>
      </c>
      <c r="E234" s="3076">
        <v>13.106</v>
      </c>
      <c r="F234" s="1407">
        <f ca="1">ROUND(系统读取表!$E$14*面积清单!C234,0)</f>
        <v>304180</v>
      </c>
    </row>
    <row r="235" spans="1:6" ht="16.5">
      <c r="A235" s="3073" t="s">
        <v>3089</v>
      </c>
      <c r="B235" s="3074" t="s">
        <v>3306</v>
      </c>
      <c r="C235" s="3076">
        <v>41.64</v>
      </c>
      <c r="D235" s="3076">
        <v>28.530999999999999</v>
      </c>
      <c r="E235" s="3076">
        <v>13.106</v>
      </c>
      <c r="F235" s="1407">
        <f ca="1">ROUND(系统读取表!$E$14*面积清单!C235,0)</f>
        <v>304180</v>
      </c>
    </row>
    <row r="236" spans="1:6" ht="16.5">
      <c r="A236" s="3073" t="s">
        <v>3089</v>
      </c>
      <c r="B236" s="3074" t="s">
        <v>3307</v>
      </c>
      <c r="C236" s="3076">
        <v>41.64</v>
      </c>
      <c r="D236" s="3076">
        <v>28.530999999999999</v>
      </c>
      <c r="E236" s="3076">
        <v>13.106</v>
      </c>
      <c r="F236" s="1407">
        <f ca="1">ROUND(系统读取表!$E$14*面积清单!C236,0)</f>
        <v>304180</v>
      </c>
    </row>
    <row r="237" spans="1:6" ht="16.5">
      <c r="A237" s="3073" t="s">
        <v>3089</v>
      </c>
      <c r="B237" s="3074" t="s">
        <v>3308</v>
      </c>
      <c r="C237" s="3076">
        <v>41.64</v>
      </c>
      <c r="D237" s="3076">
        <v>28.530999999999999</v>
      </c>
      <c r="E237" s="3076">
        <v>13.106</v>
      </c>
      <c r="F237" s="1407">
        <f ca="1">ROUND(系统读取表!$E$14*面积清单!C237,0)</f>
        <v>304180</v>
      </c>
    </row>
    <row r="238" spans="1:6" ht="16.5">
      <c r="A238" s="3073" t="s">
        <v>3089</v>
      </c>
      <c r="B238" s="3074" t="s">
        <v>3309</v>
      </c>
      <c r="C238" s="3076">
        <v>41.64</v>
      </c>
      <c r="D238" s="3076">
        <v>28.530999999999999</v>
      </c>
      <c r="E238" s="3076">
        <v>13.106</v>
      </c>
      <c r="F238" s="1407">
        <f ca="1">ROUND(系统读取表!$E$14*面积清单!C238,0)</f>
        <v>304180</v>
      </c>
    </row>
    <row r="239" spans="1:6" ht="16.5">
      <c r="A239" s="3073" t="s">
        <v>3089</v>
      </c>
      <c r="B239" s="3074" t="s">
        <v>3310</v>
      </c>
      <c r="C239" s="3076">
        <v>43.74</v>
      </c>
      <c r="D239" s="3076">
        <v>29.975000000000001</v>
      </c>
      <c r="E239" s="3076">
        <v>13.769</v>
      </c>
      <c r="F239" s="1407">
        <f ca="1">ROUND(系统读取表!$E$14*面积清单!C239,0)</f>
        <v>319521</v>
      </c>
    </row>
    <row r="240" spans="1:6" ht="16.5">
      <c r="A240" s="3073" t="s">
        <v>3089</v>
      </c>
      <c r="B240" s="3074" t="s">
        <v>3311</v>
      </c>
      <c r="C240" s="3076">
        <v>42.14</v>
      </c>
      <c r="D240" s="3076">
        <v>28.875</v>
      </c>
      <c r="E240" s="3076">
        <v>13.263999999999999</v>
      </c>
      <c r="F240" s="1407">
        <f ca="1">ROUND(系统读取表!$E$14*面积清单!C240,0)</f>
        <v>307833</v>
      </c>
    </row>
    <row r="241" spans="1:6" ht="16.5">
      <c r="A241" s="3073" t="s">
        <v>3089</v>
      </c>
      <c r="B241" s="3074" t="s">
        <v>3312</v>
      </c>
      <c r="C241" s="3076">
        <v>42.14</v>
      </c>
      <c r="D241" s="3076">
        <v>28.875</v>
      </c>
      <c r="E241" s="3076">
        <v>13.263999999999999</v>
      </c>
      <c r="F241" s="1407">
        <f ca="1">ROUND(系统读取表!$E$14*面积清单!C241,0)</f>
        <v>307833</v>
      </c>
    </row>
    <row r="242" spans="1:6" ht="16.5">
      <c r="A242" s="3073" t="s">
        <v>3089</v>
      </c>
      <c r="B242" s="3074" t="s">
        <v>3313</v>
      </c>
      <c r="C242" s="3076">
        <v>52.56</v>
      </c>
      <c r="D242" s="3076">
        <v>36.012999999999998</v>
      </c>
      <c r="E242" s="3076">
        <v>16.542999999999999</v>
      </c>
      <c r="F242" s="1407">
        <f ca="1">ROUND(系统读取表!$E$14*面积清单!C242,0)</f>
        <v>383951</v>
      </c>
    </row>
    <row r="243" spans="1:6" ht="16.5">
      <c r="A243" s="3073" t="s">
        <v>3089</v>
      </c>
      <c r="B243" s="3074" t="s">
        <v>3314</v>
      </c>
      <c r="C243" s="3076">
        <v>52.56</v>
      </c>
      <c r="D243" s="3076">
        <v>36.012999999999998</v>
      </c>
      <c r="E243" s="3076">
        <v>16.542999999999999</v>
      </c>
      <c r="F243" s="1407">
        <f ca="1">ROUND(系统读取表!$E$14*面积清单!C243,0)</f>
        <v>383951</v>
      </c>
    </row>
    <row r="244" spans="1:6" ht="16.5">
      <c r="A244" s="3073" t="s">
        <v>3089</v>
      </c>
      <c r="B244" s="3074" t="s">
        <v>3315</v>
      </c>
      <c r="C244" s="3076">
        <v>42.14</v>
      </c>
      <c r="D244" s="3076">
        <v>28.875</v>
      </c>
      <c r="E244" s="3076">
        <v>13.263999999999999</v>
      </c>
      <c r="F244" s="1407">
        <f ca="1">ROUND(系统读取表!$E$14*面积清单!C244,0)</f>
        <v>307833</v>
      </c>
    </row>
    <row r="245" spans="1:6" ht="16.5">
      <c r="A245" s="3073" t="s">
        <v>3089</v>
      </c>
      <c r="B245" s="3074" t="s">
        <v>3316</v>
      </c>
      <c r="C245" s="3076">
        <v>42.14</v>
      </c>
      <c r="D245" s="3076">
        <v>28.875</v>
      </c>
      <c r="E245" s="3076">
        <v>13.263999999999999</v>
      </c>
      <c r="F245" s="1407">
        <f ca="1">ROUND(系统读取表!$E$14*面积清单!C245,0)</f>
        <v>307833</v>
      </c>
    </row>
    <row r="246" spans="1:6" ht="16.5">
      <c r="A246" s="3073" t="s">
        <v>3089</v>
      </c>
      <c r="B246" s="3074" t="s">
        <v>3317</v>
      </c>
      <c r="C246" s="3076">
        <v>43.74</v>
      </c>
      <c r="D246" s="3076">
        <v>29.975000000000001</v>
      </c>
      <c r="E246" s="3076">
        <v>13.769</v>
      </c>
      <c r="F246" s="1407">
        <f ca="1">ROUND(系统读取表!$E$14*面积清单!C246,0)</f>
        <v>319521</v>
      </c>
    </row>
    <row r="247" spans="1:6" ht="16.5">
      <c r="A247" s="3073" t="s">
        <v>3089</v>
      </c>
      <c r="B247" s="3074" t="s">
        <v>3318</v>
      </c>
      <c r="C247" s="3076">
        <v>41.64</v>
      </c>
      <c r="D247" s="3076">
        <v>28.530999999999999</v>
      </c>
      <c r="E247" s="3076">
        <v>13.106</v>
      </c>
      <c r="F247" s="1407">
        <f ca="1">ROUND(系统读取表!$E$14*面积清单!C247,0)</f>
        <v>304180</v>
      </c>
    </row>
    <row r="248" spans="1:6" ht="16.5">
      <c r="A248" s="3073" t="s">
        <v>3089</v>
      </c>
      <c r="B248" s="3074" t="s">
        <v>3319</v>
      </c>
      <c r="C248" s="3076">
        <v>41.64</v>
      </c>
      <c r="D248" s="3076">
        <v>28.530999999999999</v>
      </c>
      <c r="E248" s="3076">
        <v>13.106</v>
      </c>
      <c r="F248" s="1407">
        <f ca="1">ROUND(系统读取表!$E$14*面积清单!C248,0)</f>
        <v>304180</v>
      </c>
    </row>
    <row r="249" spans="1:6" ht="16.5">
      <c r="A249" s="3073" t="s">
        <v>3089</v>
      </c>
      <c r="B249" s="3074" t="s">
        <v>3320</v>
      </c>
      <c r="C249" s="3076">
        <v>41.64</v>
      </c>
      <c r="D249" s="3076">
        <v>28.530999999999999</v>
      </c>
      <c r="E249" s="3076">
        <v>13.106</v>
      </c>
      <c r="F249" s="1407">
        <f ca="1">ROUND(系统读取表!$E$14*面积清单!C249,0)</f>
        <v>304180</v>
      </c>
    </row>
    <row r="250" spans="1:6" ht="16.5">
      <c r="A250" s="3073" t="s">
        <v>3089</v>
      </c>
      <c r="B250" s="3074" t="s">
        <v>3321</v>
      </c>
      <c r="C250" s="3076">
        <v>41.64</v>
      </c>
      <c r="D250" s="3076">
        <v>28.530999999999999</v>
      </c>
      <c r="E250" s="3076">
        <v>13.106</v>
      </c>
      <c r="F250" s="1407">
        <f ca="1">ROUND(系统读取表!$E$14*面积清单!C250,0)</f>
        <v>304180</v>
      </c>
    </row>
    <row r="251" spans="1:6" ht="16.5">
      <c r="A251" s="3073" t="s">
        <v>3089</v>
      </c>
      <c r="B251" s="3074" t="s">
        <v>3322</v>
      </c>
      <c r="C251" s="3076">
        <v>41.64</v>
      </c>
      <c r="D251" s="3076">
        <v>28.530999999999999</v>
      </c>
      <c r="E251" s="3076">
        <v>13.106</v>
      </c>
      <c r="F251" s="1407">
        <f ca="1">ROUND(系统读取表!$E$14*面积清单!C251,0)</f>
        <v>304180</v>
      </c>
    </row>
    <row r="252" spans="1:6" ht="16.5">
      <c r="A252" s="3073" t="s">
        <v>3089</v>
      </c>
      <c r="B252" s="3074" t="s">
        <v>3323</v>
      </c>
      <c r="C252" s="3076">
        <v>43.74</v>
      </c>
      <c r="D252" s="3076">
        <v>29.975000000000001</v>
      </c>
      <c r="E252" s="3076">
        <v>13.769</v>
      </c>
      <c r="F252" s="1407">
        <f ca="1">ROUND(系统读取表!$E$14*面积清单!C252,0)</f>
        <v>319521</v>
      </c>
    </row>
    <row r="253" spans="1:6" ht="16.5">
      <c r="A253" s="3073" t="s">
        <v>3089</v>
      </c>
      <c r="B253" s="3074" t="s">
        <v>3324</v>
      </c>
      <c r="C253" s="3076">
        <v>42.14</v>
      </c>
      <c r="D253" s="3076">
        <v>28.875</v>
      </c>
      <c r="E253" s="3076">
        <v>13.263999999999999</v>
      </c>
      <c r="F253" s="1407">
        <f ca="1">ROUND(系统读取表!$E$14*面积清单!C253,0)</f>
        <v>307833</v>
      </c>
    </row>
    <row r="254" spans="1:6" ht="16.5">
      <c r="A254" s="3073" t="s">
        <v>3089</v>
      </c>
      <c r="B254" s="3074" t="s">
        <v>3325</v>
      </c>
      <c r="C254" s="3076">
        <v>42.14</v>
      </c>
      <c r="D254" s="3076">
        <v>28.875</v>
      </c>
      <c r="E254" s="3076">
        <v>13.263999999999999</v>
      </c>
      <c r="F254" s="1407">
        <f ca="1">ROUND(系统读取表!$E$14*面积清单!C254,0)</f>
        <v>307833</v>
      </c>
    </row>
    <row r="255" spans="1:6" ht="16.5">
      <c r="A255" s="3073" t="s">
        <v>3089</v>
      </c>
      <c r="B255" s="3074" t="s">
        <v>3326</v>
      </c>
      <c r="C255" s="3076">
        <v>42.14</v>
      </c>
      <c r="D255" s="3076">
        <v>28.875</v>
      </c>
      <c r="E255" s="3076">
        <v>13.263999999999999</v>
      </c>
      <c r="F255" s="1407">
        <f ca="1">ROUND(系统读取表!$E$14*面积清单!C255,0)</f>
        <v>307833</v>
      </c>
    </row>
    <row r="256" spans="1:6" ht="16.5">
      <c r="A256" s="3073" t="s">
        <v>3089</v>
      </c>
      <c r="B256" s="3074" t="s">
        <v>3327</v>
      </c>
      <c r="C256" s="3076">
        <v>52.56</v>
      </c>
      <c r="D256" s="3076">
        <v>36.012999999999998</v>
      </c>
      <c r="E256" s="3076">
        <v>16.542999999999999</v>
      </c>
      <c r="F256" s="1407">
        <f ca="1">ROUND(系统读取表!$E$14*面积清单!C256,0)</f>
        <v>383951</v>
      </c>
    </row>
    <row r="257" spans="1:6" ht="16.5">
      <c r="A257" s="3073" t="s">
        <v>3089</v>
      </c>
      <c r="B257" s="3074" t="s">
        <v>3328</v>
      </c>
      <c r="C257" s="3076">
        <v>52.56</v>
      </c>
      <c r="D257" s="3076">
        <v>36.012999999999998</v>
      </c>
      <c r="E257" s="3076">
        <v>16.542999999999999</v>
      </c>
      <c r="F257" s="1407">
        <f ca="1">ROUND(系统读取表!$E$14*面积清单!C257,0)</f>
        <v>383951</v>
      </c>
    </row>
    <row r="258" spans="1:6" ht="16.5">
      <c r="A258" s="3073" t="s">
        <v>3089</v>
      </c>
      <c r="B258" s="3074" t="s">
        <v>3329</v>
      </c>
      <c r="C258" s="3076">
        <v>52.56</v>
      </c>
      <c r="D258" s="3076">
        <v>36.012999999999998</v>
      </c>
      <c r="E258" s="3076">
        <v>16.542999999999999</v>
      </c>
      <c r="F258" s="1407">
        <f ca="1">ROUND(系统读取表!$E$14*面积清单!C258,0)</f>
        <v>383951</v>
      </c>
    </row>
    <row r="259" spans="1:6" ht="16.5">
      <c r="A259" s="3073" t="s">
        <v>3089</v>
      </c>
      <c r="B259" s="3074" t="s">
        <v>3330</v>
      </c>
      <c r="C259" s="3076">
        <v>52.56</v>
      </c>
      <c r="D259" s="3076">
        <v>36.012999999999998</v>
      </c>
      <c r="E259" s="3076">
        <v>16.542999999999999</v>
      </c>
      <c r="F259" s="1407">
        <f ca="1">ROUND(系统读取表!$E$14*面积清单!C259,0)</f>
        <v>383951</v>
      </c>
    </row>
    <row r="260" spans="1:6" ht="16.5">
      <c r="A260" s="3073" t="s">
        <v>3089</v>
      </c>
      <c r="B260" s="3074" t="s">
        <v>3331</v>
      </c>
      <c r="C260" s="3076">
        <v>52.56</v>
      </c>
      <c r="D260" s="3076">
        <v>36.012999999999998</v>
      </c>
      <c r="E260" s="3076">
        <v>16.542999999999999</v>
      </c>
      <c r="F260" s="1407">
        <f ca="1">ROUND(系统读取表!$E$14*面积清单!C260,0)</f>
        <v>383951</v>
      </c>
    </row>
    <row r="261" spans="1:6" ht="16.5">
      <c r="A261" s="3073" t="s">
        <v>3089</v>
      </c>
      <c r="B261" s="3074" t="s">
        <v>3332</v>
      </c>
      <c r="C261" s="3076">
        <v>54.53</v>
      </c>
      <c r="D261" s="3076">
        <v>37.366</v>
      </c>
      <c r="E261" s="3076">
        <v>17.164999999999999</v>
      </c>
      <c r="F261" s="1407">
        <f ca="1">ROUND(系统读取表!$E$14*面积清单!C261,0)</f>
        <v>398342</v>
      </c>
    </row>
    <row r="262" spans="1:6" ht="16.5">
      <c r="A262" s="3073" t="s">
        <v>3089</v>
      </c>
      <c r="B262" s="3074" t="s">
        <v>3333</v>
      </c>
      <c r="C262" s="3076">
        <v>42.14</v>
      </c>
      <c r="D262" s="3076">
        <v>28.875</v>
      </c>
      <c r="E262" s="3076">
        <v>13.263999999999999</v>
      </c>
      <c r="F262" s="1407">
        <f ca="1">ROUND(系统读取表!$E$14*面积清单!C262,0)</f>
        <v>307833</v>
      </c>
    </row>
    <row r="263" spans="1:6" ht="16.5">
      <c r="A263" s="3073" t="s">
        <v>3089</v>
      </c>
      <c r="B263" s="3074" t="s">
        <v>3334</v>
      </c>
      <c r="C263" s="3076">
        <v>42.14</v>
      </c>
      <c r="D263" s="3076">
        <v>28.875</v>
      </c>
      <c r="E263" s="3076">
        <v>13.263999999999999</v>
      </c>
      <c r="F263" s="1407">
        <f ca="1">ROUND(系统读取表!$E$14*面积清单!C263,0)</f>
        <v>307833</v>
      </c>
    </row>
    <row r="264" spans="1:6" ht="16.5">
      <c r="A264" s="3073" t="s">
        <v>3089</v>
      </c>
      <c r="B264" s="3074" t="s">
        <v>3335</v>
      </c>
      <c r="C264" s="3076">
        <v>42.14</v>
      </c>
      <c r="D264" s="3076">
        <v>28.875</v>
      </c>
      <c r="E264" s="3076">
        <v>13.263999999999999</v>
      </c>
      <c r="F264" s="1407">
        <f ca="1">ROUND(系统读取表!$E$14*面积清单!C264,0)</f>
        <v>307833</v>
      </c>
    </row>
    <row r="265" spans="1:6" ht="16.5">
      <c r="A265" s="3073" t="s">
        <v>3089</v>
      </c>
      <c r="B265" s="3074" t="s">
        <v>3336</v>
      </c>
      <c r="C265" s="3076">
        <v>43.74</v>
      </c>
      <c r="D265" s="3076">
        <v>29.975000000000001</v>
      </c>
      <c r="E265" s="3076">
        <v>13.769</v>
      </c>
      <c r="F265" s="1407">
        <f ca="1">ROUND(系统读取表!$E$14*面积清单!C265,0)</f>
        <v>319521</v>
      </c>
    </row>
    <row r="266" spans="1:6" ht="16.5">
      <c r="A266" s="3073" t="s">
        <v>3089</v>
      </c>
      <c r="B266" s="3074" t="s">
        <v>3337</v>
      </c>
      <c r="C266" s="3076">
        <v>41.64</v>
      </c>
      <c r="D266" s="3076">
        <v>28.530999999999999</v>
      </c>
      <c r="E266" s="3076">
        <v>13.106</v>
      </c>
      <c r="F266" s="1407">
        <f ca="1">ROUND(系统读取表!$E$14*面积清单!C266,0)</f>
        <v>304180</v>
      </c>
    </row>
    <row r="267" spans="1:6" ht="16.5">
      <c r="A267" s="3073" t="s">
        <v>3089</v>
      </c>
      <c r="B267" s="3074" t="s">
        <v>3338</v>
      </c>
      <c r="C267" s="3076">
        <v>41.64</v>
      </c>
      <c r="D267" s="3076">
        <v>28.530999999999999</v>
      </c>
      <c r="E267" s="3076">
        <v>13.106</v>
      </c>
      <c r="F267" s="1407">
        <f ca="1">ROUND(系统读取表!$E$14*面积清单!C267,0)</f>
        <v>304180</v>
      </c>
    </row>
    <row r="268" spans="1:6" ht="16.5">
      <c r="A268" s="3073" t="s">
        <v>3089</v>
      </c>
      <c r="B268" s="3074" t="s">
        <v>3339</v>
      </c>
      <c r="C268" s="3076">
        <v>41.64</v>
      </c>
      <c r="D268" s="3076">
        <v>28.530999999999999</v>
      </c>
      <c r="E268" s="3076">
        <v>13.106</v>
      </c>
      <c r="F268" s="1407">
        <f ca="1">ROUND(系统读取表!$E$14*面积清单!C268,0)</f>
        <v>304180</v>
      </c>
    </row>
    <row r="269" spans="1:6" ht="16.5">
      <c r="A269" s="3073" t="s">
        <v>3089</v>
      </c>
      <c r="B269" s="3074" t="s">
        <v>3340</v>
      </c>
      <c r="C269" s="3076">
        <v>41.64</v>
      </c>
      <c r="D269" s="3076">
        <v>28.530999999999999</v>
      </c>
      <c r="E269" s="3076">
        <v>13.106</v>
      </c>
      <c r="F269" s="1407">
        <f ca="1">ROUND(系统读取表!$E$14*面积清单!C269,0)</f>
        <v>304180</v>
      </c>
    </row>
    <row r="270" spans="1:6" ht="16.5">
      <c r="A270" s="3073" t="s">
        <v>3089</v>
      </c>
      <c r="B270" s="3074" t="s">
        <v>3341</v>
      </c>
      <c r="C270" s="3076">
        <v>41.64</v>
      </c>
      <c r="D270" s="3076">
        <v>28.530999999999999</v>
      </c>
      <c r="E270" s="3076">
        <v>13.106</v>
      </c>
      <c r="F270" s="1407">
        <f ca="1">ROUND(系统读取表!$E$14*面积清单!C270,0)</f>
        <v>304180</v>
      </c>
    </row>
    <row r="271" spans="1:6" ht="16.5">
      <c r="A271" s="3073" t="s">
        <v>3089</v>
      </c>
      <c r="B271" s="3074" t="s">
        <v>3342</v>
      </c>
      <c r="C271" s="3076">
        <v>43.74</v>
      </c>
      <c r="D271" s="3076">
        <v>29.975000000000001</v>
      </c>
      <c r="E271" s="3076">
        <v>13.769</v>
      </c>
      <c r="F271" s="1407">
        <f ca="1">ROUND(系统读取表!$E$14*面积清单!C271,0)</f>
        <v>319521</v>
      </c>
    </row>
    <row r="272" spans="1:6" ht="16.5">
      <c r="A272" s="3073" t="s">
        <v>3089</v>
      </c>
      <c r="B272" s="3074" t="s">
        <v>3343</v>
      </c>
      <c r="C272" s="3076">
        <v>42.14</v>
      </c>
      <c r="D272" s="3076">
        <v>28.875</v>
      </c>
      <c r="E272" s="3076">
        <v>13.263999999999999</v>
      </c>
      <c r="F272" s="1407">
        <f ca="1">ROUND(系统读取表!$E$14*面积清单!C272,0)</f>
        <v>307833</v>
      </c>
    </row>
    <row r="273" spans="1:6" ht="16.5">
      <c r="A273" s="3073" t="s">
        <v>3089</v>
      </c>
      <c r="B273" s="3074" t="s">
        <v>3344</v>
      </c>
      <c r="C273" s="3076">
        <v>42.14</v>
      </c>
      <c r="D273" s="3076">
        <v>28.875</v>
      </c>
      <c r="E273" s="3076">
        <v>13.263999999999999</v>
      </c>
      <c r="F273" s="1407">
        <f ca="1">ROUND(系统读取表!$E$14*面积清单!C273,0)</f>
        <v>307833</v>
      </c>
    </row>
    <row r="274" spans="1:6" ht="16.5">
      <c r="A274" s="3073" t="s">
        <v>3089</v>
      </c>
      <c r="B274" s="3074" t="s">
        <v>3345</v>
      </c>
      <c r="C274" s="3076">
        <v>42.14</v>
      </c>
      <c r="D274" s="3076">
        <v>28.875</v>
      </c>
      <c r="E274" s="3076">
        <v>13.263999999999999</v>
      </c>
      <c r="F274" s="1407">
        <f ca="1">ROUND(系统读取表!$E$14*面积清单!C274,0)</f>
        <v>307833</v>
      </c>
    </row>
    <row r="275" spans="1:6" ht="16.5">
      <c r="A275" s="3073" t="s">
        <v>3089</v>
      </c>
      <c r="B275" s="3074" t="s">
        <v>3346</v>
      </c>
      <c r="C275" s="3076">
        <v>55.14</v>
      </c>
      <c r="D275" s="3076">
        <v>37.366</v>
      </c>
      <c r="E275" s="3076">
        <v>17.773</v>
      </c>
      <c r="F275" s="1407">
        <f ca="1">ROUND(系统读取表!$E$14*面积清单!C275,0)</f>
        <v>402798</v>
      </c>
    </row>
    <row r="276" spans="1:6" ht="16.5">
      <c r="A276" s="3073" t="s">
        <v>3089</v>
      </c>
      <c r="B276" s="3074" t="s">
        <v>3347</v>
      </c>
      <c r="C276" s="3076">
        <v>53.14</v>
      </c>
      <c r="D276" s="3076">
        <v>36.012999999999998</v>
      </c>
      <c r="E276" s="3076">
        <v>17.13</v>
      </c>
      <c r="F276" s="1407">
        <f ca="1">ROUND(系统读取表!$E$14*面积清单!C276,0)</f>
        <v>388188</v>
      </c>
    </row>
    <row r="277" spans="1:6" ht="16.5">
      <c r="A277" s="3073" t="s">
        <v>3089</v>
      </c>
      <c r="B277" s="3074" t="s">
        <v>3348</v>
      </c>
      <c r="C277" s="3076">
        <v>53.14</v>
      </c>
      <c r="D277" s="3076">
        <v>36.012999999999998</v>
      </c>
      <c r="E277" s="3076">
        <v>17.13</v>
      </c>
      <c r="F277" s="1407">
        <f ca="1">ROUND(系统读取表!$E$14*面积清单!C277,0)</f>
        <v>388188</v>
      </c>
    </row>
    <row r="278" spans="1:6" ht="16.5">
      <c r="A278" s="3073" t="s">
        <v>3089</v>
      </c>
      <c r="B278" s="3074" t="s">
        <v>3349</v>
      </c>
      <c r="C278" s="3076">
        <v>53.14</v>
      </c>
      <c r="D278" s="3076">
        <v>36.012999999999998</v>
      </c>
      <c r="E278" s="3076">
        <v>17.13</v>
      </c>
      <c r="F278" s="1407">
        <f ca="1">ROUND(系统读取表!$E$14*面积清单!C278,0)</f>
        <v>388188</v>
      </c>
    </row>
    <row r="279" spans="1:6" ht="16.5">
      <c r="A279" s="3073" t="s">
        <v>3089</v>
      </c>
      <c r="B279" s="3074" t="s">
        <v>3350</v>
      </c>
      <c r="C279" s="3076">
        <v>53.14</v>
      </c>
      <c r="D279" s="3076">
        <v>36.012999999999998</v>
      </c>
      <c r="E279" s="3076">
        <v>17.13</v>
      </c>
      <c r="F279" s="1407">
        <f ca="1">ROUND(系统读取表!$E$14*面积清单!C279,0)</f>
        <v>388188</v>
      </c>
    </row>
    <row r="280" spans="1:6" ht="16.5">
      <c r="A280" s="3073" t="s">
        <v>3089</v>
      </c>
      <c r="B280" s="3074" t="s">
        <v>3351</v>
      </c>
      <c r="C280" s="3076">
        <v>53.14</v>
      </c>
      <c r="D280" s="3076">
        <v>36.012999999999998</v>
      </c>
      <c r="E280" s="3076">
        <v>17.13</v>
      </c>
      <c r="F280" s="1407">
        <f ca="1">ROUND(系统读取表!$E$14*面积清单!C280,0)</f>
        <v>388188</v>
      </c>
    </row>
    <row r="281" spans="1:6" ht="16.5">
      <c r="A281" s="3073" t="s">
        <v>3089</v>
      </c>
      <c r="B281" s="3074" t="s">
        <v>3352</v>
      </c>
      <c r="C281" s="3076">
        <v>55.14</v>
      </c>
      <c r="D281" s="3076">
        <v>37.366</v>
      </c>
      <c r="E281" s="3076">
        <v>17.773</v>
      </c>
      <c r="F281" s="1407">
        <f ca="1">ROUND(系统读取表!$E$14*面积清单!C281,0)</f>
        <v>402798</v>
      </c>
    </row>
    <row r="282" spans="1:6" ht="16.5">
      <c r="A282" s="3073" t="s">
        <v>3089</v>
      </c>
      <c r="B282" s="3074" t="s">
        <v>3353</v>
      </c>
      <c r="C282" s="3076">
        <v>42.61</v>
      </c>
      <c r="D282" s="3076">
        <v>28.875</v>
      </c>
      <c r="E282" s="3076">
        <v>13.734</v>
      </c>
      <c r="F282" s="1407">
        <f ca="1">ROUND(系统读取表!$E$14*面积清单!C282,0)</f>
        <v>311266</v>
      </c>
    </row>
    <row r="283" spans="1:6" ht="16.5">
      <c r="A283" s="3073" t="s">
        <v>3089</v>
      </c>
      <c r="B283" s="3074" t="s">
        <v>3354</v>
      </c>
      <c r="C283" s="3076">
        <v>42.61</v>
      </c>
      <c r="D283" s="3076">
        <v>28.875</v>
      </c>
      <c r="E283" s="3076">
        <v>13.734</v>
      </c>
      <c r="F283" s="1407">
        <f ca="1">ROUND(系统读取表!$E$14*面积清单!C283,0)</f>
        <v>311266</v>
      </c>
    </row>
    <row r="284" spans="1:6" ht="16.5">
      <c r="A284" s="3073" t="s">
        <v>3089</v>
      </c>
      <c r="B284" s="3074" t="s">
        <v>3355</v>
      </c>
      <c r="C284" s="3076">
        <v>55.1</v>
      </c>
      <c r="D284" s="3076">
        <v>37.340000000000003</v>
      </c>
      <c r="E284" s="3076">
        <v>17.760999999999999</v>
      </c>
      <c r="F284" s="1407">
        <f ca="1">ROUND(系统读取表!$E$14*面积清单!C284,0)</f>
        <v>402506</v>
      </c>
    </row>
    <row r="285" spans="1:6" ht="16.5">
      <c r="A285" s="3073" t="s">
        <v>3089</v>
      </c>
      <c r="B285" s="3074" t="s">
        <v>3356</v>
      </c>
      <c r="C285" s="3076">
        <v>42.1</v>
      </c>
      <c r="D285" s="3076">
        <v>28.530999999999999</v>
      </c>
      <c r="E285" s="3076">
        <v>13.571</v>
      </c>
      <c r="F285" s="1407">
        <f ca="1">ROUND(系统读取表!$E$14*面积清单!C285,0)</f>
        <v>307541</v>
      </c>
    </row>
    <row r="286" spans="1:6" ht="16.5">
      <c r="A286" s="3073" t="s">
        <v>3089</v>
      </c>
      <c r="B286" s="3074" t="s">
        <v>3357</v>
      </c>
      <c r="C286" s="3076">
        <v>42.1</v>
      </c>
      <c r="D286" s="3076">
        <v>28.530999999999999</v>
      </c>
      <c r="E286" s="3076">
        <v>13.571</v>
      </c>
      <c r="F286" s="1407">
        <f ca="1">ROUND(系统读取表!$E$14*面积清单!C286,0)</f>
        <v>307541</v>
      </c>
    </row>
    <row r="287" spans="1:6" ht="16.5">
      <c r="A287" s="3073" t="s">
        <v>3089</v>
      </c>
      <c r="B287" s="3074" t="s">
        <v>3358</v>
      </c>
      <c r="C287" s="3076">
        <v>42.1</v>
      </c>
      <c r="D287" s="3076">
        <v>28.530999999999999</v>
      </c>
      <c r="E287" s="3076">
        <v>13.571</v>
      </c>
      <c r="F287" s="1407">
        <f ca="1">ROUND(系统读取表!$E$14*面积清单!C287,0)</f>
        <v>307541</v>
      </c>
    </row>
    <row r="288" spans="1:6" ht="16.5">
      <c r="A288" s="3073" t="s">
        <v>3089</v>
      </c>
      <c r="B288" s="3074" t="s">
        <v>3359</v>
      </c>
      <c r="C288" s="3076">
        <v>42.1</v>
      </c>
      <c r="D288" s="3076">
        <v>28.530999999999999</v>
      </c>
      <c r="E288" s="3076">
        <v>13.571</v>
      </c>
      <c r="F288" s="1407">
        <f ca="1">ROUND(系统读取表!$E$14*面积清单!C288,0)</f>
        <v>307541</v>
      </c>
    </row>
    <row r="289" spans="1:6" ht="16.5">
      <c r="A289" s="3073" t="s">
        <v>3089</v>
      </c>
      <c r="B289" s="3074" t="s">
        <v>3360</v>
      </c>
      <c r="C289" s="3076">
        <v>44.23</v>
      </c>
      <c r="D289" s="3076">
        <v>29.975000000000001</v>
      </c>
      <c r="E289" s="3076">
        <v>14.257999999999999</v>
      </c>
      <c r="F289" s="1407">
        <f ca="1">ROUND(系统读取表!$E$14*面积清单!C289,0)</f>
        <v>323100</v>
      </c>
    </row>
    <row r="290" spans="1:6" ht="16.5">
      <c r="A290" s="3073" t="s">
        <v>3089</v>
      </c>
      <c r="B290" s="3074" t="s">
        <v>3361</v>
      </c>
      <c r="C290" s="3076">
        <v>42.61</v>
      </c>
      <c r="D290" s="3076">
        <v>28.875</v>
      </c>
      <c r="E290" s="3076">
        <v>13.734</v>
      </c>
      <c r="F290" s="1407">
        <f ca="1">ROUND(系统读取表!$E$14*面积清单!C290,0)</f>
        <v>311266</v>
      </c>
    </row>
    <row r="291" spans="1:6" ht="16.5">
      <c r="A291" s="3073" t="s">
        <v>3089</v>
      </c>
      <c r="B291" s="3074" t="s">
        <v>3362</v>
      </c>
      <c r="C291" s="3076">
        <v>42.61</v>
      </c>
      <c r="D291" s="3076">
        <v>28.875</v>
      </c>
      <c r="E291" s="3076">
        <v>13.734</v>
      </c>
      <c r="F291" s="1407">
        <f ca="1">ROUND(系统读取表!$E$14*面积清单!C291,0)</f>
        <v>311266</v>
      </c>
    </row>
    <row r="292" spans="1:6" ht="16.5">
      <c r="A292" s="3073" t="s">
        <v>3089</v>
      </c>
      <c r="B292" s="3074" t="s">
        <v>3363</v>
      </c>
      <c r="C292" s="3076">
        <v>42.61</v>
      </c>
      <c r="D292" s="3076">
        <v>28.875</v>
      </c>
      <c r="E292" s="3076">
        <v>13.734</v>
      </c>
      <c r="F292" s="1407">
        <f ca="1">ROUND(系统读取表!$E$14*面积清单!C292,0)</f>
        <v>311266</v>
      </c>
    </row>
    <row r="293" spans="1:6" ht="16.5">
      <c r="A293" s="3073" t="s">
        <v>3089</v>
      </c>
      <c r="B293" s="3074" t="s">
        <v>3364</v>
      </c>
      <c r="C293" s="3076">
        <v>55.14</v>
      </c>
      <c r="D293" s="3076">
        <v>37.366</v>
      </c>
      <c r="E293" s="3076">
        <v>17.773</v>
      </c>
      <c r="F293" s="1407">
        <f ca="1">ROUND(系统读取表!$E$14*面积清单!C293,0)</f>
        <v>402798</v>
      </c>
    </row>
    <row r="294" spans="1:6" ht="16.5">
      <c r="A294" s="3073" t="s">
        <v>3089</v>
      </c>
      <c r="B294" s="3074" t="s">
        <v>3365</v>
      </c>
      <c r="C294" s="3076">
        <v>53.14</v>
      </c>
      <c r="D294" s="3076">
        <v>36.012999999999998</v>
      </c>
      <c r="E294" s="3076">
        <v>17.13</v>
      </c>
      <c r="F294" s="1407">
        <f ca="1">ROUND(系统读取表!$E$14*面积清单!C294,0)</f>
        <v>388188</v>
      </c>
    </row>
    <row r="295" spans="1:6" ht="16.5">
      <c r="A295" s="3073" t="s">
        <v>3089</v>
      </c>
      <c r="B295" s="3074" t="s">
        <v>3366</v>
      </c>
      <c r="C295" s="3076">
        <v>53.14</v>
      </c>
      <c r="D295" s="3076">
        <v>36.012999999999998</v>
      </c>
      <c r="E295" s="3076">
        <v>17.13</v>
      </c>
      <c r="F295" s="1407">
        <f ca="1">ROUND(系统读取表!$E$14*面积清单!C295,0)</f>
        <v>388188</v>
      </c>
    </row>
    <row r="296" spans="1:6" ht="16.5">
      <c r="A296" s="3073" t="s">
        <v>3089</v>
      </c>
      <c r="B296" s="3074" t="s">
        <v>3367</v>
      </c>
      <c r="C296" s="3076">
        <v>53.14</v>
      </c>
      <c r="D296" s="3076">
        <v>36.012999999999998</v>
      </c>
      <c r="E296" s="3076">
        <v>17.13</v>
      </c>
      <c r="F296" s="1407">
        <f ca="1">ROUND(系统读取表!$E$14*面积清单!C296,0)</f>
        <v>388188</v>
      </c>
    </row>
    <row r="297" spans="1:6" ht="16.5">
      <c r="A297" s="3073" t="s">
        <v>3089</v>
      </c>
      <c r="B297" s="3074" t="s">
        <v>3368</v>
      </c>
      <c r="C297" s="3076">
        <v>53.14</v>
      </c>
      <c r="D297" s="3076">
        <v>36.012999999999998</v>
      </c>
      <c r="E297" s="3076">
        <v>17.13</v>
      </c>
      <c r="F297" s="1407">
        <f ca="1">ROUND(系统读取表!$E$14*面积清单!C297,0)</f>
        <v>388188</v>
      </c>
    </row>
    <row r="298" spans="1:6" ht="16.5">
      <c r="A298" s="3073" t="s">
        <v>3089</v>
      </c>
      <c r="B298" s="3074" t="s">
        <v>3369</v>
      </c>
      <c r="C298" s="3076">
        <v>53.14</v>
      </c>
      <c r="D298" s="3076">
        <v>36.012999999999998</v>
      </c>
      <c r="E298" s="3076">
        <v>17.13</v>
      </c>
      <c r="F298" s="1407">
        <f ca="1">ROUND(系统读取表!$E$14*面积清单!C298,0)</f>
        <v>388188</v>
      </c>
    </row>
    <row r="299" spans="1:6" ht="16.5">
      <c r="A299" s="3073" t="s">
        <v>3089</v>
      </c>
      <c r="B299" s="3074" t="s">
        <v>3370</v>
      </c>
      <c r="C299" s="3076">
        <v>53.14</v>
      </c>
      <c r="D299" s="3076">
        <v>36.012999999999998</v>
      </c>
      <c r="E299" s="3076">
        <v>17.13</v>
      </c>
      <c r="F299" s="1407">
        <f ca="1">ROUND(系统读取表!$E$14*面积清单!C299,0)</f>
        <v>388188</v>
      </c>
    </row>
    <row r="300" spans="1:6" ht="16.5">
      <c r="A300" s="3073" t="s">
        <v>3089</v>
      </c>
      <c r="B300" s="3074" t="s">
        <v>3371</v>
      </c>
      <c r="C300" s="3076">
        <v>53.14</v>
      </c>
      <c r="D300" s="3076">
        <v>36.012999999999998</v>
      </c>
      <c r="E300" s="3076">
        <v>17.13</v>
      </c>
      <c r="F300" s="1407">
        <f ca="1">ROUND(系统读取表!$E$14*面积清单!C300,0)</f>
        <v>388188</v>
      </c>
    </row>
    <row r="301" spans="1:6" ht="16.5">
      <c r="A301" s="3073" t="s">
        <v>3089</v>
      </c>
      <c r="B301" s="3074" t="s">
        <v>3372</v>
      </c>
      <c r="C301" s="3076">
        <v>55.14</v>
      </c>
      <c r="D301" s="3076">
        <v>37.366</v>
      </c>
      <c r="E301" s="3076">
        <v>17.773</v>
      </c>
      <c r="F301" s="1407">
        <f ca="1">ROUND(系统读取表!$E$14*面积清单!C301,0)</f>
        <v>402798</v>
      </c>
    </row>
    <row r="302" spans="1:6" ht="16.5">
      <c r="A302" s="3073" t="s">
        <v>3089</v>
      </c>
      <c r="B302" s="3074" t="s">
        <v>3373</v>
      </c>
      <c r="C302" s="3076">
        <v>42.61</v>
      </c>
      <c r="D302" s="3076">
        <v>28.875</v>
      </c>
      <c r="E302" s="3076">
        <v>13.734</v>
      </c>
      <c r="F302" s="1407">
        <f ca="1">ROUND(系统读取表!$E$14*面积清单!C302,0)</f>
        <v>311266</v>
      </c>
    </row>
    <row r="303" spans="1:6" ht="16.5">
      <c r="A303" s="3073" t="s">
        <v>3089</v>
      </c>
      <c r="B303" s="3074" t="s">
        <v>3374</v>
      </c>
      <c r="C303" s="3076">
        <v>42.61</v>
      </c>
      <c r="D303" s="3076">
        <v>28.875</v>
      </c>
      <c r="E303" s="3076">
        <v>13.734</v>
      </c>
      <c r="F303" s="1407">
        <f ca="1">ROUND(系统读取表!$E$14*面积清单!C303,0)</f>
        <v>311266</v>
      </c>
    </row>
    <row r="304" spans="1:6" ht="16.5">
      <c r="A304" s="3073" t="s">
        <v>3089</v>
      </c>
      <c r="B304" s="3074" t="s">
        <v>3375</v>
      </c>
      <c r="C304" s="3076">
        <v>42.61</v>
      </c>
      <c r="D304" s="3076">
        <v>28.875</v>
      </c>
      <c r="E304" s="3076">
        <v>13.734</v>
      </c>
      <c r="F304" s="1407">
        <f ca="1">ROUND(系统读取表!$E$14*面积清单!C304,0)</f>
        <v>311266</v>
      </c>
    </row>
    <row r="305" spans="1:6" ht="16.5">
      <c r="A305" s="3073" t="s">
        <v>3089</v>
      </c>
      <c r="B305" s="3074" t="s">
        <v>3376</v>
      </c>
      <c r="C305" s="3076">
        <v>44.23</v>
      </c>
      <c r="D305" s="3076">
        <v>29.975000000000001</v>
      </c>
      <c r="E305" s="3076">
        <v>14.257999999999999</v>
      </c>
      <c r="F305" s="1407">
        <f ca="1">ROUND(系统读取表!$E$14*面积清单!C305,0)</f>
        <v>323100</v>
      </c>
    </row>
    <row r="306" spans="1:6" ht="16.5">
      <c r="A306" s="3073" t="s">
        <v>3089</v>
      </c>
      <c r="B306" s="3074" t="s">
        <v>3377</v>
      </c>
      <c r="C306" s="3076">
        <v>42.1</v>
      </c>
      <c r="D306" s="3076">
        <v>28.530999999999999</v>
      </c>
      <c r="E306" s="3076">
        <v>13.571</v>
      </c>
      <c r="F306" s="1407">
        <f ca="1">ROUND(系统读取表!$E$14*面积清单!C306,0)</f>
        <v>307541</v>
      </c>
    </row>
    <row r="307" spans="1:6" ht="16.5">
      <c r="A307" s="3073" t="s">
        <v>3089</v>
      </c>
      <c r="B307" s="3074" t="s">
        <v>3378</v>
      </c>
      <c r="C307" s="3076">
        <v>42.1</v>
      </c>
      <c r="D307" s="3076">
        <v>28.530999999999999</v>
      </c>
      <c r="E307" s="3076">
        <v>13.571</v>
      </c>
      <c r="F307" s="1407">
        <f ca="1">ROUND(系统读取表!$E$14*面积清单!C307,0)</f>
        <v>307541</v>
      </c>
    </row>
    <row r="308" spans="1:6" ht="16.5">
      <c r="A308" s="3073" t="s">
        <v>3089</v>
      </c>
      <c r="B308" s="3074" t="s">
        <v>3379</v>
      </c>
      <c r="C308" s="3076">
        <v>42.1</v>
      </c>
      <c r="D308" s="3076">
        <v>28.530999999999999</v>
      </c>
      <c r="E308" s="3076">
        <v>13.571</v>
      </c>
      <c r="F308" s="1407">
        <f ca="1">ROUND(系统读取表!$E$14*面积清单!C308,0)</f>
        <v>307541</v>
      </c>
    </row>
    <row r="309" spans="1:6" ht="16.5">
      <c r="A309" s="3073" t="s">
        <v>3089</v>
      </c>
      <c r="B309" s="3074" t="s">
        <v>3380</v>
      </c>
      <c r="C309" s="3076">
        <v>42.1</v>
      </c>
      <c r="D309" s="3076">
        <v>28.530999999999999</v>
      </c>
      <c r="E309" s="3076">
        <v>13.571</v>
      </c>
      <c r="F309" s="1407">
        <f ca="1">ROUND(系统读取表!$E$14*面积清单!C309,0)</f>
        <v>307541</v>
      </c>
    </row>
    <row r="310" spans="1:6" ht="16.5">
      <c r="A310" s="3073" t="s">
        <v>3089</v>
      </c>
      <c r="B310" s="3074" t="s">
        <v>3381</v>
      </c>
      <c r="C310" s="3076">
        <v>42.1</v>
      </c>
      <c r="D310" s="3076">
        <v>28.530999999999999</v>
      </c>
      <c r="E310" s="3076">
        <v>13.571</v>
      </c>
      <c r="F310" s="1407">
        <f ca="1">ROUND(系统读取表!$E$14*面积清单!C310,0)</f>
        <v>307541</v>
      </c>
    </row>
    <row r="311" spans="1:6" ht="16.5">
      <c r="A311" s="3073" t="s">
        <v>3089</v>
      </c>
      <c r="B311" s="3074" t="s">
        <v>3382</v>
      </c>
      <c r="C311" s="3076">
        <v>44.23</v>
      </c>
      <c r="D311" s="3076">
        <v>29.975000000000001</v>
      </c>
      <c r="E311" s="3076">
        <v>14.257999999999999</v>
      </c>
      <c r="F311" s="1407">
        <f ca="1">ROUND(系统读取表!$E$14*面积清单!C311,0)</f>
        <v>323100</v>
      </c>
    </row>
    <row r="312" spans="1:6" ht="16.5">
      <c r="A312" s="3073" t="s">
        <v>3089</v>
      </c>
      <c r="B312" s="3074" t="s">
        <v>3383</v>
      </c>
      <c r="C312" s="3076">
        <v>42.61</v>
      </c>
      <c r="D312" s="3076">
        <v>28.875</v>
      </c>
      <c r="E312" s="3076">
        <v>13.734</v>
      </c>
      <c r="F312" s="1407">
        <f ca="1">ROUND(系统读取表!$E$14*面积清单!C312,0)</f>
        <v>311266</v>
      </c>
    </row>
    <row r="313" spans="1:6" ht="16.5">
      <c r="A313" s="3073" t="s">
        <v>3089</v>
      </c>
      <c r="B313" s="3074" t="s">
        <v>3384</v>
      </c>
      <c r="C313" s="3076">
        <v>42.61</v>
      </c>
      <c r="D313" s="3076">
        <v>28.875</v>
      </c>
      <c r="E313" s="3076">
        <v>13.734</v>
      </c>
      <c r="F313" s="1407">
        <f ca="1">ROUND(系统读取表!$E$14*面积清单!C313,0)</f>
        <v>311266</v>
      </c>
    </row>
    <row r="314" spans="1:6" ht="16.5">
      <c r="A314" s="3073" t="s">
        <v>3089</v>
      </c>
      <c r="B314" s="3074" t="s">
        <v>3385</v>
      </c>
      <c r="C314" s="3076">
        <v>42.61</v>
      </c>
      <c r="D314" s="3076">
        <v>28.875</v>
      </c>
      <c r="E314" s="3076">
        <v>13.734</v>
      </c>
      <c r="F314" s="1407">
        <f ca="1">ROUND(系统读取表!$E$14*面积清单!C314,0)</f>
        <v>311266</v>
      </c>
    </row>
    <row r="315" spans="1:6" ht="16.5">
      <c r="A315" s="3073" t="s">
        <v>3089</v>
      </c>
      <c r="B315" s="3074" t="s">
        <v>3386</v>
      </c>
      <c r="C315" s="3076">
        <v>55.14</v>
      </c>
      <c r="D315" s="3076">
        <v>37.366</v>
      </c>
      <c r="E315" s="3076">
        <v>17.773</v>
      </c>
      <c r="F315" s="1407">
        <f ca="1">ROUND(系统读取表!$E$14*面积清单!C315,0)</f>
        <v>402798</v>
      </c>
    </row>
    <row r="316" spans="1:6" ht="16.5">
      <c r="A316" s="3073" t="s">
        <v>3089</v>
      </c>
      <c r="B316" s="3074" t="s">
        <v>3387</v>
      </c>
      <c r="C316" s="3076">
        <v>53.14</v>
      </c>
      <c r="D316" s="3076">
        <v>36.012999999999998</v>
      </c>
      <c r="E316" s="3076">
        <v>17.13</v>
      </c>
      <c r="F316" s="1407">
        <f ca="1">ROUND(系统读取表!$E$14*面积清单!C316,0)</f>
        <v>388188</v>
      </c>
    </row>
    <row r="317" spans="1:6" ht="16.5">
      <c r="A317" s="3073" t="s">
        <v>3089</v>
      </c>
      <c r="B317" s="3074" t="s">
        <v>3388</v>
      </c>
      <c r="C317" s="3076">
        <v>53.14</v>
      </c>
      <c r="D317" s="3076">
        <v>36.012999999999998</v>
      </c>
      <c r="E317" s="3076">
        <v>17.13</v>
      </c>
      <c r="F317" s="1407">
        <f ca="1">ROUND(系统读取表!$E$14*面积清单!C317,0)</f>
        <v>388188</v>
      </c>
    </row>
    <row r="318" spans="1:6" ht="16.5">
      <c r="A318" s="3073" t="s">
        <v>3089</v>
      </c>
      <c r="B318" s="3074" t="s">
        <v>3389</v>
      </c>
      <c r="C318" s="3076">
        <v>53.14</v>
      </c>
      <c r="D318" s="3076">
        <v>36.012999999999998</v>
      </c>
      <c r="E318" s="3076">
        <v>17.13</v>
      </c>
      <c r="F318" s="1407">
        <f ca="1">ROUND(系统读取表!$E$14*面积清单!C318,0)</f>
        <v>388188</v>
      </c>
    </row>
    <row r="319" spans="1:6" ht="16.5">
      <c r="A319" s="3073" t="s">
        <v>3089</v>
      </c>
      <c r="B319" s="3074" t="s">
        <v>3390</v>
      </c>
      <c r="C319" s="3076">
        <v>53.14</v>
      </c>
      <c r="D319" s="3076">
        <v>36.012999999999998</v>
      </c>
      <c r="E319" s="3076">
        <v>17.13</v>
      </c>
      <c r="F319" s="1407">
        <f ca="1">ROUND(系统读取表!$E$14*面积清单!C319,0)</f>
        <v>388188</v>
      </c>
    </row>
    <row r="320" spans="1:6" ht="16.5">
      <c r="A320" s="3073" t="s">
        <v>3089</v>
      </c>
      <c r="B320" s="3074" t="s">
        <v>3391</v>
      </c>
      <c r="C320" s="3076">
        <v>53.14</v>
      </c>
      <c r="D320" s="3076">
        <v>36.012999999999998</v>
      </c>
      <c r="E320" s="3076">
        <v>17.13</v>
      </c>
      <c r="F320" s="1407">
        <f ca="1">ROUND(系统读取表!$E$14*面积清单!C320,0)</f>
        <v>388188</v>
      </c>
    </row>
    <row r="321" spans="1:6" ht="16.5">
      <c r="A321" s="3073" t="s">
        <v>3089</v>
      </c>
      <c r="B321" s="3074" t="s">
        <v>3392</v>
      </c>
      <c r="C321" s="3076">
        <v>53.14</v>
      </c>
      <c r="D321" s="3076">
        <v>36.012999999999998</v>
      </c>
      <c r="E321" s="3076">
        <v>17.13</v>
      </c>
      <c r="F321" s="1407">
        <f ca="1">ROUND(系统读取表!$E$14*面积清单!C321,0)</f>
        <v>388188</v>
      </c>
    </row>
    <row r="322" spans="1:6" ht="16.5">
      <c r="A322" s="3073" t="s">
        <v>3089</v>
      </c>
      <c r="B322" s="3074" t="s">
        <v>3393</v>
      </c>
      <c r="C322" s="3076">
        <v>53.14</v>
      </c>
      <c r="D322" s="3076">
        <v>36.012999999999998</v>
      </c>
      <c r="E322" s="3076">
        <v>17.13</v>
      </c>
      <c r="F322" s="1407">
        <f ca="1">ROUND(系统读取表!$E$14*面积清单!C322,0)</f>
        <v>388188</v>
      </c>
    </row>
    <row r="323" spans="1:6" ht="16.5">
      <c r="A323" s="3073" t="s">
        <v>3089</v>
      </c>
      <c r="B323" s="3074" t="s">
        <v>3394</v>
      </c>
      <c r="C323" s="3076">
        <v>55.14</v>
      </c>
      <c r="D323" s="3076">
        <v>37.366</v>
      </c>
      <c r="E323" s="3076">
        <v>17.773</v>
      </c>
      <c r="F323" s="1407">
        <f ca="1">ROUND(系统读取表!$E$14*面积清单!C323,0)</f>
        <v>402798</v>
      </c>
    </row>
    <row r="324" spans="1:6" ht="16.5">
      <c r="A324" s="3073" t="s">
        <v>3089</v>
      </c>
      <c r="B324" s="3074" t="s">
        <v>3395</v>
      </c>
      <c r="C324" s="3076">
        <v>42.61</v>
      </c>
      <c r="D324" s="3076">
        <v>28.875</v>
      </c>
      <c r="E324" s="3076">
        <v>13.734</v>
      </c>
      <c r="F324" s="1407">
        <f ca="1">ROUND(系统读取表!$E$14*面积清单!C324,0)</f>
        <v>311266</v>
      </c>
    </row>
    <row r="325" spans="1:6" ht="16.5">
      <c r="A325" s="3073" t="s">
        <v>3089</v>
      </c>
      <c r="B325" s="3074" t="s">
        <v>3396</v>
      </c>
      <c r="C325" s="3076">
        <v>42.61</v>
      </c>
      <c r="D325" s="3076">
        <v>28.875</v>
      </c>
      <c r="E325" s="3076">
        <v>13.734</v>
      </c>
      <c r="F325" s="1407">
        <f ca="1">ROUND(系统读取表!$E$14*面积清单!C325,0)</f>
        <v>311266</v>
      </c>
    </row>
    <row r="326" spans="1:6" ht="16.5">
      <c r="A326" s="3073" t="s">
        <v>3089</v>
      </c>
      <c r="B326" s="3074" t="s">
        <v>3397</v>
      </c>
      <c r="C326" s="3076">
        <v>42.61</v>
      </c>
      <c r="D326" s="3076">
        <v>28.875</v>
      </c>
      <c r="E326" s="3076">
        <v>13.734</v>
      </c>
      <c r="F326" s="1407">
        <f ca="1">ROUND(系统读取表!$E$14*面积清单!C326,0)</f>
        <v>311266</v>
      </c>
    </row>
    <row r="327" spans="1:6" ht="16.5">
      <c r="A327" s="3073" t="s">
        <v>3089</v>
      </c>
      <c r="B327" s="3074" t="s">
        <v>3398</v>
      </c>
      <c r="C327" s="3076">
        <v>44.23</v>
      </c>
      <c r="D327" s="3076">
        <v>29.975000000000001</v>
      </c>
      <c r="E327" s="3076">
        <v>14.257999999999999</v>
      </c>
      <c r="F327" s="1407">
        <f ca="1">ROUND(系统读取表!$E$14*面积清单!C327,0)</f>
        <v>323100</v>
      </c>
    </row>
    <row r="328" spans="1:6" ht="16.5">
      <c r="A328" s="3073" t="s">
        <v>3089</v>
      </c>
      <c r="B328" s="3074" t="s">
        <v>3399</v>
      </c>
      <c r="C328" s="3076">
        <v>42.1</v>
      </c>
      <c r="D328" s="3076">
        <v>28.530999999999999</v>
      </c>
      <c r="E328" s="3076">
        <v>13.571</v>
      </c>
      <c r="F328" s="1407">
        <f ca="1">ROUND(系统读取表!$E$14*面积清单!C328,0)</f>
        <v>307541</v>
      </c>
    </row>
    <row r="329" spans="1:6" ht="16.5">
      <c r="A329" s="3073" t="s">
        <v>3089</v>
      </c>
      <c r="B329" s="3074" t="s">
        <v>3400</v>
      </c>
      <c r="C329" s="3076">
        <v>42.1</v>
      </c>
      <c r="D329" s="3076">
        <v>28.530999999999999</v>
      </c>
      <c r="E329" s="3076">
        <v>13.571</v>
      </c>
      <c r="F329" s="1407">
        <f ca="1">ROUND(系统读取表!$E$14*面积清单!C329,0)</f>
        <v>307541</v>
      </c>
    </row>
    <row r="330" spans="1:6" ht="16.5">
      <c r="A330" s="3073" t="s">
        <v>3089</v>
      </c>
      <c r="B330" s="3074" t="s">
        <v>3401</v>
      </c>
      <c r="C330" s="3076">
        <v>42.1</v>
      </c>
      <c r="D330" s="3076">
        <v>28.530999999999999</v>
      </c>
      <c r="E330" s="3076">
        <v>13.571</v>
      </c>
      <c r="F330" s="1407">
        <f ca="1">ROUND(系统读取表!$E$14*面积清单!C330,0)</f>
        <v>307541</v>
      </c>
    </row>
    <row r="331" spans="1:6" ht="16.5">
      <c r="A331" s="3073" t="s">
        <v>3089</v>
      </c>
      <c r="B331" s="3074" t="s">
        <v>3402</v>
      </c>
      <c r="C331" s="3076">
        <v>42.1</v>
      </c>
      <c r="D331" s="3076">
        <v>28.530999999999999</v>
      </c>
      <c r="E331" s="3076">
        <v>13.571</v>
      </c>
      <c r="F331" s="1407">
        <f ca="1">ROUND(系统读取表!$E$14*面积清单!C331,0)</f>
        <v>307541</v>
      </c>
    </row>
    <row r="332" spans="1:6" ht="16.5">
      <c r="A332" s="3073" t="s">
        <v>3089</v>
      </c>
      <c r="B332" s="3074" t="s">
        <v>3403</v>
      </c>
      <c r="C332" s="3076">
        <v>42.1</v>
      </c>
      <c r="D332" s="3076">
        <v>28.530999999999999</v>
      </c>
      <c r="E332" s="3076">
        <v>13.571</v>
      </c>
      <c r="F332" s="1407">
        <f ca="1">ROUND(系统读取表!$E$14*面积清单!C332,0)</f>
        <v>307541</v>
      </c>
    </row>
    <row r="333" spans="1:6" ht="16.5">
      <c r="A333" s="3073" t="s">
        <v>3089</v>
      </c>
      <c r="B333" s="3074" t="s">
        <v>3404</v>
      </c>
      <c r="C333" s="3076">
        <v>44.23</v>
      </c>
      <c r="D333" s="3076">
        <v>29.975000000000001</v>
      </c>
      <c r="E333" s="3076">
        <v>14.257999999999999</v>
      </c>
      <c r="F333" s="1407">
        <f ca="1">ROUND(系统读取表!$E$14*面积清单!C333,0)</f>
        <v>323100</v>
      </c>
    </row>
    <row r="334" spans="1:6" ht="16.5">
      <c r="A334" s="3073" t="s">
        <v>3089</v>
      </c>
      <c r="B334" s="3074" t="s">
        <v>3405</v>
      </c>
      <c r="C334" s="3076">
        <v>42.61</v>
      </c>
      <c r="D334" s="3076">
        <v>28.875</v>
      </c>
      <c r="E334" s="3076">
        <v>13.734</v>
      </c>
      <c r="F334" s="1407">
        <f ca="1">ROUND(系统读取表!$E$14*面积清单!C334,0)</f>
        <v>311266</v>
      </c>
    </row>
    <row r="335" spans="1:6" ht="16.5">
      <c r="A335" s="3073" t="s">
        <v>3089</v>
      </c>
      <c r="B335" s="3074" t="s">
        <v>3406</v>
      </c>
      <c r="C335" s="3076">
        <v>42.61</v>
      </c>
      <c r="D335" s="3076">
        <v>28.875</v>
      </c>
      <c r="E335" s="3076">
        <v>13.734</v>
      </c>
      <c r="F335" s="1407">
        <f ca="1">ROUND(系统读取表!$E$14*面积清单!C335,0)</f>
        <v>311266</v>
      </c>
    </row>
    <row r="336" spans="1:6" ht="16.5">
      <c r="A336" s="3073" t="s">
        <v>3089</v>
      </c>
      <c r="B336" s="3074" t="s">
        <v>3407</v>
      </c>
      <c r="C336" s="3076">
        <v>42.61</v>
      </c>
      <c r="D336" s="3076">
        <v>28.875</v>
      </c>
      <c r="E336" s="3076">
        <v>13.734</v>
      </c>
      <c r="F336" s="1407">
        <f ca="1">ROUND(系统读取表!$E$14*面积清单!C336,0)</f>
        <v>311266</v>
      </c>
    </row>
    <row r="337" spans="1:6" ht="16.5">
      <c r="A337" s="3073" t="s">
        <v>3089</v>
      </c>
      <c r="B337" s="3074" t="s">
        <v>3408</v>
      </c>
      <c r="C337" s="3076">
        <v>55.14</v>
      </c>
      <c r="D337" s="3076">
        <v>37.366</v>
      </c>
      <c r="E337" s="3076">
        <v>17.773</v>
      </c>
      <c r="F337" s="1407">
        <f ca="1">ROUND(系统读取表!$E$14*面积清单!C337,0)</f>
        <v>402798</v>
      </c>
    </row>
    <row r="338" spans="1:6" ht="16.5">
      <c r="A338" s="3073" t="s">
        <v>3089</v>
      </c>
      <c r="B338" s="3074" t="s">
        <v>3409</v>
      </c>
      <c r="C338" s="3076">
        <v>53.14</v>
      </c>
      <c r="D338" s="3076">
        <v>36.012999999999998</v>
      </c>
      <c r="E338" s="3076">
        <v>17.13</v>
      </c>
      <c r="F338" s="1407">
        <f ca="1">ROUND(系统读取表!$E$14*面积清单!C338,0)</f>
        <v>388188</v>
      </c>
    </row>
    <row r="339" spans="1:6" ht="16.5">
      <c r="A339" s="3073" t="s">
        <v>3089</v>
      </c>
      <c r="B339" s="3074" t="s">
        <v>3410</v>
      </c>
      <c r="C339" s="3076">
        <v>53.14</v>
      </c>
      <c r="D339" s="3076">
        <v>36.012999999999998</v>
      </c>
      <c r="E339" s="3076">
        <v>17.13</v>
      </c>
      <c r="F339" s="1407">
        <f ca="1">ROUND(系统读取表!$E$14*面积清单!C339,0)</f>
        <v>388188</v>
      </c>
    </row>
    <row r="340" spans="1:6" ht="16.5">
      <c r="A340" s="3073" t="s">
        <v>3089</v>
      </c>
      <c r="B340" s="3074" t="s">
        <v>3411</v>
      </c>
      <c r="C340" s="3076">
        <v>53.14</v>
      </c>
      <c r="D340" s="3076">
        <v>36.012999999999998</v>
      </c>
      <c r="E340" s="3076">
        <v>17.13</v>
      </c>
      <c r="F340" s="1407">
        <f ca="1">ROUND(系统读取表!$E$14*面积清单!C340,0)</f>
        <v>388188</v>
      </c>
    </row>
    <row r="341" spans="1:6" ht="16.5">
      <c r="A341" s="3073" t="s">
        <v>3089</v>
      </c>
      <c r="B341" s="3074" t="s">
        <v>3412</v>
      </c>
      <c r="C341" s="3076">
        <v>53.14</v>
      </c>
      <c r="D341" s="3076">
        <v>36.012999999999998</v>
      </c>
      <c r="E341" s="3076">
        <v>17.13</v>
      </c>
      <c r="F341" s="1407">
        <f ca="1">ROUND(系统读取表!$E$14*面积清单!C341,0)</f>
        <v>388188</v>
      </c>
    </row>
    <row r="342" spans="1:6" ht="16.5">
      <c r="A342" s="3073" t="s">
        <v>3089</v>
      </c>
      <c r="B342" s="3074" t="s">
        <v>3413</v>
      </c>
      <c r="C342" s="3076">
        <v>53.14</v>
      </c>
      <c r="D342" s="3076">
        <v>36.012999999999998</v>
      </c>
      <c r="E342" s="3076">
        <v>17.13</v>
      </c>
      <c r="F342" s="1407">
        <f ca="1">ROUND(系统读取表!$E$14*面积清单!C342,0)</f>
        <v>388188</v>
      </c>
    </row>
    <row r="343" spans="1:6" ht="16.5">
      <c r="A343" s="3073" t="s">
        <v>3089</v>
      </c>
      <c r="B343" s="3074" t="s">
        <v>3414</v>
      </c>
      <c r="C343" s="3076">
        <v>53.14</v>
      </c>
      <c r="D343" s="3076">
        <v>36.012999999999998</v>
      </c>
      <c r="E343" s="3076">
        <v>17.13</v>
      </c>
      <c r="F343" s="1407">
        <f ca="1">ROUND(系统读取表!$E$14*面积清单!C343,0)</f>
        <v>388188</v>
      </c>
    </row>
    <row r="344" spans="1:6" ht="16.5">
      <c r="A344" s="3073" t="s">
        <v>3089</v>
      </c>
      <c r="B344" s="3074" t="s">
        <v>3415</v>
      </c>
      <c r="C344" s="3076">
        <v>55.14</v>
      </c>
      <c r="D344" s="3076">
        <v>37.366</v>
      </c>
      <c r="E344" s="3076">
        <v>17.773</v>
      </c>
      <c r="F344" s="1407">
        <f ca="1">ROUND(系统读取表!$E$14*面积清单!C344,0)</f>
        <v>402798</v>
      </c>
    </row>
    <row r="345" spans="1:6" ht="16.5">
      <c r="A345" s="3073" t="s">
        <v>3089</v>
      </c>
      <c r="B345" s="3074" t="s">
        <v>3416</v>
      </c>
      <c r="C345" s="3076">
        <v>42.61</v>
      </c>
      <c r="D345" s="3076">
        <v>28.875</v>
      </c>
      <c r="E345" s="3076">
        <v>13.734</v>
      </c>
      <c r="F345" s="1407">
        <f ca="1">ROUND(系统读取表!$E$14*面积清单!C345,0)</f>
        <v>311266</v>
      </c>
    </row>
    <row r="346" spans="1:6" ht="16.5">
      <c r="A346" s="3073" t="s">
        <v>3089</v>
      </c>
      <c r="B346" s="3074" t="s">
        <v>3417</v>
      </c>
      <c r="C346" s="3076">
        <v>42.61</v>
      </c>
      <c r="D346" s="3076">
        <v>28.875</v>
      </c>
      <c r="E346" s="3076">
        <v>13.734</v>
      </c>
      <c r="F346" s="1407">
        <f ca="1">ROUND(系统读取表!$E$14*面积清单!C346,0)</f>
        <v>311266</v>
      </c>
    </row>
    <row r="347" spans="1:6" ht="16.5">
      <c r="A347" s="3073" t="s">
        <v>3089</v>
      </c>
      <c r="B347" s="3074" t="s">
        <v>3418</v>
      </c>
      <c r="C347" s="3076">
        <v>42.61</v>
      </c>
      <c r="D347" s="3076">
        <v>28.875</v>
      </c>
      <c r="E347" s="3076">
        <v>13.734</v>
      </c>
      <c r="F347" s="1407">
        <f ca="1">ROUND(系统读取表!$E$14*面积清单!C347,0)</f>
        <v>311266</v>
      </c>
    </row>
    <row r="348" spans="1:6" ht="16.5">
      <c r="A348" s="3073" t="s">
        <v>3089</v>
      </c>
      <c r="B348" s="3074" t="s">
        <v>3419</v>
      </c>
      <c r="C348" s="3076">
        <v>44.23</v>
      </c>
      <c r="D348" s="3076">
        <v>29.975000000000001</v>
      </c>
      <c r="E348" s="3076">
        <v>14.257999999999999</v>
      </c>
      <c r="F348" s="1407">
        <f ca="1">ROUND(系统读取表!$E$14*面积清单!C348,0)</f>
        <v>323100</v>
      </c>
    </row>
    <row r="349" spans="1:6" ht="16.5">
      <c r="A349" s="3073" t="s">
        <v>3089</v>
      </c>
      <c r="B349" s="3074" t="s">
        <v>3420</v>
      </c>
      <c r="C349" s="3076">
        <v>42.1</v>
      </c>
      <c r="D349" s="3076">
        <v>28.530999999999999</v>
      </c>
      <c r="E349" s="3076">
        <v>13.571</v>
      </c>
      <c r="F349" s="1407">
        <f ca="1">ROUND(系统读取表!$E$14*面积清单!C349,0)</f>
        <v>307541</v>
      </c>
    </row>
    <row r="350" spans="1:6" ht="16.5">
      <c r="A350" s="3073" t="s">
        <v>3089</v>
      </c>
      <c r="B350" s="3074" t="s">
        <v>3421</v>
      </c>
      <c r="C350" s="3076">
        <v>42.1</v>
      </c>
      <c r="D350" s="3076">
        <v>28.530999999999999</v>
      </c>
      <c r="E350" s="3076">
        <v>13.571</v>
      </c>
      <c r="F350" s="1407">
        <f ca="1">ROUND(系统读取表!$E$14*面积清单!C350,0)</f>
        <v>307541</v>
      </c>
    </row>
    <row r="351" spans="1:6" ht="16.5">
      <c r="A351" s="3073" t="s">
        <v>3089</v>
      </c>
      <c r="B351" s="3074" t="s">
        <v>3422</v>
      </c>
      <c r="C351" s="3076">
        <v>42.1</v>
      </c>
      <c r="D351" s="3076">
        <v>28.530999999999999</v>
      </c>
      <c r="E351" s="3076">
        <v>13.571</v>
      </c>
      <c r="F351" s="1407">
        <f ca="1">ROUND(系统读取表!$E$14*面积清单!C351,0)</f>
        <v>307541</v>
      </c>
    </row>
    <row r="352" spans="1:6" ht="16.5">
      <c r="A352" s="3073" t="s">
        <v>3089</v>
      </c>
      <c r="B352" s="3074" t="s">
        <v>3423</v>
      </c>
      <c r="C352" s="3076">
        <v>42.1</v>
      </c>
      <c r="D352" s="3076">
        <v>28.530999999999999</v>
      </c>
      <c r="E352" s="3076">
        <v>13.571</v>
      </c>
      <c r="F352" s="1407">
        <f ca="1">ROUND(系统读取表!$E$14*面积清单!C352,0)</f>
        <v>307541</v>
      </c>
    </row>
    <row r="353" spans="1:6" ht="16.5">
      <c r="A353" s="3073" t="s">
        <v>3089</v>
      </c>
      <c r="B353" s="3074" t="s">
        <v>3424</v>
      </c>
      <c r="C353" s="3076">
        <v>42.1</v>
      </c>
      <c r="D353" s="3076">
        <v>28.530999999999999</v>
      </c>
      <c r="E353" s="3076">
        <v>13.571</v>
      </c>
      <c r="F353" s="1407">
        <f ca="1">ROUND(系统读取表!$E$14*面积清单!C353,0)</f>
        <v>307541</v>
      </c>
    </row>
    <row r="354" spans="1:6" ht="16.5">
      <c r="A354" s="3073" t="s">
        <v>3089</v>
      </c>
      <c r="B354" s="3074" t="s">
        <v>3425</v>
      </c>
      <c r="C354" s="3076">
        <v>44.23</v>
      </c>
      <c r="D354" s="3076">
        <v>29.975000000000001</v>
      </c>
      <c r="E354" s="3076">
        <v>14.257999999999999</v>
      </c>
      <c r="F354" s="1407">
        <f ca="1">ROUND(系统读取表!$E$14*面积清单!C354,0)</f>
        <v>323100</v>
      </c>
    </row>
    <row r="355" spans="1:6" ht="16.5">
      <c r="A355" s="3073" t="s">
        <v>3089</v>
      </c>
      <c r="B355" s="3074" t="s">
        <v>3426</v>
      </c>
      <c r="C355" s="3076">
        <v>42.61</v>
      </c>
      <c r="D355" s="3076">
        <v>28.875</v>
      </c>
      <c r="E355" s="3076">
        <v>13.734</v>
      </c>
      <c r="F355" s="1407">
        <f ca="1">ROUND(系统读取表!$E$14*面积清单!C355,0)</f>
        <v>311266</v>
      </c>
    </row>
    <row r="356" spans="1:6" ht="16.5">
      <c r="A356" s="3073" t="s">
        <v>3089</v>
      </c>
      <c r="B356" s="3074" t="s">
        <v>3427</v>
      </c>
      <c r="C356" s="3076">
        <v>42.61</v>
      </c>
      <c r="D356" s="3076">
        <v>28.875</v>
      </c>
      <c r="E356" s="3076">
        <v>13.734</v>
      </c>
      <c r="F356" s="1407">
        <f ca="1">ROUND(系统读取表!$E$14*面积清单!C356,0)</f>
        <v>311266</v>
      </c>
    </row>
    <row r="357" spans="1:6" ht="16.5">
      <c r="A357" s="3073" t="s">
        <v>3089</v>
      </c>
      <c r="B357" s="3074" t="s">
        <v>3428</v>
      </c>
      <c r="C357" s="3076">
        <v>42.61</v>
      </c>
      <c r="D357" s="3076">
        <v>28.875</v>
      </c>
      <c r="E357" s="3076">
        <v>13.734</v>
      </c>
      <c r="F357" s="1407">
        <f ca="1">ROUND(系统读取表!$E$14*面积清单!C357,0)</f>
        <v>311266</v>
      </c>
    </row>
    <row r="358" spans="1:6" ht="16.5">
      <c r="A358" s="3073" t="s">
        <v>3089</v>
      </c>
      <c r="B358" s="3074" t="s">
        <v>3429</v>
      </c>
      <c r="C358" s="3076">
        <v>53.14</v>
      </c>
      <c r="D358" s="3076">
        <v>36.012999999999998</v>
      </c>
      <c r="E358" s="3076">
        <v>17.13</v>
      </c>
      <c r="F358" s="1407">
        <f ca="1">ROUND(系统读取表!$E$14*面积清单!C358,0)</f>
        <v>388188</v>
      </c>
    </row>
    <row r="359" spans="1:6" ht="16.5">
      <c r="A359" s="3073" t="s">
        <v>3089</v>
      </c>
      <c r="B359" s="3074" t="s">
        <v>3430</v>
      </c>
      <c r="C359" s="3076">
        <v>53.14</v>
      </c>
      <c r="D359" s="3076">
        <v>36.012999999999998</v>
      </c>
      <c r="E359" s="3076">
        <v>17.13</v>
      </c>
      <c r="F359" s="1407">
        <f ca="1">ROUND(系统读取表!$E$14*面积清单!C359,0)</f>
        <v>388188</v>
      </c>
    </row>
    <row r="360" spans="1:6" ht="16.5">
      <c r="A360" s="3073" t="s">
        <v>3089</v>
      </c>
      <c r="B360" s="3074" t="s">
        <v>3431</v>
      </c>
      <c r="C360" s="3076">
        <v>53.14</v>
      </c>
      <c r="D360" s="3076">
        <v>36.012999999999998</v>
      </c>
      <c r="E360" s="3076">
        <v>17.13</v>
      </c>
      <c r="F360" s="1407">
        <f ca="1">ROUND(系统读取表!$E$14*面积清单!C360,0)</f>
        <v>388188</v>
      </c>
    </row>
    <row r="361" spans="1:6" ht="16.5">
      <c r="A361" s="3073" t="s">
        <v>3089</v>
      </c>
      <c r="B361" s="3074" t="s">
        <v>3432</v>
      </c>
      <c r="C361" s="3076">
        <v>53.14</v>
      </c>
      <c r="D361" s="3076">
        <v>36.012999999999998</v>
      </c>
      <c r="E361" s="3076">
        <v>17.13</v>
      </c>
      <c r="F361" s="1407">
        <f ca="1">ROUND(系统读取表!$E$14*面积清单!C361,0)</f>
        <v>388188</v>
      </c>
    </row>
    <row r="362" spans="1:6" ht="16.5">
      <c r="A362" s="3073" t="s">
        <v>3089</v>
      </c>
      <c r="B362" s="3074" t="s">
        <v>3433</v>
      </c>
      <c r="C362" s="3076">
        <v>53.14</v>
      </c>
      <c r="D362" s="3076">
        <v>36.012999999999998</v>
      </c>
      <c r="E362" s="3076">
        <v>17.13</v>
      </c>
      <c r="F362" s="1407">
        <f ca="1">ROUND(系统读取表!$E$14*面积清单!C362,0)</f>
        <v>388188</v>
      </c>
    </row>
    <row r="363" spans="1:6" ht="16.5">
      <c r="A363" s="3073" t="s">
        <v>3089</v>
      </c>
      <c r="B363" s="3074" t="s">
        <v>3434</v>
      </c>
      <c r="C363" s="3076">
        <v>53.14</v>
      </c>
      <c r="D363" s="3076">
        <v>36.012999999999998</v>
      </c>
      <c r="E363" s="3076">
        <v>17.13</v>
      </c>
      <c r="F363" s="1407">
        <f ca="1">ROUND(系统读取表!$E$14*面积清单!C363,0)</f>
        <v>388188</v>
      </c>
    </row>
    <row r="364" spans="1:6" ht="16.5">
      <c r="A364" s="3073" t="s">
        <v>3089</v>
      </c>
      <c r="B364" s="3074" t="s">
        <v>3435</v>
      </c>
      <c r="C364" s="3076">
        <v>53.14</v>
      </c>
      <c r="D364" s="3076">
        <v>36.012999999999998</v>
      </c>
      <c r="E364" s="3076">
        <v>17.13</v>
      </c>
      <c r="F364" s="1407">
        <f ca="1">ROUND(系统读取表!$E$14*面积清单!C364,0)</f>
        <v>388188</v>
      </c>
    </row>
    <row r="365" spans="1:6" ht="16.5">
      <c r="A365" s="3073" t="s">
        <v>3089</v>
      </c>
      <c r="B365" s="3074" t="s">
        <v>3436</v>
      </c>
      <c r="C365" s="3076">
        <v>55.14</v>
      </c>
      <c r="D365" s="3076">
        <v>37.366</v>
      </c>
      <c r="E365" s="3076">
        <v>17.773</v>
      </c>
      <c r="F365" s="1407">
        <f ca="1">ROUND(系统读取表!$E$14*面积清单!C365,0)</f>
        <v>402798</v>
      </c>
    </row>
    <row r="366" spans="1:6" ht="16.5">
      <c r="A366" s="3073" t="s">
        <v>3089</v>
      </c>
      <c r="B366" s="3074" t="s">
        <v>3437</v>
      </c>
      <c r="C366" s="3076">
        <v>42.61</v>
      </c>
      <c r="D366" s="3076">
        <v>28.875</v>
      </c>
      <c r="E366" s="3076">
        <v>13.734</v>
      </c>
      <c r="F366" s="1407">
        <f ca="1">ROUND(系统读取表!$E$14*面积清单!C366,0)</f>
        <v>311266</v>
      </c>
    </row>
    <row r="367" spans="1:6" ht="16.5">
      <c r="A367" s="3073" t="s">
        <v>3089</v>
      </c>
      <c r="B367" s="3074" t="s">
        <v>3438</v>
      </c>
      <c r="C367" s="3076">
        <v>42.61</v>
      </c>
      <c r="D367" s="3076">
        <v>28.875</v>
      </c>
      <c r="E367" s="3076">
        <v>13.734</v>
      </c>
      <c r="F367" s="1407">
        <f ca="1">ROUND(系统读取表!$E$14*面积清单!C367,0)</f>
        <v>311266</v>
      </c>
    </row>
    <row r="368" spans="1:6" ht="16.5">
      <c r="A368" s="3073" t="s">
        <v>3089</v>
      </c>
      <c r="B368" s="3074" t="s">
        <v>3439</v>
      </c>
      <c r="C368" s="3076">
        <v>42.61</v>
      </c>
      <c r="D368" s="3076">
        <v>28.875</v>
      </c>
      <c r="E368" s="3076">
        <v>13.734</v>
      </c>
      <c r="F368" s="1407">
        <f ca="1">ROUND(系统读取表!$E$14*面积清单!C368,0)</f>
        <v>311266</v>
      </c>
    </row>
    <row r="369" spans="1:6" ht="16.5">
      <c r="A369" s="3073" t="s">
        <v>3089</v>
      </c>
      <c r="B369" s="3074" t="s">
        <v>3440</v>
      </c>
      <c r="C369" s="3076">
        <v>44.23</v>
      </c>
      <c r="D369" s="3076">
        <v>29.975000000000001</v>
      </c>
      <c r="E369" s="3076">
        <v>14.257999999999999</v>
      </c>
      <c r="F369" s="1407">
        <f ca="1">ROUND(系统读取表!$E$14*面积清单!C369,0)</f>
        <v>323100</v>
      </c>
    </row>
    <row r="370" spans="1:6" ht="16.5">
      <c r="A370" s="3073" t="s">
        <v>3089</v>
      </c>
      <c r="B370" s="3074" t="s">
        <v>3441</v>
      </c>
      <c r="C370" s="3076">
        <v>42.1</v>
      </c>
      <c r="D370" s="3076">
        <v>28.530999999999999</v>
      </c>
      <c r="E370" s="3076">
        <v>13.571</v>
      </c>
      <c r="F370" s="1407">
        <f ca="1">ROUND(系统读取表!$E$14*面积清单!C370,0)</f>
        <v>307541</v>
      </c>
    </row>
    <row r="371" spans="1:6" ht="16.5">
      <c r="A371" s="3073" t="s">
        <v>3089</v>
      </c>
      <c r="B371" s="3074" t="s">
        <v>3442</v>
      </c>
      <c r="C371" s="3076">
        <v>42.1</v>
      </c>
      <c r="D371" s="3076">
        <v>28.530999999999999</v>
      </c>
      <c r="E371" s="3076">
        <v>13.571</v>
      </c>
      <c r="F371" s="1407">
        <f ca="1">ROUND(系统读取表!$E$14*面积清单!C371,0)</f>
        <v>307541</v>
      </c>
    </row>
    <row r="372" spans="1:6" ht="16.5">
      <c r="A372" s="3073" t="s">
        <v>3089</v>
      </c>
      <c r="B372" s="3074" t="s">
        <v>3443</v>
      </c>
      <c r="C372" s="3076">
        <v>42.1</v>
      </c>
      <c r="D372" s="3076">
        <v>28.530999999999999</v>
      </c>
      <c r="E372" s="3076">
        <v>13.571</v>
      </c>
      <c r="F372" s="1407">
        <f ca="1">ROUND(系统读取表!$E$14*面积清单!C372,0)</f>
        <v>307541</v>
      </c>
    </row>
    <row r="373" spans="1:6" ht="16.5">
      <c r="A373" s="3073" t="s">
        <v>3089</v>
      </c>
      <c r="B373" s="3074" t="s">
        <v>3444</v>
      </c>
      <c r="C373" s="3076">
        <v>42.1</v>
      </c>
      <c r="D373" s="3076">
        <v>28.530999999999999</v>
      </c>
      <c r="E373" s="3076">
        <v>13.571</v>
      </c>
      <c r="F373" s="1407">
        <f ca="1">ROUND(系统读取表!$E$14*面积清单!C373,0)</f>
        <v>307541</v>
      </c>
    </row>
    <row r="374" spans="1:6" ht="16.5">
      <c r="A374" s="3073" t="s">
        <v>3089</v>
      </c>
      <c r="B374" s="3074" t="s">
        <v>3445</v>
      </c>
      <c r="C374" s="3076">
        <v>42.1</v>
      </c>
      <c r="D374" s="3076">
        <v>28.530999999999999</v>
      </c>
      <c r="E374" s="3076">
        <v>13.571</v>
      </c>
      <c r="F374" s="1407">
        <f ca="1">ROUND(系统读取表!$E$14*面积清单!C374,0)</f>
        <v>307541</v>
      </c>
    </row>
    <row r="375" spans="1:6" ht="16.5">
      <c r="A375" s="3073" t="s">
        <v>3089</v>
      </c>
      <c r="B375" s="3074" t="s">
        <v>3446</v>
      </c>
      <c r="C375" s="3076">
        <v>44.23</v>
      </c>
      <c r="D375" s="3076">
        <v>29.975000000000001</v>
      </c>
      <c r="E375" s="3076">
        <v>14.257999999999999</v>
      </c>
      <c r="F375" s="1407">
        <f ca="1">ROUND(系统读取表!$E$14*面积清单!C375,0)</f>
        <v>323100</v>
      </c>
    </row>
    <row r="376" spans="1:6" ht="16.5">
      <c r="A376" s="3073" t="s">
        <v>3089</v>
      </c>
      <c r="B376" s="3074" t="s">
        <v>3447</v>
      </c>
      <c r="C376" s="3076">
        <v>42.61</v>
      </c>
      <c r="D376" s="3076">
        <v>28.875</v>
      </c>
      <c r="E376" s="3076">
        <v>13.734</v>
      </c>
      <c r="F376" s="1407">
        <f ca="1">ROUND(系统读取表!$E$14*面积清单!C376,0)</f>
        <v>311266</v>
      </c>
    </row>
    <row r="377" spans="1:6" ht="16.5">
      <c r="A377" s="3073" t="s">
        <v>3089</v>
      </c>
      <c r="B377" s="3074" t="s">
        <v>3448</v>
      </c>
      <c r="C377" s="3076">
        <v>42.61</v>
      </c>
      <c r="D377" s="3076">
        <v>28.875</v>
      </c>
      <c r="E377" s="3076">
        <v>13.734</v>
      </c>
      <c r="F377" s="1407">
        <f ca="1">ROUND(系统读取表!$E$14*面积清单!C377,0)</f>
        <v>311266</v>
      </c>
    </row>
    <row r="378" spans="1:6" ht="16.5">
      <c r="A378" s="3073" t="s">
        <v>3089</v>
      </c>
      <c r="B378" s="3074" t="s">
        <v>3449</v>
      </c>
      <c r="C378" s="3076">
        <v>42.61</v>
      </c>
      <c r="D378" s="3076">
        <v>28.875</v>
      </c>
      <c r="E378" s="3076">
        <v>13.734</v>
      </c>
      <c r="F378" s="1407">
        <f ca="1">ROUND(系统读取表!$E$14*面积清单!C378,0)</f>
        <v>311266</v>
      </c>
    </row>
    <row r="379" spans="1:6" ht="16.5">
      <c r="A379" s="3073" t="s">
        <v>3089</v>
      </c>
      <c r="B379" s="3074" t="s">
        <v>3450</v>
      </c>
      <c r="C379" s="3076">
        <v>53.14</v>
      </c>
      <c r="D379" s="3076">
        <v>36.012999999999998</v>
      </c>
      <c r="E379" s="3076">
        <v>17.13</v>
      </c>
      <c r="F379" s="1407">
        <f ca="1">ROUND(系统读取表!$E$14*面积清单!C379,0)</f>
        <v>388188</v>
      </c>
    </row>
    <row r="380" spans="1:6" ht="16.5">
      <c r="A380" s="3073" t="s">
        <v>3089</v>
      </c>
      <c r="B380" s="3074" t="s">
        <v>3451</v>
      </c>
      <c r="C380" s="3076">
        <v>53.14</v>
      </c>
      <c r="D380" s="3076">
        <v>36.012999999999998</v>
      </c>
      <c r="E380" s="3076">
        <v>17.13</v>
      </c>
      <c r="F380" s="1407">
        <f ca="1">ROUND(系统读取表!$E$14*面积清单!C380,0)</f>
        <v>388188</v>
      </c>
    </row>
    <row r="381" spans="1:6" ht="16.5">
      <c r="A381" s="3073" t="s">
        <v>3089</v>
      </c>
      <c r="B381" s="3074" t="s">
        <v>3452</v>
      </c>
      <c r="C381" s="3076">
        <v>53.14</v>
      </c>
      <c r="D381" s="3076">
        <v>36.012999999999998</v>
      </c>
      <c r="E381" s="3076">
        <v>17.13</v>
      </c>
      <c r="F381" s="1407">
        <f ca="1">ROUND(系统读取表!$E$14*面积清单!C381,0)</f>
        <v>388188</v>
      </c>
    </row>
    <row r="382" spans="1:6" ht="16.5">
      <c r="A382" s="3073" t="s">
        <v>3089</v>
      </c>
      <c r="B382" s="3074" t="s">
        <v>3453</v>
      </c>
      <c r="C382" s="3076">
        <v>53.14</v>
      </c>
      <c r="D382" s="3076">
        <v>36.012999999999998</v>
      </c>
      <c r="E382" s="3076">
        <v>17.13</v>
      </c>
      <c r="F382" s="1407">
        <f ca="1">ROUND(系统读取表!$E$14*面积清单!C382,0)</f>
        <v>388188</v>
      </c>
    </row>
    <row r="383" spans="1:6" ht="16.5">
      <c r="A383" s="3073" t="s">
        <v>3089</v>
      </c>
      <c r="B383" s="3074" t="s">
        <v>3454</v>
      </c>
      <c r="C383" s="3076">
        <v>53.14</v>
      </c>
      <c r="D383" s="3076">
        <v>36.012999999999998</v>
      </c>
      <c r="E383" s="3076">
        <v>17.13</v>
      </c>
      <c r="F383" s="1407">
        <f ca="1">ROUND(系统读取表!$E$14*面积清单!C383,0)</f>
        <v>388188</v>
      </c>
    </row>
    <row r="384" spans="1:6" ht="16.5">
      <c r="A384" s="3073" t="s">
        <v>3089</v>
      </c>
      <c r="B384" s="3074" t="s">
        <v>3455</v>
      </c>
      <c r="C384" s="3076">
        <v>42.61</v>
      </c>
      <c r="D384" s="3076">
        <v>28.875</v>
      </c>
      <c r="E384" s="3076">
        <v>13.734</v>
      </c>
      <c r="F384" s="1407">
        <f ca="1">ROUND(系统读取表!$E$14*面积清单!C384,0)</f>
        <v>311266</v>
      </c>
    </row>
    <row r="385" spans="1:6" ht="16.5">
      <c r="A385" s="3073" t="s">
        <v>3089</v>
      </c>
      <c r="B385" s="3074" t="s">
        <v>3456</v>
      </c>
      <c r="C385" s="3076">
        <v>42.61</v>
      </c>
      <c r="D385" s="3076">
        <v>28.875</v>
      </c>
      <c r="E385" s="3076">
        <v>13.734</v>
      </c>
      <c r="F385" s="1407">
        <f ca="1">ROUND(系统读取表!$E$14*面积清单!C385,0)</f>
        <v>311266</v>
      </c>
    </row>
    <row r="386" spans="1:6" ht="16.5">
      <c r="A386" s="3073" t="s">
        <v>3089</v>
      </c>
      <c r="B386" s="3074" t="s">
        <v>3457</v>
      </c>
      <c r="C386" s="3076">
        <v>42.61</v>
      </c>
      <c r="D386" s="3076">
        <v>28.875</v>
      </c>
      <c r="E386" s="3076">
        <v>13.734</v>
      </c>
      <c r="F386" s="1407">
        <f ca="1">ROUND(系统读取表!$E$14*面积清单!C386,0)</f>
        <v>311266</v>
      </c>
    </row>
    <row r="387" spans="1:6" ht="16.5">
      <c r="A387" s="3073" t="s">
        <v>3089</v>
      </c>
      <c r="B387" s="3074" t="s">
        <v>3458</v>
      </c>
      <c r="C387" s="3076">
        <v>44.23</v>
      </c>
      <c r="D387" s="3076">
        <v>29.975000000000001</v>
      </c>
      <c r="E387" s="3076">
        <v>14.257999999999999</v>
      </c>
      <c r="F387" s="1407">
        <f ca="1">ROUND(系统读取表!$E$14*面积清单!C387,0)</f>
        <v>323100</v>
      </c>
    </row>
    <row r="388" spans="1:6" ht="16.5">
      <c r="A388" s="3073" t="s">
        <v>3089</v>
      </c>
      <c r="B388" s="3074" t="s">
        <v>3459</v>
      </c>
      <c r="C388" s="3076">
        <v>42.1</v>
      </c>
      <c r="D388" s="3076">
        <v>28.530999999999999</v>
      </c>
      <c r="E388" s="3076">
        <v>13.571</v>
      </c>
      <c r="F388" s="1407">
        <f ca="1">ROUND(系统读取表!$E$14*面积清单!C388,0)</f>
        <v>307541</v>
      </c>
    </row>
    <row r="389" spans="1:6" ht="16.5">
      <c r="A389" s="3073" t="s">
        <v>3089</v>
      </c>
      <c r="B389" s="3074" t="s">
        <v>3460</v>
      </c>
      <c r="C389" s="3076">
        <v>42.1</v>
      </c>
      <c r="D389" s="3076">
        <v>28.530999999999999</v>
      </c>
      <c r="E389" s="3076">
        <v>13.571</v>
      </c>
      <c r="F389" s="1407">
        <f ca="1">ROUND(系统读取表!$E$14*面积清单!C389,0)</f>
        <v>307541</v>
      </c>
    </row>
    <row r="390" spans="1:6" ht="16.5">
      <c r="A390" s="3073" t="s">
        <v>3089</v>
      </c>
      <c r="B390" s="3074" t="s">
        <v>3461</v>
      </c>
      <c r="C390" s="3076">
        <v>42.1</v>
      </c>
      <c r="D390" s="3076">
        <v>28.530999999999999</v>
      </c>
      <c r="E390" s="3076">
        <v>13.571</v>
      </c>
      <c r="F390" s="1407">
        <f ca="1">ROUND(系统读取表!$E$14*面积清单!C390,0)</f>
        <v>307541</v>
      </c>
    </row>
    <row r="391" spans="1:6" ht="16.5">
      <c r="A391" s="3073" t="s">
        <v>3089</v>
      </c>
      <c r="B391" s="3074" t="s">
        <v>3462</v>
      </c>
      <c r="C391" s="3076">
        <v>42.1</v>
      </c>
      <c r="D391" s="3076">
        <v>28.530999999999999</v>
      </c>
      <c r="E391" s="3076">
        <v>13.571</v>
      </c>
      <c r="F391" s="1407">
        <f ca="1">ROUND(系统读取表!$E$14*面积清单!C391,0)</f>
        <v>307541</v>
      </c>
    </row>
    <row r="392" spans="1:6" ht="16.5">
      <c r="A392" s="3073" t="s">
        <v>3089</v>
      </c>
      <c r="B392" s="3074" t="s">
        <v>3463</v>
      </c>
      <c r="C392" s="3076">
        <v>42.1</v>
      </c>
      <c r="D392" s="3076">
        <v>28.530999999999999</v>
      </c>
      <c r="E392" s="3076">
        <v>13.571</v>
      </c>
      <c r="F392" s="1407">
        <f ca="1">ROUND(系统读取表!$E$14*面积清单!C392,0)</f>
        <v>307541</v>
      </c>
    </row>
    <row r="393" spans="1:6" ht="16.5">
      <c r="A393" s="3073" t="s">
        <v>3089</v>
      </c>
      <c r="B393" s="3074" t="s">
        <v>3464</v>
      </c>
      <c r="C393" s="3076">
        <v>44.23</v>
      </c>
      <c r="D393" s="3076">
        <v>29.975000000000001</v>
      </c>
      <c r="E393" s="3076">
        <v>14.257999999999999</v>
      </c>
      <c r="F393" s="1407">
        <f ca="1">ROUND(系统读取表!$E$14*面积清单!C393,0)</f>
        <v>323100</v>
      </c>
    </row>
    <row r="394" spans="1:6" ht="16.5">
      <c r="A394" s="3073" t="s">
        <v>3089</v>
      </c>
      <c r="B394" s="3074" t="s">
        <v>3465</v>
      </c>
      <c r="C394" s="3076">
        <v>42.61</v>
      </c>
      <c r="D394" s="3076">
        <v>28.875</v>
      </c>
      <c r="E394" s="3076">
        <v>13.734</v>
      </c>
      <c r="F394" s="1407">
        <f ca="1">ROUND(系统读取表!$E$14*面积清单!C394,0)</f>
        <v>311266</v>
      </c>
    </row>
    <row r="395" spans="1:6" ht="16.5">
      <c r="A395" s="3073" t="s">
        <v>3089</v>
      </c>
      <c r="B395" s="3074" t="s">
        <v>3466</v>
      </c>
      <c r="C395" s="3076">
        <v>42.61</v>
      </c>
      <c r="D395" s="3076">
        <v>28.875</v>
      </c>
      <c r="E395" s="3076">
        <v>13.734</v>
      </c>
      <c r="F395" s="1407">
        <f ca="1">ROUND(系统读取表!$E$14*面积清单!C395,0)</f>
        <v>311266</v>
      </c>
    </row>
    <row r="396" spans="1:6" ht="16.5">
      <c r="A396" s="3073" t="s">
        <v>3089</v>
      </c>
      <c r="B396" s="3074" t="s">
        <v>3467</v>
      </c>
      <c r="C396" s="3076">
        <v>42.61</v>
      </c>
      <c r="D396" s="3076">
        <v>28.875</v>
      </c>
      <c r="E396" s="3076">
        <v>13.734</v>
      </c>
      <c r="F396" s="1407">
        <f ca="1">ROUND(系统读取表!$E$14*面积清单!C396,0)</f>
        <v>311266</v>
      </c>
    </row>
    <row r="397" spans="1:6" ht="16.5">
      <c r="A397" s="3073" t="s">
        <v>3089</v>
      </c>
      <c r="B397" s="3074" t="s">
        <v>3468</v>
      </c>
      <c r="C397" s="3076">
        <v>53.14</v>
      </c>
      <c r="D397" s="3076">
        <v>36.012999999999998</v>
      </c>
      <c r="E397" s="3076">
        <v>17.13</v>
      </c>
      <c r="F397" s="1407">
        <f ca="1">ROUND(系统读取表!$E$14*面积清单!C397,0)</f>
        <v>388188</v>
      </c>
    </row>
    <row r="398" spans="1:6" ht="16.5">
      <c r="A398" s="3073" t="s">
        <v>3089</v>
      </c>
      <c r="B398" s="3074" t="s">
        <v>3469</v>
      </c>
      <c r="C398" s="3076">
        <v>53.14</v>
      </c>
      <c r="D398" s="3076">
        <v>36.012999999999998</v>
      </c>
      <c r="E398" s="3076">
        <v>17.13</v>
      </c>
      <c r="F398" s="1407">
        <f ca="1">ROUND(系统读取表!$E$14*面积清单!C398,0)</f>
        <v>388188</v>
      </c>
    </row>
    <row r="399" spans="1:6" ht="16.5">
      <c r="A399" s="3073" t="s">
        <v>3089</v>
      </c>
      <c r="B399" s="3074" t="s">
        <v>3470</v>
      </c>
      <c r="C399" s="3076">
        <v>53.14</v>
      </c>
      <c r="D399" s="3076">
        <v>36.012999999999998</v>
      </c>
      <c r="E399" s="3076">
        <v>17.13</v>
      </c>
      <c r="F399" s="1407">
        <f ca="1">ROUND(系统读取表!$E$14*面积清单!C399,0)</f>
        <v>388188</v>
      </c>
    </row>
    <row r="400" spans="1:6" ht="16.5">
      <c r="A400" s="3073" t="s">
        <v>3089</v>
      </c>
      <c r="B400" s="3074" t="s">
        <v>3471</v>
      </c>
      <c r="C400" s="3076">
        <v>53.14</v>
      </c>
      <c r="D400" s="3076">
        <v>36.012999999999998</v>
      </c>
      <c r="E400" s="3076">
        <v>17.13</v>
      </c>
      <c r="F400" s="1407">
        <f ca="1">ROUND(系统读取表!$E$14*面积清单!C400,0)</f>
        <v>388188</v>
      </c>
    </row>
    <row r="401" spans="1:6" ht="16.5">
      <c r="A401" s="3073" t="s">
        <v>3089</v>
      </c>
      <c r="B401" s="3074" t="s">
        <v>3472</v>
      </c>
      <c r="C401" s="3076">
        <v>53.14</v>
      </c>
      <c r="D401" s="3076">
        <v>36.012999999999998</v>
      </c>
      <c r="E401" s="3076">
        <v>17.13</v>
      </c>
      <c r="F401" s="1407">
        <f ca="1">ROUND(系统读取表!$E$14*面积清单!C401,0)</f>
        <v>388188</v>
      </c>
    </row>
    <row r="402" spans="1:6" ht="16.5">
      <c r="A402" s="3073" t="s">
        <v>3089</v>
      </c>
      <c r="B402" s="3074" t="s">
        <v>3473</v>
      </c>
      <c r="C402" s="3076">
        <v>53.14</v>
      </c>
      <c r="D402" s="3076">
        <v>36.012999999999998</v>
      </c>
      <c r="E402" s="3076">
        <v>17.13</v>
      </c>
      <c r="F402" s="1407">
        <f ca="1">ROUND(系统读取表!$E$14*面积清单!C402,0)</f>
        <v>388188</v>
      </c>
    </row>
    <row r="403" spans="1:6" ht="16.5">
      <c r="A403" s="3073" t="s">
        <v>3089</v>
      </c>
      <c r="B403" s="3074" t="s">
        <v>3474</v>
      </c>
      <c r="C403" s="3076">
        <v>42.61</v>
      </c>
      <c r="D403" s="3076">
        <v>28.875</v>
      </c>
      <c r="E403" s="3076">
        <v>13.734</v>
      </c>
      <c r="F403" s="1407">
        <f ca="1">ROUND(系统读取表!$E$14*面积清单!C403,0)</f>
        <v>311266</v>
      </c>
    </row>
    <row r="404" spans="1:6" ht="16.5">
      <c r="A404" s="3073" t="s">
        <v>3089</v>
      </c>
      <c r="B404" s="3074" t="s">
        <v>3475</v>
      </c>
      <c r="C404" s="3076">
        <v>42.61</v>
      </c>
      <c r="D404" s="3076">
        <v>28.875</v>
      </c>
      <c r="E404" s="3076">
        <v>13.734</v>
      </c>
      <c r="F404" s="1407">
        <f ca="1">ROUND(系统读取表!$E$14*面积清单!C404,0)</f>
        <v>311266</v>
      </c>
    </row>
    <row r="405" spans="1:6" ht="16.5">
      <c r="A405" s="3073" t="s">
        <v>3089</v>
      </c>
      <c r="B405" s="3074" t="s">
        <v>3476</v>
      </c>
      <c r="C405" s="3076">
        <v>42.61</v>
      </c>
      <c r="D405" s="3076">
        <v>28.875</v>
      </c>
      <c r="E405" s="3076">
        <v>13.734</v>
      </c>
      <c r="F405" s="1407">
        <f ca="1">ROUND(系统读取表!$E$14*面积清单!C405,0)</f>
        <v>311266</v>
      </c>
    </row>
    <row r="406" spans="1:6" ht="16.5">
      <c r="A406" s="3073" t="s">
        <v>3089</v>
      </c>
      <c r="B406" s="3074" t="s">
        <v>3477</v>
      </c>
      <c r="C406" s="3076">
        <v>44.23</v>
      </c>
      <c r="D406" s="3076">
        <v>29.975000000000001</v>
      </c>
      <c r="E406" s="3076">
        <v>14.257999999999999</v>
      </c>
      <c r="F406" s="1407">
        <f ca="1">ROUND(系统读取表!$E$14*面积清单!C406,0)</f>
        <v>323100</v>
      </c>
    </row>
    <row r="407" spans="1:6" ht="16.5">
      <c r="A407" s="3073" t="s">
        <v>3089</v>
      </c>
      <c r="B407" s="3074" t="s">
        <v>3478</v>
      </c>
      <c r="C407" s="3076">
        <v>42.1</v>
      </c>
      <c r="D407" s="3076">
        <v>28.530999999999999</v>
      </c>
      <c r="E407" s="3076">
        <v>13.571</v>
      </c>
      <c r="F407" s="1407">
        <f ca="1">ROUND(系统读取表!$E$14*面积清单!C407,0)</f>
        <v>307541</v>
      </c>
    </row>
    <row r="408" spans="1:6" ht="16.5">
      <c r="A408" s="3073" t="s">
        <v>3089</v>
      </c>
      <c r="B408" s="3074" t="s">
        <v>3479</v>
      </c>
      <c r="C408" s="3076">
        <v>42.1</v>
      </c>
      <c r="D408" s="3076">
        <v>28.530999999999999</v>
      </c>
      <c r="E408" s="3076">
        <v>13.571</v>
      </c>
      <c r="F408" s="1407">
        <f ca="1">ROUND(系统读取表!$E$14*面积清单!C408,0)</f>
        <v>307541</v>
      </c>
    </row>
    <row r="409" spans="1:6" ht="16.5">
      <c r="A409" s="3073" t="s">
        <v>3089</v>
      </c>
      <c r="B409" s="3074" t="s">
        <v>3480</v>
      </c>
      <c r="C409" s="3076">
        <v>42.1</v>
      </c>
      <c r="D409" s="3076">
        <v>28.530999999999999</v>
      </c>
      <c r="E409" s="3076">
        <v>13.571</v>
      </c>
      <c r="F409" s="1407">
        <f ca="1">ROUND(系统读取表!$E$14*面积清单!C409,0)</f>
        <v>307541</v>
      </c>
    </row>
    <row r="410" spans="1:6" ht="16.5">
      <c r="A410" s="3073" t="s">
        <v>3089</v>
      </c>
      <c r="B410" s="3074" t="s">
        <v>3481</v>
      </c>
      <c r="C410" s="3076">
        <v>42.1</v>
      </c>
      <c r="D410" s="3076">
        <v>28.530999999999999</v>
      </c>
      <c r="E410" s="3076">
        <v>13.571</v>
      </c>
      <c r="F410" s="1407">
        <f ca="1">ROUND(系统读取表!$E$14*面积清单!C410,0)</f>
        <v>307541</v>
      </c>
    </row>
    <row r="411" spans="1:6" ht="16.5">
      <c r="A411" s="3073" t="s">
        <v>3089</v>
      </c>
      <c r="B411" s="3074" t="s">
        <v>3482</v>
      </c>
      <c r="C411" s="3076">
        <v>42.1</v>
      </c>
      <c r="D411" s="3076">
        <v>28.530999999999999</v>
      </c>
      <c r="E411" s="3076">
        <v>13.571</v>
      </c>
      <c r="F411" s="1407">
        <f ca="1">ROUND(系统读取表!$E$14*面积清单!C411,0)</f>
        <v>307541</v>
      </c>
    </row>
    <row r="412" spans="1:6" ht="16.5">
      <c r="A412" s="3073" t="s">
        <v>3089</v>
      </c>
      <c r="B412" s="3074" t="s">
        <v>3483</v>
      </c>
      <c r="C412" s="3076">
        <v>44.23</v>
      </c>
      <c r="D412" s="3076">
        <v>29.975000000000001</v>
      </c>
      <c r="E412" s="3076">
        <v>14.257999999999999</v>
      </c>
      <c r="F412" s="1407">
        <f ca="1">ROUND(系统读取表!$E$14*面积清单!C412,0)</f>
        <v>323100</v>
      </c>
    </row>
    <row r="413" spans="1:6" ht="16.5">
      <c r="A413" s="3073" t="s">
        <v>3089</v>
      </c>
      <c r="B413" s="3074" t="s">
        <v>3484</v>
      </c>
      <c r="C413" s="3076">
        <v>42.61</v>
      </c>
      <c r="D413" s="3076">
        <v>28.875</v>
      </c>
      <c r="E413" s="3076">
        <v>13.734</v>
      </c>
      <c r="F413" s="1407">
        <f ca="1">ROUND(系统读取表!$E$14*面积清单!C413,0)</f>
        <v>311266</v>
      </c>
    </row>
    <row r="414" spans="1:6" ht="16.5">
      <c r="A414" s="3073" t="s">
        <v>3089</v>
      </c>
      <c r="B414" s="3074" t="s">
        <v>3485</v>
      </c>
      <c r="C414" s="3076">
        <v>42.61</v>
      </c>
      <c r="D414" s="3076">
        <v>28.875</v>
      </c>
      <c r="E414" s="3076">
        <v>13.734</v>
      </c>
      <c r="F414" s="1407">
        <f ca="1">ROUND(系统读取表!$E$14*面积清单!C414,0)</f>
        <v>311266</v>
      </c>
    </row>
    <row r="415" spans="1:6" ht="16.5">
      <c r="A415" s="3073" t="s">
        <v>3089</v>
      </c>
      <c r="B415" s="3074" t="s">
        <v>3486</v>
      </c>
      <c r="C415" s="3076">
        <v>42.61</v>
      </c>
      <c r="D415" s="3076">
        <v>28.875</v>
      </c>
      <c r="E415" s="3076">
        <v>13.734</v>
      </c>
      <c r="F415" s="1407">
        <f ca="1">ROUND(系统读取表!$E$14*面积清单!C415,0)</f>
        <v>311266</v>
      </c>
    </row>
    <row r="416" spans="1:6" ht="16.5">
      <c r="A416" s="3073" t="s">
        <v>3089</v>
      </c>
      <c r="B416" s="3074" t="s">
        <v>3487</v>
      </c>
      <c r="C416" s="3076">
        <v>53.14</v>
      </c>
      <c r="D416" s="3076">
        <v>36.012999999999998</v>
      </c>
      <c r="E416" s="3076">
        <v>17.13</v>
      </c>
      <c r="F416" s="1407">
        <f ca="1">ROUND(系统读取表!$E$14*面积清单!C416,0)</f>
        <v>388188</v>
      </c>
    </row>
    <row r="417" spans="1:6" ht="16.5">
      <c r="A417" s="3073" t="s">
        <v>3089</v>
      </c>
      <c r="B417" s="3074" t="s">
        <v>3488</v>
      </c>
      <c r="C417" s="3076">
        <v>53.14</v>
      </c>
      <c r="D417" s="3076">
        <v>36.012999999999998</v>
      </c>
      <c r="E417" s="3076">
        <v>17.13</v>
      </c>
      <c r="F417" s="1407">
        <f ca="1">ROUND(系统读取表!$E$14*面积清单!C417,0)</f>
        <v>388188</v>
      </c>
    </row>
    <row r="418" spans="1:6" ht="16.5">
      <c r="A418" s="3073" t="s">
        <v>3089</v>
      </c>
      <c r="B418" s="3074" t="s">
        <v>3489</v>
      </c>
      <c r="C418" s="3076">
        <v>53.14</v>
      </c>
      <c r="D418" s="3076">
        <v>36.012999999999998</v>
      </c>
      <c r="E418" s="3076">
        <v>17.13</v>
      </c>
      <c r="F418" s="1407">
        <f ca="1">ROUND(系统读取表!$E$14*面积清单!C418,0)</f>
        <v>388188</v>
      </c>
    </row>
    <row r="419" spans="1:6" ht="16.5">
      <c r="A419" s="3073" t="s">
        <v>3089</v>
      </c>
      <c r="B419" s="3074" t="s">
        <v>3490</v>
      </c>
      <c r="C419" s="3076">
        <v>53.14</v>
      </c>
      <c r="D419" s="3076">
        <v>36.012999999999998</v>
      </c>
      <c r="E419" s="3076">
        <v>17.13</v>
      </c>
      <c r="F419" s="1407">
        <f ca="1">ROUND(系统读取表!$E$14*面积清单!C419,0)</f>
        <v>388188</v>
      </c>
    </row>
    <row r="420" spans="1:6" ht="16.5">
      <c r="A420" s="3073" t="s">
        <v>3089</v>
      </c>
      <c r="B420" s="3074" t="s">
        <v>3491</v>
      </c>
      <c r="C420" s="3076">
        <v>53.14</v>
      </c>
      <c r="D420" s="3076">
        <v>36.012999999999998</v>
      </c>
      <c r="E420" s="3076">
        <v>17.13</v>
      </c>
      <c r="F420" s="1407">
        <f ca="1">ROUND(系统读取表!$E$14*面积清单!C420,0)</f>
        <v>388188</v>
      </c>
    </row>
    <row r="421" spans="1:6" ht="16.5">
      <c r="A421" s="3073" t="s">
        <v>3089</v>
      </c>
      <c r="B421" s="3074" t="s">
        <v>3492</v>
      </c>
      <c r="C421" s="3076">
        <v>53.14</v>
      </c>
      <c r="D421" s="3076">
        <v>36.012999999999998</v>
      </c>
      <c r="E421" s="3076">
        <v>17.13</v>
      </c>
      <c r="F421" s="1407">
        <f ca="1">ROUND(系统读取表!$E$14*面积清单!C421,0)</f>
        <v>388188</v>
      </c>
    </row>
    <row r="422" spans="1:6" ht="16.5">
      <c r="A422" s="3073" t="s">
        <v>3089</v>
      </c>
      <c r="B422" s="3074" t="s">
        <v>3493</v>
      </c>
      <c r="C422" s="3077">
        <v>42.61</v>
      </c>
      <c r="D422" s="3076">
        <v>28.875</v>
      </c>
      <c r="E422" s="3076">
        <v>13.734</v>
      </c>
      <c r="F422" s="1407">
        <f ca="1">ROUND(系统读取表!$E$14*面积清单!C422,0)</f>
        <v>311266</v>
      </c>
    </row>
    <row r="423" spans="1:6" ht="16.5">
      <c r="A423" s="3073" t="s">
        <v>3089</v>
      </c>
      <c r="B423" s="3074" t="s">
        <v>3494</v>
      </c>
      <c r="C423" s="3077">
        <v>42.61</v>
      </c>
      <c r="D423" s="3076">
        <v>28.875</v>
      </c>
      <c r="E423" s="3076">
        <v>13.734</v>
      </c>
      <c r="F423" s="1407">
        <f ca="1">ROUND(系统读取表!$E$14*面积清单!C423,0)</f>
        <v>311266</v>
      </c>
    </row>
    <row r="424" spans="1:6" ht="16.5">
      <c r="A424" s="3073" t="s">
        <v>3089</v>
      </c>
      <c r="B424" s="3074" t="s">
        <v>3495</v>
      </c>
      <c r="C424" s="3077">
        <v>42.61</v>
      </c>
      <c r="D424" s="3076">
        <v>28.875</v>
      </c>
      <c r="E424" s="3076">
        <v>13.734</v>
      </c>
      <c r="F424" s="1407">
        <f ca="1">ROUND(系统读取表!$E$14*面积清单!C424,0)</f>
        <v>311266</v>
      </c>
    </row>
    <row r="425" spans="1:6" ht="16.5">
      <c r="A425" s="3073" t="s">
        <v>3089</v>
      </c>
      <c r="B425" s="3074" t="s">
        <v>3496</v>
      </c>
      <c r="C425" s="3077">
        <v>44.23</v>
      </c>
      <c r="D425" s="3076">
        <v>29.975000000000001</v>
      </c>
      <c r="E425" s="3076">
        <v>14.257999999999999</v>
      </c>
      <c r="F425" s="1407">
        <f ca="1">ROUND(系统读取表!$E$14*面积清单!C425,0)</f>
        <v>323100</v>
      </c>
    </row>
    <row r="426" spans="1:6" ht="16.5">
      <c r="A426" s="3073" t="s">
        <v>3089</v>
      </c>
      <c r="B426" s="3074" t="s">
        <v>3497</v>
      </c>
      <c r="C426" s="3077">
        <v>42.1</v>
      </c>
      <c r="D426" s="3078">
        <v>28.530999999999999</v>
      </c>
      <c r="E426" s="3076">
        <v>13.571</v>
      </c>
      <c r="F426" s="1407">
        <f ca="1">ROUND(系统读取表!$E$14*面积清单!C426,0)</f>
        <v>307541</v>
      </c>
    </row>
    <row r="427" spans="1:6" ht="16.5">
      <c r="A427" s="3073" t="s">
        <v>3089</v>
      </c>
      <c r="B427" s="3074" t="s">
        <v>3498</v>
      </c>
      <c r="C427" s="3077">
        <v>42.1</v>
      </c>
      <c r="D427" s="3076">
        <v>28.530999999999999</v>
      </c>
      <c r="E427" s="3076">
        <v>13.571</v>
      </c>
      <c r="F427" s="1407">
        <f ca="1">ROUND(系统读取表!$E$14*面积清单!C427,0)</f>
        <v>307541</v>
      </c>
    </row>
    <row r="428" spans="1:6" ht="16.5">
      <c r="A428" s="3073" t="s">
        <v>3089</v>
      </c>
      <c r="B428" s="3074" t="s">
        <v>3499</v>
      </c>
      <c r="C428" s="3077">
        <v>42.1</v>
      </c>
      <c r="D428" s="3076">
        <v>28.530999999999999</v>
      </c>
      <c r="E428" s="3076">
        <v>13.571</v>
      </c>
      <c r="F428" s="1407">
        <f ca="1">ROUND(系统读取表!$E$14*面积清单!C428,0)</f>
        <v>307541</v>
      </c>
    </row>
    <row r="429" spans="1:6" ht="16.5">
      <c r="A429" s="3073" t="s">
        <v>3089</v>
      </c>
      <c r="B429" s="3074" t="s">
        <v>3500</v>
      </c>
      <c r="C429" s="3077">
        <v>42.1</v>
      </c>
      <c r="D429" s="3076">
        <v>28.530999999999999</v>
      </c>
      <c r="E429" s="3076">
        <v>13.571</v>
      </c>
      <c r="F429" s="1407">
        <f ca="1">ROUND(系统读取表!$E$14*面积清单!C429,0)</f>
        <v>307541</v>
      </c>
    </row>
    <row r="430" spans="1:6" ht="16.5">
      <c r="A430" s="3073" t="s">
        <v>3089</v>
      </c>
      <c r="B430" s="3074" t="s">
        <v>3501</v>
      </c>
      <c r="C430" s="3077">
        <v>42.1</v>
      </c>
      <c r="D430" s="3076">
        <v>28.530999999999999</v>
      </c>
      <c r="E430" s="3076">
        <v>13.571</v>
      </c>
      <c r="F430" s="1407">
        <f ca="1">ROUND(系统读取表!$E$14*面积清单!C430,0)</f>
        <v>307541</v>
      </c>
    </row>
    <row r="431" spans="1:6" ht="16.5">
      <c r="A431" s="3073" t="s">
        <v>3089</v>
      </c>
      <c r="B431" s="3074" t="s">
        <v>3502</v>
      </c>
      <c r="C431" s="3077">
        <v>44.23</v>
      </c>
      <c r="D431" s="3076">
        <v>29.975000000000001</v>
      </c>
      <c r="E431" s="3076">
        <v>14.257999999999999</v>
      </c>
      <c r="F431" s="1407">
        <f ca="1">ROUND(系统读取表!$E$14*面积清单!C431,0)</f>
        <v>323100</v>
      </c>
    </row>
    <row r="432" spans="1:6" ht="16.5">
      <c r="A432" s="3073" t="s">
        <v>3089</v>
      </c>
      <c r="B432" s="3074" t="s">
        <v>3503</v>
      </c>
      <c r="C432" s="3077">
        <v>42.61</v>
      </c>
      <c r="D432" s="3076">
        <v>28.875</v>
      </c>
      <c r="E432" s="3076">
        <v>13.734</v>
      </c>
      <c r="F432" s="1407">
        <f ca="1">ROUND(系统读取表!$E$14*面积清单!C432,0)</f>
        <v>311266</v>
      </c>
    </row>
    <row r="433" spans="1:6" ht="16.5">
      <c r="A433" s="3073" t="s">
        <v>3089</v>
      </c>
      <c r="B433" s="3074" t="s">
        <v>3504</v>
      </c>
      <c r="C433" s="3077">
        <v>42.61</v>
      </c>
      <c r="D433" s="3076">
        <v>28.875</v>
      </c>
      <c r="E433" s="3076">
        <v>13.734</v>
      </c>
      <c r="F433" s="1407">
        <f ca="1">ROUND(系统读取表!$E$14*面积清单!C433,0)</f>
        <v>311266</v>
      </c>
    </row>
    <row r="434" spans="1:6" ht="16.5">
      <c r="A434" s="3073" t="s">
        <v>3089</v>
      </c>
      <c r="B434" s="3074" t="s">
        <v>3505</v>
      </c>
      <c r="C434" s="3077">
        <v>42.61</v>
      </c>
      <c r="D434" s="3078">
        <v>28.875</v>
      </c>
      <c r="E434" s="3076">
        <v>13.734</v>
      </c>
      <c r="F434" s="1407">
        <f ca="1">ROUND(系统读取表!$E$14*面积清单!C434,0)</f>
        <v>311266</v>
      </c>
    </row>
    <row r="435" spans="1:6" ht="16.5">
      <c r="A435" s="3073" t="s">
        <v>3089</v>
      </c>
      <c r="B435" s="3074" t="s">
        <v>3506</v>
      </c>
      <c r="C435" s="3077">
        <v>55.14</v>
      </c>
      <c r="D435" s="3076">
        <v>37.366</v>
      </c>
      <c r="E435" s="3076">
        <v>17.773</v>
      </c>
      <c r="F435" s="1407">
        <f ca="1">ROUND(系统读取表!$E$14*面积清单!C435,0)</f>
        <v>402798</v>
      </c>
    </row>
    <row r="436" spans="1:6" ht="16.5">
      <c r="A436" s="3073" t="s">
        <v>3089</v>
      </c>
      <c r="B436" s="3074" t="s">
        <v>3507</v>
      </c>
      <c r="C436" s="3077">
        <v>53.14</v>
      </c>
      <c r="D436" s="3076">
        <v>36.012999999999998</v>
      </c>
      <c r="E436" s="3076">
        <v>17.13</v>
      </c>
      <c r="F436" s="1407">
        <f ca="1">ROUND(系统读取表!$E$14*面积清单!C436,0)</f>
        <v>388188</v>
      </c>
    </row>
    <row r="437" spans="1:6" ht="16.5">
      <c r="A437" s="3073" t="s">
        <v>3089</v>
      </c>
      <c r="B437" s="3074" t="s">
        <v>3508</v>
      </c>
      <c r="C437" s="3077">
        <v>53.14</v>
      </c>
      <c r="D437" s="3076">
        <v>36.012999999999998</v>
      </c>
      <c r="E437" s="3076">
        <v>17.13</v>
      </c>
      <c r="F437" s="1407">
        <f ca="1">ROUND(系统读取表!$E$14*面积清单!C437,0)</f>
        <v>388188</v>
      </c>
    </row>
    <row r="438" spans="1:6" ht="16.5">
      <c r="A438" s="3073" t="s">
        <v>3089</v>
      </c>
      <c r="B438" s="3074" t="s">
        <v>3509</v>
      </c>
      <c r="C438" s="3077">
        <v>53.14</v>
      </c>
      <c r="D438" s="3076">
        <v>36.012999999999998</v>
      </c>
      <c r="E438" s="3076">
        <v>17.13</v>
      </c>
      <c r="F438" s="1407">
        <f ca="1">ROUND(系统读取表!$E$14*面积清单!C438,0)</f>
        <v>388188</v>
      </c>
    </row>
    <row r="439" spans="1:6" ht="16.5">
      <c r="A439" s="3073" t="s">
        <v>3089</v>
      </c>
      <c r="B439" s="3074" t="s">
        <v>3510</v>
      </c>
      <c r="C439" s="3077">
        <v>53.14</v>
      </c>
      <c r="D439" s="3076">
        <v>36.012999999999998</v>
      </c>
      <c r="E439" s="3076">
        <v>17.13</v>
      </c>
      <c r="F439" s="1407">
        <f ca="1">ROUND(系统读取表!$E$14*面积清单!C439,0)</f>
        <v>388188</v>
      </c>
    </row>
    <row r="440" spans="1:6" ht="16.5">
      <c r="A440" s="3073" t="s">
        <v>3089</v>
      </c>
      <c r="B440" s="3074" t="s">
        <v>3511</v>
      </c>
      <c r="C440" s="3077">
        <v>53.14</v>
      </c>
      <c r="D440" s="3076">
        <v>36.012999999999998</v>
      </c>
      <c r="E440" s="3076">
        <v>17.13</v>
      </c>
      <c r="F440" s="1407">
        <f ca="1">ROUND(系统读取表!$E$14*面积清单!C440,0)</f>
        <v>388188</v>
      </c>
    </row>
    <row r="441" spans="1:6" ht="16.5">
      <c r="A441" s="3073" t="s">
        <v>3089</v>
      </c>
      <c r="B441" s="3074" t="s">
        <v>3512</v>
      </c>
      <c r="C441" s="3077">
        <v>53.14</v>
      </c>
      <c r="D441" s="3076">
        <v>36.012999999999998</v>
      </c>
      <c r="E441" s="3076">
        <v>17.13</v>
      </c>
      <c r="F441" s="1407">
        <f ca="1">ROUND(系统读取表!$E$14*面积清单!C441,0)</f>
        <v>388188</v>
      </c>
    </row>
    <row r="442" spans="1:6" ht="16.5">
      <c r="A442" s="3073" t="s">
        <v>3089</v>
      </c>
      <c r="B442" s="3074" t="s">
        <v>3513</v>
      </c>
      <c r="C442" s="3077">
        <v>53.14</v>
      </c>
      <c r="D442" s="3076">
        <v>36.012999999999998</v>
      </c>
      <c r="E442" s="3076">
        <v>17.13</v>
      </c>
      <c r="F442" s="1407">
        <f ca="1">ROUND(系统读取表!$E$14*面积清单!C442,0)</f>
        <v>388188</v>
      </c>
    </row>
    <row r="443" spans="1:6" ht="16.5">
      <c r="A443" s="3073" t="s">
        <v>3089</v>
      </c>
      <c r="B443" s="3074" t="s">
        <v>3514</v>
      </c>
      <c r="C443" s="3077">
        <v>55.14</v>
      </c>
      <c r="D443" s="3076">
        <v>37.366</v>
      </c>
      <c r="E443" s="3076">
        <v>17.773</v>
      </c>
      <c r="F443" s="1407">
        <f ca="1">ROUND(系统读取表!$E$14*面积清单!C443,0)</f>
        <v>402798</v>
      </c>
    </row>
    <row r="444" spans="1:6" ht="16.5">
      <c r="A444" s="3073" t="s">
        <v>3089</v>
      </c>
      <c r="B444" s="3074" t="s">
        <v>3515</v>
      </c>
      <c r="C444" s="3077">
        <v>42.61</v>
      </c>
      <c r="D444" s="3076">
        <v>28.875</v>
      </c>
      <c r="E444" s="3076">
        <v>13.734</v>
      </c>
      <c r="F444" s="1407">
        <f ca="1">ROUND(系统读取表!$E$14*面积清单!C444,0)</f>
        <v>311266</v>
      </c>
    </row>
    <row r="445" spans="1:6" ht="16.5">
      <c r="A445" s="3073" t="s">
        <v>3089</v>
      </c>
      <c r="B445" s="3074" t="s">
        <v>3516</v>
      </c>
      <c r="C445" s="3077">
        <v>42.61</v>
      </c>
      <c r="D445" s="3076">
        <v>28.875</v>
      </c>
      <c r="E445" s="3076">
        <v>13.734</v>
      </c>
      <c r="F445" s="1407">
        <f ca="1">ROUND(系统读取表!$E$14*面积清单!C445,0)</f>
        <v>311266</v>
      </c>
    </row>
    <row r="446" spans="1:6" ht="16.5">
      <c r="A446" s="3073" t="s">
        <v>3089</v>
      </c>
      <c r="B446" s="3074" t="s">
        <v>3517</v>
      </c>
      <c r="C446" s="3077">
        <v>42.61</v>
      </c>
      <c r="D446" s="3076">
        <v>28.875</v>
      </c>
      <c r="E446" s="3076">
        <v>13.734</v>
      </c>
      <c r="F446" s="1407">
        <f ca="1">ROUND(系统读取表!$E$14*面积清单!C446,0)</f>
        <v>311266</v>
      </c>
    </row>
    <row r="447" spans="1:6" ht="16.5">
      <c r="A447" s="3073" t="s">
        <v>3089</v>
      </c>
      <c r="B447" s="3074" t="s">
        <v>3518</v>
      </c>
      <c r="C447" s="3077">
        <v>44.23</v>
      </c>
      <c r="D447" s="3076">
        <v>29.975000000000001</v>
      </c>
      <c r="E447" s="3076">
        <v>14.257999999999999</v>
      </c>
      <c r="F447" s="1407">
        <f ca="1">ROUND(系统读取表!$E$14*面积清单!C447,0)</f>
        <v>323100</v>
      </c>
    </row>
    <row r="448" spans="1:6" ht="16.5">
      <c r="A448" s="3073" t="s">
        <v>3089</v>
      </c>
      <c r="B448" s="3074" t="s">
        <v>3519</v>
      </c>
      <c r="C448" s="3077">
        <v>42.1</v>
      </c>
      <c r="D448" s="3076">
        <v>28.530999999999999</v>
      </c>
      <c r="E448" s="3076">
        <v>13.571</v>
      </c>
      <c r="F448" s="1407">
        <f ca="1">ROUND(系统读取表!$E$14*面积清单!C448,0)</f>
        <v>307541</v>
      </c>
    </row>
    <row r="449" spans="1:6" ht="16.5">
      <c r="A449" s="3073" t="s">
        <v>3089</v>
      </c>
      <c r="B449" s="3074" t="s">
        <v>3520</v>
      </c>
      <c r="C449" s="3077">
        <v>42.1</v>
      </c>
      <c r="D449" s="3076">
        <v>28.530999999999999</v>
      </c>
      <c r="E449" s="3076">
        <v>13.571</v>
      </c>
      <c r="F449" s="1407">
        <f ca="1">ROUND(系统读取表!$E$14*面积清单!C449,0)</f>
        <v>307541</v>
      </c>
    </row>
    <row r="450" spans="1:6" ht="16.5">
      <c r="A450" s="3073" t="s">
        <v>3089</v>
      </c>
      <c r="B450" s="3074" t="s">
        <v>3521</v>
      </c>
      <c r="C450" s="3077">
        <v>42.1</v>
      </c>
      <c r="D450" s="3076">
        <v>28.530999999999999</v>
      </c>
      <c r="E450" s="3076">
        <v>13.571</v>
      </c>
      <c r="F450" s="1407">
        <f ca="1">ROUND(系统读取表!$E$14*面积清单!C450,0)</f>
        <v>307541</v>
      </c>
    </row>
    <row r="451" spans="1:6" ht="16.5">
      <c r="A451" s="3073" t="s">
        <v>3089</v>
      </c>
      <c r="B451" s="3074" t="s">
        <v>3522</v>
      </c>
      <c r="C451" s="3077">
        <v>42.1</v>
      </c>
      <c r="D451" s="3076">
        <v>28.530999999999999</v>
      </c>
      <c r="E451" s="3076">
        <v>13.571</v>
      </c>
      <c r="F451" s="1407">
        <f ca="1">ROUND(系统读取表!$E$14*面积清单!C451,0)</f>
        <v>307541</v>
      </c>
    </row>
    <row r="452" spans="1:6" ht="16.5">
      <c r="A452" s="3073" t="s">
        <v>3089</v>
      </c>
      <c r="B452" s="3074" t="s">
        <v>3523</v>
      </c>
      <c r="C452" s="3077">
        <v>42.1</v>
      </c>
      <c r="D452" s="3076">
        <v>28.530999999999999</v>
      </c>
      <c r="E452" s="3076">
        <v>13.571</v>
      </c>
      <c r="F452" s="1407">
        <f ca="1">ROUND(系统读取表!$E$14*面积清单!C452,0)</f>
        <v>307541</v>
      </c>
    </row>
    <row r="453" spans="1:6" ht="16.5">
      <c r="A453" s="3073" t="s">
        <v>3089</v>
      </c>
      <c r="B453" s="3074" t="s">
        <v>3524</v>
      </c>
      <c r="C453" s="3077">
        <v>44.23</v>
      </c>
      <c r="D453" s="3076">
        <v>29.975000000000001</v>
      </c>
      <c r="E453" s="3076">
        <v>14.257999999999999</v>
      </c>
      <c r="F453" s="1407">
        <f ca="1">ROUND(系统读取表!$E$14*面积清单!C453,0)</f>
        <v>323100</v>
      </c>
    </row>
    <row r="454" spans="1:6" ht="16.5">
      <c r="A454" s="3073" t="s">
        <v>3089</v>
      </c>
      <c r="B454" s="3074" t="s">
        <v>3525</v>
      </c>
      <c r="C454" s="3077">
        <v>42.61</v>
      </c>
      <c r="D454" s="3076">
        <v>28.875</v>
      </c>
      <c r="E454" s="3076">
        <v>13.734</v>
      </c>
      <c r="F454" s="1407">
        <f ca="1">ROUND(系统读取表!$E$14*面积清单!C454,0)</f>
        <v>311266</v>
      </c>
    </row>
    <row r="455" spans="1:6" ht="16.5">
      <c r="A455" s="3073" t="s">
        <v>3089</v>
      </c>
      <c r="B455" s="3074" t="s">
        <v>3526</v>
      </c>
      <c r="C455" s="3077">
        <v>42.61</v>
      </c>
      <c r="D455" s="3076">
        <v>28.875</v>
      </c>
      <c r="E455" s="3076">
        <v>13.734</v>
      </c>
      <c r="F455" s="1407">
        <f ca="1">ROUND(系统读取表!$E$14*面积清单!C455,0)</f>
        <v>311266</v>
      </c>
    </row>
    <row r="456" spans="1:6" ht="16.5">
      <c r="A456" s="3073" t="s">
        <v>3089</v>
      </c>
      <c r="B456" s="3074" t="s">
        <v>3527</v>
      </c>
      <c r="C456" s="3077">
        <v>42.61</v>
      </c>
      <c r="D456" s="3076">
        <v>28.875</v>
      </c>
      <c r="E456" s="3076">
        <v>13.734</v>
      </c>
      <c r="F456" s="1407">
        <f ca="1">ROUND(系统读取表!$E$14*面积清单!C456,0)</f>
        <v>311266</v>
      </c>
    </row>
    <row r="457" spans="1:6" ht="16.5">
      <c r="A457" s="3073" t="s">
        <v>3089</v>
      </c>
      <c r="B457" s="3074" t="s">
        <v>3528</v>
      </c>
      <c r="C457" s="3077">
        <v>54.41</v>
      </c>
      <c r="D457" s="3076">
        <v>37.366</v>
      </c>
      <c r="E457" s="3076">
        <v>17.047000000000001</v>
      </c>
      <c r="F457" s="1407">
        <f ca="1">ROUND(系统读取表!$E$14*面积清单!C457,0)</f>
        <v>397465</v>
      </c>
    </row>
    <row r="458" spans="1:6" ht="16.5">
      <c r="A458" s="3073" t="s">
        <v>3089</v>
      </c>
      <c r="B458" s="3074" t="s">
        <v>3529</v>
      </c>
      <c r="C458" s="3077">
        <v>52.44</v>
      </c>
      <c r="D458" s="3076">
        <v>36.012999999999998</v>
      </c>
      <c r="E458" s="3076">
        <v>16.43</v>
      </c>
      <c r="F458" s="1407">
        <f ca="1">ROUND(系统读取表!$E$14*面积清单!C458,0)</f>
        <v>383074</v>
      </c>
    </row>
    <row r="459" spans="1:6" ht="16.5">
      <c r="A459" s="3073" t="s">
        <v>3089</v>
      </c>
      <c r="B459" s="3074" t="s">
        <v>3530</v>
      </c>
      <c r="C459" s="3077">
        <v>52.44</v>
      </c>
      <c r="D459" s="3076">
        <v>36.012999999999998</v>
      </c>
      <c r="E459" s="3076">
        <v>16.43</v>
      </c>
      <c r="F459" s="1407">
        <f ca="1">ROUND(系统读取表!$E$14*面积清单!C459,0)</f>
        <v>383074</v>
      </c>
    </row>
    <row r="460" spans="1:6" ht="16.5">
      <c r="A460" s="3073" t="s">
        <v>3089</v>
      </c>
      <c r="B460" s="3074" t="s">
        <v>3531</v>
      </c>
      <c r="C460" s="3077">
        <v>52.44</v>
      </c>
      <c r="D460" s="3076">
        <v>36.012999999999998</v>
      </c>
      <c r="E460" s="3076">
        <v>16.43</v>
      </c>
      <c r="F460" s="1407">
        <f ca="1">ROUND(系统读取表!$E$14*面积清单!C460,0)</f>
        <v>383074</v>
      </c>
    </row>
    <row r="461" spans="1:6" ht="16.5">
      <c r="A461" s="3073" t="s">
        <v>3089</v>
      </c>
      <c r="B461" s="3074" t="s">
        <v>3532</v>
      </c>
      <c r="C461" s="3077">
        <v>52.44</v>
      </c>
      <c r="D461" s="3076">
        <v>36.012999999999998</v>
      </c>
      <c r="E461" s="3076">
        <v>16.43</v>
      </c>
      <c r="F461" s="1407">
        <f ca="1">ROUND(系统读取表!$E$14*面积清单!C461,0)</f>
        <v>383074</v>
      </c>
    </row>
    <row r="462" spans="1:6" ht="16.5">
      <c r="A462" s="3073" t="s">
        <v>3089</v>
      </c>
      <c r="B462" s="3074" t="s">
        <v>3533</v>
      </c>
      <c r="C462" s="3077">
        <v>52.44</v>
      </c>
      <c r="D462" s="3076">
        <v>36.012999999999998</v>
      </c>
      <c r="E462" s="3076">
        <v>16.43</v>
      </c>
      <c r="F462" s="1407">
        <f ca="1">ROUND(系统读取表!$E$14*面积清单!C462,0)</f>
        <v>383074</v>
      </c>
    </row>
    <row r="463" spans="1:6" ht="16.5">
      <c r="A463" s="3073" t="s">
        <v>3089</v>
      </c>
      <c r="B463" s="3074" t="s">
        <v>3534</v>
      </c>
      <c r="C463" s="3077">
        <v>54.41</v>
      </c>
      <c r="D463" s="3076">
        <v>37.366</v>
      </c>
      <c r="E463" s="3076">
        <v>17.047000000000001</v>
      </c>
      <c r="F463" s="1407">
        <f ca="1">ROUND(系统读取表!$E$14*面积清单!C463,0)</f>
        <v>397465</v>
      </c>
    </row>
    <row r="464" spans="1:6" ht="16.5">
      <c r="A464" s="3073" t="s">
        <v>3089</v>
      </c>
      <c r="B464" s="3074" t="s">
        <v>3535</v>
      </c>
      <c r="C464" s="3077">
        <v>42.05</v>
      </c>
      <c r="D464" s="3076">
        <v>28.875</v>
      </c>
      <c r="E464" s="3076">
        <v>13.173</v>
      </c>
      <c r="F464" s="1407">
        <f ca="1">ROUND(系统读取表!$E$14*面积清单!C464,0)</f>
        <v>307175</v>
      </c>
    </row>
    <row r="465" spans="1:6" ht="16.5">
      <c r="A465" s="3073" t="s">
        <v>3089</v>
      </c>
      <c r="B465" s="3074" t="s">
        <v>3536</v>
      </c>
      <c r="C465" s="3077">
        <v>42.05</v>
      </c>
      <c r="D465" s="3076">
        <v>28.875</v>
      </c>
      <c r="E465" s="3076">
        <v>13.173</v>
      </c>
      <c r="F465" s="1407">
        <f ca="1">ROUND(系统读取表!$E$14*面积清单!C465,0)</f>
        <v>307175</v>
      </c>
    </row>
    <row r="466" spans="1:6" ht="16.5">
      <c r="A466" s="3073" t="s">
        <v>3089</v>
      </c>
      <c r="B466" s="3074" t="s">
        <v>3537</v>
      </c>
      <c r="C466" s="3077">
        <v>42.05</v>
      </c>
      <c r="D466" s="3076">
        <v>28.875</v>
      </c>
      <c r="E466" s="3076">
        <v>13.173</v>
      </c>
      <c r="F466" s="1407">
        <f ca="1">ROUND(系统读取表!$E$14*面积清单!C466,0)</f>
        <v>307175</v>
      </c>
    </row>
    <row r="467" spans="1:6" ht="16.5">
      <c r="A467" s="3073" t="s">
        <v>3089</v>
      </c>
      <c r="B467" s="3074" t="s">
        <v>3538</v>
      </c>
      <c r="C467" s="3077">
        <v>43.65</v>
      </c>
      <c r="D467" s="3076">
        <v>29.975000000000001</v>
      </c>
      <c r="E467" s="3076">
        <v>13.675000000000001</v>
      </c>
      <c r="F467" s="1407">
        <f ca="1">ROUND(系统读取表!$E$14*面积清单!C467,0)</f>
        <v>318863</v>
      </c>
    </row>
    <row r="468" spans="1:6" ht="16.5">
      <c r="A468" s="3073" t="s">
        <v>3089</v>
      </c>
      <c r="B468" s="3074" t="s">
        <v>3539</v>
      </c>
      <c r="C468" s="3077">
        <v>41.55</v>
      </c>
      <c r="D468" s="3076">
        <v>28.530999999999999</v>
      </c>
      <c r="E468" s="3076">
        <v>13.016</v>
      </c>
      <c r="F468" s="1407">
        <f ca="1">ROUND(系统读取表!$E$14*面积清单!C468,0)</f>
        <v>303523</v>
      </c>
    </row>
    <row r="469" spans="1:6" ht="16.5">
      <c r="A469" s="3073" t="s">
        <v>3089</v>
      </c>
      <c r="B469" s="3074" t="s">
        <v>3540</v>
      </c>
      <c r="C469" s="3077">
        <v>41.55</v>
      </c>
      <c r="D469" s="3076">
        <v>28.530999999999999</v>
      </c>
      <c r="E469" s="3076">
        <v>13.016</v>
      </c>
      <c r="F469" s="1407">
        <f ca="1">ROUND(系统读取表!$E$14*面积清单!C469,0)</f>
        <v>303523</v>
      </c>
    </row>
    <row r="470" spans="1:6" ht="16.5">
      <c r="A470" s="3073" t="s">
        <v>3089</v>
      </c>
      <c r="B470" s="3074" t="s">
        <v>3541</v>
      </c>
      <c r="C470" s="3077">
        <v>41.55</v>
      </c>
      <c r="D470" s="3076">
        <v>28.530999999999999</v>
      </c>
      <c r="E470" s="3076">
        <v>13.016</v>
      </c>
      <c r="F470" s="1407">
        <f ca="1">ROUND(系统读取表!$E$14*面积清单!C470,0)</f>
        <v>303523</v>
      </c>
    </row>
    <row r="471" spans="1:6" ht="16.5">
      <c r="A471" s="3073" t="s">
        <v>3089</v>
      </c>
      <c r="B471" s="3074" t="s">
        <v>3542</v>
      </c>
      <c r="C471" s="3077">
        <v>41.55</v>
      </c>
      <c r="D471" s="3076">
        <v>28.530999999999999</v>
      </c>
      <c r="E471" s="3076">
        <v>13.016</v>
      </c>
      <c r="F471" s="1407">
        <f ca="1">ROUND(系统读取表!$E$14*面积清单!C471,0)</f>
        <v>303523</v>
      </c>
    </row>
    <row r="472" spans="1:6" ht="16.5">
      <c r="A472" s="3073" t="s">
        <v>3089</v>
      </c>
      <c r="B472" s="3074" t="s">
        <v>3543</v>
      </c>
      <c r="C472" s="3077">
        <v>43.65</v>
      </c>
      <c r="D472" s="3076">
        <v>29.975000000000001</v>
      </c>
      <c r="E472" s="3076">
        <v>13.675000000000001</v>
      </c>
      <c r="F472" s="1407">
        <f ca="1">ROUND(系统读取表!$E$14*面积清单!C472,0)</f>
        <v>318863</v>
      </c>
    </row>
    <row r="473" spans="1:6" ht="16.5">
      <c r="A473" s="3073" t="s">
        <v>3089</v>
      </c>
      <c r="B473" s="3074" t="s">
        <v>3544</v>
      </c>
      <c r="C473" s="3077">
        <v>42.05</v>
      </c>
      <c r="D473" s="3076">
        <v>28.875</v>
      </c>
      <c r="E473" s="3076">
        <v>13.173</v>
      </c>
      <c r="F473" s="1407">
        <f ca="1">ROUND(系统读取表!$E$14*面积清单!C473,0)</f>
        <v>307175</v>
      </c>
    </row>
    <row r="474" spans="1:6" ht="16.5">
      <c r="A474" s="3073" t="s">
        <v>3089</v>
      </c>
      <c r="B474" s="3074" t="s">
        <v>3545</v>
      </c>
      <c r="C474" s="3077">
        <v>42.05</v>
      </c>
      <c r="D474" s="3076">
        <v>28.875</v>
      </c>
      <c r="E474" s="3076">
        <v>13.173</v>
      </c>
      <c r="F474" s="1407">
        <f ca="1">ROUND(系统读取表!$E$14*面积清单!C474,0)</f>
        <v>307175</v>
      </c>
    </row>
    <row r="475" spans="1:6" ht="16.5">
      <c r="A475" s="3073" t="s">
        <v>3089</v>
      </c>
      <c r="B475" s="3074" t="s">
        <v>3546</v>
      </c>
      <c r="C475" s="3077">
        <v>42.05</v>
      </c>
      <c r="D475" s="3076">
        <v>28.875</v>
      </c>
      <c r="E475" s="3076">
        <v>13.173</v>
      </c>
      <c r="F475" s="1407">
        <f ca="1">ROUND(系统读取表!$E$14*面积清单!C475,0)</f>
        <v>307175</v>
      </c>
    </row>
    <row r="476" spans="1:6" ht="16.5">
      <c r="A476" s="3073" t="s">
        <v>3089</v>
      </c>
      <c r="B476" s="3074" t="s">
        <v>3547</v>
      </c>
      <c r="C476" s="3077">
        <v>54.41</v>
      </c>
      <c r="D476" s="3076">
        <v>37.366</v>
      </c>
      <c r="E476" s="3076">
        <v>17.047000000000001</v>
      </c>
      <c r="F476" s="1407">
        <f ca="1">ROUND(系统读取表!$E$14*面积清单!C476,0)</f>
        <v>397465</v>
      </c>
    </row>
    <row r="477" spans="1:6" ht="16.5">
      <c r="A477" s="3073" t="s">
        <v>3089</v>
      </c>
      <c r="B477" s="3074" t="s">
        <v>3548</v>
      </c>
      <c r="C477" s="3077">
        <v>52.44</v>
      </c>
      <c r="D477" s="3076">
        <v>36.012999999999998</v>
      </c>
      <c r="E477" s="3076">
        <v>16.43</v>
      </c>
      <c r="F477" s="1407">
        <f ca="1">ROUND(系统读取表!$E$14*面积清单!C477,0)</f>
        <v>383074</v>
      </c>
    </row>
    <row r="478" spans="1:6" ht="16.5">
      <c r="A478" s="3073" t="s">
        <v>3089</v>
      </c>
      <c r="B478" s="3074" t="s">
        <v>3549</v>
      </c>
      <c r="C478" s="3077">
        <v>52.44</v>
      </c>
      <c r="D478" s="3076">
        <v>36.012999999999998</v>
      </c>
      <c r="E478" s="3076">
        <v>16.43</v>
      </c>
      <c r="F478" s="1407">
        <f ca="1">ROUND(系统读取表!$E$14*面积清单!C478,0)</f>
        <v>383074</v>
      </c>
    </row>
    <row r="479" spans="1:6" ht="16.5">
      <c r="A479" s="3073" t="s">
        <v>3089</v>
      </c>
      <c r="B479" s="3074" t="s">
        <v>3550</v>
      </c>
      <c r="C479" s="3077">
        <v>52.44</v>
      </c>
      <c r="D479" s="3076">
        <v>36.012999999999998</v>
      </c>
      <c r="E479" s="3076">
        <v>16.43</v>
      </c>
      <c r="F479" s="1407">
        <f ca="1">ROUND(系统读取表!$E$14*面积清单!C479,0)</f>
        <v>383074</v>
      </c>
    </row>
    <row r="480" spans="1:6" ht="16.5">
      <c r="A480" s="3073" t="s">
        <v>3089</v>
      </c>
      <c r="B480" s="3074" t="s">
        <v>3551</v>
      </c>
      <c r="C480" s="3077">
        <v>52.44</v>
      </c>
      <c r="D480" s="3076">
        <v>36.012999999999998</v>
      </c>
      <c r="E480" s="3076">
        <v>16.43</v>
      </c>
      <c r="F480" s="1407">
        <f ca="1">ROUND(系统读取表!$E$14*面积清单!C480,0)</f>
        <v>383074</v>
      </c>
    </row>
    <row r="481" spans="1:6" ht="16.5">
      <c r="A481" s="3073" t="s">
        <v>3089</v>
      </c>
      <c r="B481" s="3074" t="s">
        <v>3552</v>
      </c>
      <c r="C481" s="3077">
        <v>52.44</v>
      </c>
      <c r="D481" s="3076">
        <v>36.012999999999998</v>
      </c>
      <c r="E481" s="3076">
        <v>16.43</v>
      </c>
      <c r="F481" s="1407">
        <f ca="1">ROUND(系统读取表!$E$14*面积清单!C481,0)</f>
        <v>383074</v>
      </c>
    </row>
    <row r="482" spans="1:6" ht="16.5">
      <c r="A482" s="3073" t="s">
        <v>3089</v>
      </c>
      <c r="B482" s="3074" t="s">
        <v>3553</v>
      </c>
      <c r="C482" s="3077">
        <v>52.44</v>
      </c>
      <c r="D482" s="3076">
        <v>36.012999999999998</v>
      </c>
      <c r="E482" s="3076">
        <v>16.43</v>
      </c>
      <c r="F482" s="1407">
        <f ca="1">ROUND(系统读取表!$E$14*面积清单!C482,0)</f>
        <v>383074</v>
      </c>
    </row>
    <row r="483" spans="1:6" ht="16.5">
      <c r="A483" s="3073" t="s">
        <v>3089</v>
      </c>
      <c r="B483" s="3074" t="s">
        <v>3554</v>
      </c>
      <c r="C483" s="3077">
        <v>52.44</v>
      </c>
      <c r="D483" s="3076">
        <v>36.012999999999998</v>
      </c>
      <c r="E483" s="3076">
        <v>16.43</v>
      </c>
      <c r="F483" s="1407">
        <f ca="1">ROUND(系统读取表!$E$14*面积清单!C483,0)</f>
        <v>383074</v>
      </c>
    </row>
    <row r="484" spans="1:6" ht="16.5">
      <c r="A484" s="3073" t="s">
        <v>3089</v>
      </c>
      <c r="B484" s="3074" t="s">
        <v>3555</v>
      </c>
      <c r="C484" s="3077">
        <v>54.41</v>
      </c>
      <c r="D484" s="3076">
        <v>37.366</v>
      </c>
      <c r="E484" s="3076">
        <v>17.047000000000001</v>
      </c>
      <c r="F484" s="1407">
        <f ca="1">ROUND(系统读取表!$E$14*面积清单!C484,0)</f>
        <v>397465</v>
      </c>
    </row>
    <row r="485" spans="1:6" ht="16.5">
      <c r="A485" s="3073" t="s">
        <v>3089</v>
      </c>
      <c r="B485" s="3074" t="s">
        <v>3556</v>
      </c>
      <c r="C485" s="3077">
        <v>42.05</v>
      </c>
      <c r="D485" s="3076">
        <v>28.875</v>
      </c>
      <c r="E485" s="3076">
        <v>13.173</v>
      </c>
      <c r="F485" s="1407">
        <f ca="1">ROUND(系统读取表!$E$14*面积清单!C485,0)</f>
        <v>307175</v>
      </c>
    </row>
    <row r="486" spans="1:6" ht="16.5">
      <c r="A486" s="3073" t="s">
        <v>3089</v>
      </c>
      <c r="B486" s="3074" t="s">
        <v>3557</v>
      </c>
      <c r="C486" s="3077">
        <v>42.05</v>
      </c>
      <c r="D486" s="3076">
        <v>28.875</v>
      </c>
      <c r="E486" s="3076">
        <v>13.173</v>
      </c>
      <c r="F486" s="1407">
        <f ca="1">ROUND(系统读取表!$E$14*面积清单!C486,0)</f>
        <v>307175</v>
      </c>
    </row>
    <row r="487" spans="1:6" ht="16.5">
      <c r="A487" s="3073" t="s">
        <v>3089</v>
      </c>
      <c r="B487" s="3074" t="s">
        <v>3558</v>
      </c>
      <c r="C487" s="3077">
        <v>42.05</v>
      </c>
      <c r="D487" s="3076">
        <v>28.875</v>
      </c>
      <c r="E487" s="3076">
        <v>13.173</v>
      </c>
      <c r="F487" s="1407">
        <f ca="1">ROUND(系统读取表!$E$14*面积清单!C487,0)</f>
        <v>307175</v>
      </c>
    </row>
    <row r="488" spans="1:6" ht="16.5">
      <c r="A488" s="3073" t="s">
        <v>3089</v>
      </c>
      <c r="B488" s="3074" t="s">
        <v>3559</v>
      </c>
      <c r="C488" s="3077">
        <v>43.65</v>
      </c>
      <c r="D488" s="3076">
        <v>29.975000000000001</v>
      </c>
      <c r="E488" s="3076">
        <v>13.675000000000001</v>
      </c>
      <c r="F488" s="1407">
        <f ca="1">ROUND(系统读取表!$E$14*面积清单!C488,0)</f>
        <v>318863</v>
      </c>
    </row>
    <row r="489" spans="1:6" ht="16.5">
      <c r="A489" s="3073" t="s">
        <v>3089</v>
      </c>
      <c r="B489" s="3074" t="s">
        <v>3560</v>
      </c>
      <c r="C489" s="3077">
        <v>41.55</v>
      </c>
      <c r="D489" s="3076">
        <v>28.530999999999999</v>
      </c>
      <c r="E489" s="3076">
        <v>13.016</v>
      </c>
      <c r="F489" s="1407">
        <f ca="1">ROUND(系统读取表!$E$14*面积清单!C489,0)</f>
        <v>303523</v>
      </c>
    </row>
    <row r="490" spans="1:6" ht="16.5">
      <c r="A490" s="3073" t="s">
        <v>3089</v>
      </c>
      <c r="B490" s="3074" t="s">
        <v>3561</v>
      </c>
      <c r="C490" s="3077">
        <v>41.55</v>
      </c>
      <c r="D490" s="3076">
        <v>28.530999999999999</v>
      </c>
      <c r="E490" s="3076">
        <v>13.016</v>
      </c>
      <c r="F490" s="1407">
        <f ca="1">ROUND(系统读取表!$E$14*面积清单!C490,0)</f>
        <v>303523</v>
      </c>
    </row>
    <row r="491" spans="1:6" ht="16.5">
      <c r="A491" s="3073" t="s">
        <v>3089</v>
      </c>
      <c r="B491" s="3074" t="s">
        <v>3562</v>
      </c>
      <c r="C491" s="3077">
        <v>41.55</v>
      </c>
      <c r="D491" s="3076">
        <v>28.530999999999999</v>
      </c>
      <c r="E491" s="3076">
        <v>13.016</v>
      </c>
      <c r="F491" s="1407">
        <f ca="1">ROUND(系统读取表!$E$14*面积清单!C491,0)</f>
        <v>303523</v>
      </c>
    </row>
    <row r="492" spans="1:6" ht="16.5">
      <c r="A492" s="3073" t="s">
        <v>3089</v>
      </c>
      <c r="B492" s="3074" t="s">
        <v>3563</v>
      </c>
      <c r="C492" s="3077">
        <v>41.55</v>
      </c>
      <c r="D492" s="3076">
        <v>28.530999999999999</v>
      </c>
      <c r="E492" s="3076">
        <v>13.016</v>
      </c>
      <c r="F492" s="1407">
        <f ca="1">ROUND(系统读取表!$E$14*面积清单!C492,0)</f>
        <v>303523</v>
      </c>
    </row>
    <row r="493" spans="1:6" ht="16.5">
      <c r="A493" s="3073" t="s">
        <v>3089</v>
      </c>
      <c r="B493" s="3074" t="s">
        <v>3564</v>
      </c>
      <c r="C493" s="3077">
        <v>41.55</v>
      </c>
      <c r="D493" s="3076">
        <v>28.530999999999999</v>
      </c>
      <c r="E493" s="3076">
        <v>13.016</v>
      </c>
      <c r="F493" s="1407">
        <f ca="1">ROUND(系统读取表!$E$14*面积清单!C493,0)</f>
        <v>303523</v>
      </c>
    </row>
    <row r="494" spans="1:6" ht="16.5">
      <c r="A494" s="3073" t="s">
        <v>3089</v>
      </c>
      <c r="B494" s="3074" t="s">
        <v>3565</v>
      </c>
      <c r="C494" s="3077">
        <v>43.65</v>
      </c>
      <c r="D494" s="3076">
        <v>29.975000000000001</v>
      </c>
      <c r="E494" s="3076">
        <v>13.675000000000001</v>
      </c>
      <c r="F494" s="1407">
        <f ca="1">ROUND(系统读取表!$E$14*面积清单!C494,0)</f>
        <v>318863</v>
      </c>
    </row>
    <row r="495" spans="1:6" ht="16.5">
      <c r="A495" s="3073" t="s">
        <v>3089</v>
      </c>
      <c r="B495" s="3074" t="s">
        <v>3566</v>
      </c>
      <c r="C495" s="3077">
        <v>42.05</v>
      </c>
      <c r="D495" s="3076">
        <v>28.875</v>
      </c>
      <c r="E495" s="3076">
        <v>13.173</v>
      </c>
      <c r="F495" s="1407">
        <f ca="1">ROUND(系统读取表!$E$14*面积清单!C495,0)</f>
        <v>307175</v>
      </c>
    </row>
    <row r="496" spans="1:6" ht="16.5">
      <c r="A496" s="3073" t="s">
        <v>3089</v>
      </c>
      <c r="B496" s="3074" t="s">
        <v>3567</v>
      </c>
      <c r="C496" s="3077">
        <v>42.05</v>
      </c>
      <c r="D496" s="3076">
        <v>28.875</v>
      </c>
      <c r="E496" s="3076">
        <v>13.173</v>
      </c>
      <c r="F496" s="1407">
        <f ca="1">ROUND(系统读取表!$E$14*面积清单!C496,0)</f>
        <v>307175</v>
      </c>
    </row>
    <row r="497" spans="1:6" ht="16.5">
      <c r="A497" s="3073" t="s">
        <v>3089</v>
      </c>
      <c r="B497" s="3074" t="s">
        <v>3568</v>
      </c>
      <c r="C497" s="3077">
        <v>42.05</v>
      </c>
      <c r="D497" s="3076">
        <v>28.875</v>
      </c>
      <c r="E497" s="3076">
        <v>13.173</v>
      </c>
      <c r="F497" s="1407">
        <f ca="1">ROUND(系统读取表!$E$14*面积清单!C497,0)</f>
        <v>307175</v>
      </c>
    </row>
    <row r="498" spans="1:6" ht="16.5">
      <c r="A498" s="3073" t="s">
        <v>3089</v>
      </c>
      <c r="B498" s="3074" t="s">
        <v>3569</v>
      </c>
      <c r="C498" s="3077">
        <v>54.41</v>
      </c>
      <c r="D498" s="3076">
        <v>37.366</v>
      </c>
      <c r="E498" s="3076">
        <v>17.047000000000001</v>
      </c>
      <c r="F498" s="1407">
        <f ca="1">ROUND(系统读取表!$E$14*面积清单!C498,0)</f>
        <v>397465</v>
      </c>
    </row>
    <row r="499" spans="1:6" ht="16.5">
      <c r="A499" s="3073" t="s">
        <v>3089</v>
      </c>
      <c r="B499" s="3074" t="s">
        <v>3570</v>
      </c>
      <c r="C499" s="3077">
        <v>52.44</v>
      </c>
      <c r="D499" s="3076">
        <v>36.012999999999998</v>
      </c>
      <c r="E499" s="3076">
        <v>16.43</v>
      </c>
      <c r="F499" s="1407">
        <f ca="1">ROUND(系统读取表!$E$14*面积清单!C499,0)</f>
        <v>383074</v>
      </c>
    </row>
    <row r="500" spans="1:6" ht="16.5">
      <c r="A500" s="3073" t="s">
        <v>3089</v>
      </c>
      <c r="B500" s="3074" t="s">
        <v>3571</v>
      </c>
      <c r="C500" s="3077">
        <v>52.44</v>
      </c>
      <c r="D500" s="3076">
        <v>36.012999999999998</v>
      </c>
      <c r="E500" s="3076">
        <v>16.43</v>
      </c>
      <c r="F500" s="1407">
        <f ca="1">ROUND(系统读取表!$E$14*面积清单!C500,0)</f>
        <v>383074</v>
      </c>
    </row>
    <row r="501" spans="1:6" ht="16.5">
      <c r="A501" s="3073" t="s">
        <v>3089</v>
      </c>
      <c r="B501" s="3074" t="s">
        <v>3572</v>
      </c>
      <c r="C501" s="3077">
        <v>52.44</v>
      </c>
      <c r="D501" s="3076">
        <v>36.012999999999998</v>
      </c>
      <c r="E501" s="3076">
        <v>16.43</v>
      </c>
      <c r="F501" s="1407">
        <f ca="1">ROUND(系统读取表!$E$14*面积清单!C501,0)</f>
        <v>383074</v>
      </c>
    </row>
    <row r="502" spans="1:6" ht="16.5">
      <c r="A502" s="3073" t="s">
        <v>3089</v>
      </c>
      <c r="B502" s="3074" t="s">
        <v>3573</v>
      </c>
      <c r="C502" s="3077">
        <v>52.44</v>
      </c>
      <c r="D502" s="3076">
        <v>36.012999999999998</v>
      </c>
      <c r="E502" s="3076">
        <v>16.43</v>
      </c>
      <c r="F502" s="1407">
        <f ca="1">ROUND(系统读取表!$E$14*面积清单!C502,0)</f>
        <v>383074</v>
      </c>
    </row>
    <row r="503" spans="1:6" ht="16.5">
      <c r="A503" s="3073" t="s">
        <v>3089</v>
      </c>
      <c r="B503" s="3074" t="s">
        <v>3574</v>
      </c>
      <c r="C503" s="3077">
        <v>52.44</v>
      </c>
      <c r="D503" s="3076">
        <v>36.012999999999998</v>
      </c>
      <c r="E503" s="3076">
        <v>16.43</v>
      </c>
      <c r="F503" s="1407">
        <f ca="1">ROUND(系统读取表!$E$14*面积清单!C503,0)</f>
        <v>383074</v>
      </c>
    </row>
    <row r="504" spans="1:6" ht="16.5">
      <c r="A504" s="3073" t="s">
        <v>3089</v>
      </c>
      <c r="B504" s="3074" t="s">
        <v>3575</v>
      </c>
      <c r="C504" s="3077">
        <v>52.44</v>
      </c>
      <c r="D504" s="3076">
        <v>36.012999999999998</v>
      </c>
      <c r="E504" s="3076">
        <v>16.43</v>
      </c>
      <c r="F504" s="1407">
        <f ca="1">ROUND(系统读取表!$E$14*面积清单!C504,0)</f>
        <v>383074</v>
      </c>
    </row>
    <row r="505" spans="1:6" ht="16.5">
      <c r="A505" s="3073" t="s">
        <v>3089</v>
      </c>
      <c r="B505" s="3074" t="s">
        <v>3576</v>
      </c>
      <c r="C505" s="3077">
        <v>52.44</v>
      </c>
      <c r="D505" s="3076">
        <v>36.012999999999998</v>
      </c>
      <c r="E505" s="3076">
        <v>16.43</v>
      </c>
      <c r="F505" s="1407">
        <f ca="1">ROUND(系统读取表!$E$14*面积清单!C505,0)</f>
        <v>383074</v>
      </c>
    </row>
    <row r="506" spans="1:6" ht="16.5">
      <c r="A506" s="3073" t="s">
        <v>3089</v>
      </c>
      <c r="B506" s="3074" t="s">
        <v>3577</v>
      </c>
      <c r="C506" s="3077">
        <v>54.41</v>
      </c>
      <c r="D506" s="3076">
        <v>37.366</v>
      </c>
      <c r="E506" s="3076">
        <v>17.047000000000001</v>
      </c>
      <c r="F506" s="1407">
        <f ca="1">ROUND(系统读取表!$E$14*面积清单!C506,0)</f>
        <v>397465</v>
      </c>
    </row>
    <row r="507" spans="1:6" ht="16.5">
      <c r="A507" s="3073" t="s">
        <v>3089</v>
      </c>
      <c r="B507" s="3074" t="s">
        <v>3578</v>
      </c>
      <c r="C507" s="3077">
        <v>42.05</v>
      </c>
      <c r="D507" s="3076">
        <v>28.875</v>
      </c>
      <c r="E507" s="3076">
        <v>13.173</v>
      </c>
      <c r="F507" s="1407">
        <f ca="1">ROUND(系统读取表!$E$14*面积清单!C507,0)</f>
        <v>307175</v>
      </c>
    </row>
    <row r="508" spans="1:6" ht="16.5">
      <c r="A508" s="3073" t="s">
        <v>3089</v>
      </c>
      <c r="B508" s="3074" t="s">
        <v>3579</v>
      </c>
      <c r="C508" s="3077">
        <v>42.05</v>
      </c>
      <c r="D508" s="3076">
        <v>28.875</v>
      </c>
      <c r="E508" s="3076">
        <v>13.173</v>
      </c>
      <c r="F508" s="1407">
        <f ca="1">ROUND(系统读取表!$E$14*面积清单!C508,0)</f>
        <v>307175</v>
      </c>
    </row>
    <row r="509" spans="1:6" ht="16.5">
      <c r="A509" s="3073" t="s">
        <v>3089</v>
      </c>
      <c r="B509" s="3074" t="s">
        <v>3580</v>
      </c>
      <c r="C509" s="3077">
        <v>42.05</v>
      </c>
      <c r="D509" s="3076">
        <v>28.875</v>
      </c>
      <c r="E509" s="3076">
        <v>13.173</v>
      </c>
      <c r="F509" s="1407">
        <f ca="1">ROUND(系统读取表!$E$14*面积清单!C509,0)</f>
        <v>307175</v>
      </c>
    </row>
    <row r="510" spans="1:6" ht="16.5">
      <c r="A510" s="3073" t="s">
        <v>3089</v>
      </c>
      <c r="B510" s="3074" t="s">
        <v>3581</v>
      </c>
      <c r="C510" s="3077">
        <v>43.65</v>
      </c>
      <c r="D510" s="3076">
        <v>29.975000000000001</v>
      </c>
      <c r="E510" s="3076">
        <v>13.675000000000001</v>
      </c>
      <c r="F510" s="1407">
        <f ca="1">ROUND(系统读取表!$E$14*面积清单!C510,0)</f>
        <v>318863</v>
      </c>
    </row>
    <row r="511" spans="1:6" ht="16.5">
      <c r="A511" s="3073" t="s">
        <v>3089</v>
      </c>
      <c r="B511" s="3074" t="s">
        <v>3582</v>
      </c>
      <c r="C511" s="3077">
        <v>41.55</v>
      </c>
      <c r="D511" s="3076">
        <v>28.530999999999999</v>
      </c>
      <c r="E511" s="3076">
        <v>13.016</v>
      </c>
      <c r="F511" s="1407">
        <f ca="1">ROUND(系统读取表!$E$14*面积清单!C511,0)</f>
        <v>303523</v>
      </c>
    </row>
    <row r="512" spans="1:6" ht="16.5">
      <c r="A512" s="3073" t="s">
        <v>3089</v>
      </c>
      <c r="B512" s="3074" t="s">
        <v>3583</v>
      </c>
      <c r="C512" s="3077">
        <v>41.55</v>
      </c>
      <c r="D512" s="3076">
        <v>28.530999999999999</v>
      </c>
      <c r="E512" s="3076">
        <v>13.016</v>
      </c>
      <c r="F512" s="1407">
        <f ca="1">ROUND(系统读取表!$E$14*面积清单!C512,0)</f>
        <v>303523</v>
      </c>
    </row>
    <row r="513" spans="1:6" ht="16.5">
      <c r="A513" s="3073" t="s">
        <v>3089</v>
      </c>
      <c r="B513" s="3074" t="s">
        <v>3584</v>
      </c>
      <c r="C513" s="3077">
        <v>41.55</v>
      </c>
      <c r="D513" s="3076">
        <v>28.530999999999999</v>
      </c>
      <c r="E513" s="3076">
        <v>13.016</v>
      </c>
      <c r="F513" s="1407">
        <f ca="1">ROUND(系统读取表!$E$14*面积清单!C513,0)</f>
        <v>303523</v>
      </c>
    </row>
    <row r="514" spans="1:6" ht="16.5">
      <c r="A514" s="3073" t="s">
        <v>3089</v>
      </c>
      <c r="B514" s="3074" t="s">
        <v>3585</v>
      </c>
      <c r="C514" s="3077">
        <v>41.55</v>
      </c>
      <c r="D514" s="3076">
        <v>28.530999999999999</v>
      </c>
      <c r="E514" s="3076">
        <v>13.016</v>
      </c>
      <c r="F514" s="1407">
        <f ca="1">ROUND(系统读取表!$E$14*面积清单!C514,0)</f>
        <v>303523</v>
      </c>
    </row>
    <row r="515" spans="1:6" ht="16.5">
      <c r="A515" s="3073" t="s">
        <v>3089</v>
      </c>
      <c r="B515" s="3074" t="s">
        <v>3586</v>
      </c>
      <c r="C515" s="3077">
        <v>41.55</v>
      </c>
      <c r="D515" s="3076">
        <v>28.530999999999999</v>
      </c>
      <c r="E515" s="3076">
        <v>13.016</v>
      </c>
      <c r="F515" s="1407">
        <f ca="1">ROUND(系统读取表!$E$14*面积清单!C515,0)</f>
        <v>303523</v>
      </c>
    </row>
    <row r="516" spans="1:6" ht="16.5">
      <c r="A516" s="3073" t="s">
        <v>3089</v>
      </c>
      <c r="B516" s="3074" t="s">
        <v>3587</v>
      </c>
      <c r="C516" s="3077">
        <v>43.65</v>
      </c>
      <c r="D516" s="3076">
        <v>29.975000000000001</v>
      </c>
      <c r="E516" s="3076">
        <v>13.675000000000001</v>
      </c>
      <c r="F516" s="1407">
        <f ca="1">ROUND(系统读取表!$E$14*面积清单!C516,0)</f>
        <v>318863</v>
      </c>
    </row>
    <row r="517" spans="1:6" ht="16.5">
      <c r="A517" s="3073" t="s">
        <v>3089</v>
      </c>
      <c r="B517" s="3074" t="s">
        <v>3588</v>
      </c>
      <c r="C517" s="3077">
        <v>42.05</v>
      </c>
      <c r="D517" s="3076">
        <v>28.875</v>
      </c>
      <c r="E517" s="3076">
        <v>13.173</v>
      </c>
      <c r="F517" s="1407">
        <f ca="1">ROUND(系统读取表!$E$14*面积清单!C517,0)</f>
        <v>307175</v>
      </c>
    </row>
    <row r="518" spans="1:6" ht="16.5">
      <c r="A518" s="3073" t="s">
        <v>3089</v>
      </c>
      <c r="B518" s="3074" t="s">
        <v>3589</v>
      </c>
      <c r="C518" s="3077">
        <v>42.05</v>
      </c>
      <c r="D518" s="3076">
        <v>28.875</v>
      </c>
      <c r="E518" s="3076">
        <v>13.173</v>
      </c>
      <c r="F518" s="1407">
        <f ca="1">ROUND(系统读取表!$E$14*面积清单!C518,0)</f>
        <v>307175</v>
      </c>
    </row>
    <row r="519" spans="1:6" ht="16.5">
      <c r="A519" s="3073" t="s">
        <v>3089</v>
      </c>
      <c r="B519" s="3074" t="s">
        <v>3590</v>
      </c>
      <c r="C519" s="3077">
        <v>42.05</v>
      </c>
      <c r="D519" s="3076">
        <v>28.875</v>
      </c>
      <c r="E519" s="3076">
        <v>13.173</v>
      </c>
      <c r="F519" s="1407">
        <f ca="1">ROUND(系统读取表!$E$14*面积清单!C519,0)</f>
        <v>307175</v>
      </c>
    </row>
    <row r="520" spans="1:6" ht="16.5">
      <c r="A520" s="3073" t="s">
        <v>3089</v>
      </c>
      <c r="B520" s="3074" t="s">
        <v>3591</v>
      </c>
      <c r="C520" s="3077">
        <v>54.41</v>
      </c>
      <c r="D520" s="3076">
        <v>37.366</v>
      </c>
      <c r="E520" s="3076">
        <v>17.047000000000001</v>
      </c>
      <c r="F520" s="1407">
        <f ca="1">ROUND(系统读取表!$E$14*面积清单!C520,0)</f>
        <v>397465</v>
      </c>
    </row>
    <row r="521" spans="1:6" ht="16.5">
      <c r="A521" s="3073" t="s">
        <v>3089</v>
      </c>
      <c r="B521" s="3074" t="s">
        <v>3592</v>
      </c>
      <c r="C521" s="3077">
        <v>52.44</v>
      </c>
      <c r="D521" s="3076">
        <v>36.012999999999998</v>
      </c>
      <c r="E521" s="3076">
        <v>16.43</v>
      </c>
      <c r="F521" s="1407">
        <f ca="1">ROUND(系统读取表!$E$14*面积清单!C521,0)</f>
        <v>383074</v>
      </c>
    </row>
    <row r="522" spans="1:6" ht="16.5">
      <c r="A522" s="3073" t="s">
        <v>3089</v>
      </c>
      <c r="B522" s="3074" t="s">
        <v>3593</v>
      </c>
      <c r="C522" s="3077">
        <v>52.44</v>
      </c>
      <c r="D522" s="3076">
        <v>36.012999999999998</v>
      </c>
      <c r="E522" s="3076">
        <v>16.43</v>
      </c>
      <c r="F522" s="1407">
        <f ca="1">ROUND(系统读取表!$E$14*面积清单!C522,0)</f>
        <v>383074</v>
      </c>
    </row>
    <row r="523" spans="1:6" ht="16.5">
      <c r="A523" s="3073" t="s">
        <v>3089</v>
      </c>
      <c r="B523" s="3074" t="s">
        <v>3594</v>
      </c>
      <c r="C523" s="3077">
        <v>52.44</v>
      </c>
      <c r="D523" s="3076">
        <v>36.012999999999998</v>
      </c>
      <c r="E523" s="3076">
        <v>16.43</v>
      </c>
      <c r="F523" s="1407">
        <f ca="1">ROUND(系统读取表!$E$14*面积清单!C523,0)</f>
        <v>383074</v>
      </c>
    </row>
    <row r="524" spans="1:6" ht="16.5">
      <c r="A524" s="3073" t="s">
        <v>3089</v>
      </c>
      <c r="B524" s="3074" t="s">
        <v>3595</v>
      </c>
      <c r="C524" s="3077">
        <v>52.44</v>
      </c>
      <c r="D524" s="3076">
        <v>36.012999999999998</v>
      </c>
      <c r="E524" s="3076">
        <v>16.43</v>
      </c>
      <c r="F524" s="1407">
        <f ca="1">ROUND(系统读取表!$E$14*面积清单!C524,0)</f>
        <v>383074</v>
      </c>
    </row>
    <row r="525" spans="1:6" ht="16.5">
      <c r="A525" s="3073" t="s">
        <v>3089</v>
      </c>
      <c r="B525" s="3074" t="s">
        <v>3596</v>
      </c>
      <c r="C525" s="3077">
        <v>52.44</v>
      </c>
      <c r="D525" s="3076">
        <v>36.012999999999998</v>
      </c>
      <c r="E525" s="3076">
        <v>16.43</v>
      </c>
      <c r="F525" s="1407">
        <f ca="1">ROUND(系统读取表!$E$14*面积清单!C525,0)</f>
        <v>383074</v>
      </c>
    </row>
    <row r="526" spans="1:6" ht="16.5">
      <c r="A526" s="3073" t="s">
        <v>3089</v>
      </c>
      <c r="B526" s="3074" t="s">
        <v>3597</v>
      </c>
      <c r="C526" s="3077">
        <v>52.44</v>
      </c>
      <c r="D526" s="3076">
        <v>36.012999999999998</v>
      </c>
      <c r="E526" s="3076">
        <v>16.43</v>
      </c>
      <c r="F526" s="1407">
        <f ca="1">ROUND(系统读取表!$E$14*面积清单!C526,0)</f>
        <v>383074</v>
      </c>
    </row>
    <row r="527" spans="1:6" ht="16.5">
      <c r="A527" s="3073" t="s">
        <v>3089</v>
      </c>
      <c r="B527" s="3074" t="s">
        <v>3598</v>
      </c>
      <c r="C527" s="3077">
        <v>52.44</v>
      </c>
      <c r="D527" s="3076">
        <v>36.012999999999998</v>
      </c>
      <c r="E527" s="3076">
        <v>16.43</v>
      </c>
      <c r="F527" s="1407">
        <f ca="1">ROUND(系统读取表!$E$14*面积清单!C527,0)</f>
        <v>383074</v>
      </c>
    </row>
    <row r="528" spans="1:6" ht="16.5">
      <c r="A528" s="3073" t="s">
        <v>3089</v>
      </c>
      <c r="B528" s="3074" t="s">
        <v>3599</v>
      </c>
      <c r="C528" s="3077">
        <v>54.41</v>
      </c>
      <c r="D528" s="3076">
        <v>37.366</v>
      </c>
      <c r="E528" s="3076">
        <v>17.047000000000001</v>
      </c>
      <c r="F528" s="1407">
        <f ca="1">ROUND(系统读取表!$E$14*面积清单!C528,0)</f>
        <v>397465</v>
      </c>
    </row>
    <row r="529" spans="1:6" ht="16.5">
      <c r="A529" s="3073" t="s">
        <v>3089</v>
      </c>
      <c r="B529" s="3074" t="s">
        <v>3600</v>
      </c>
      <c r="C529" s="3077">
        <v>42.05</v>
      </c>
      <c r="D529" s="3076">
        <v>28.875</v>
      </c>
      <c r="E529" s="3076">
        <v>13.173</v>
      </c>
      <c r="F529" s="1407">
        <f ca="1">ROUND(系统读取表!$E$14*面积清单!C529,0)</f>
        <v>307175</v>
      </c>
    </row>
    <row r="530" spans="1:6" ht="16.5">
      <c r="A530" s="3073" t="s">
        <v>3089</v>
      </c>
      <c r="B530" s="3074" t="s">
        <v>3601</v>
      </c>
      <c r="C530" s="3077">
        <v>42.05</v>
      </c>
      <c r="D530" s="3076">
        <v>28.875</v>
      </c>
      <c r="E530" s="3076">
        <v>13.173</v>
      </c>
      <c r="F530" s="1407">
        <f ca="1">ROUND(系统读取表!$E$14*面积清单!C530,0)</f>
        <v>307175</v>
      </c>
    </row>
    <row r="531" spans="1:6" ht="16.5">
      <c r="A531" s="3073" t="s">
        <v>3089</v>
      </c>
      <c r="B531" s="3074" t="s">
        <v>3602</v>
      </c>
      <c r="C531" s="3077">
        <v>42.05</v>
      </c>
      <c r="D531" s="3076">
        <v>28.875</v>
      </c>
      <c r="E531" s="3076">
        <v>13.173</v>
      </c>
      <c r="F531" s="1407">
        <f ca="1">ROUND(系统读取表!$E$14*面积清单!C531,0)</f>
        <v>307175</v>
      </c>
    </row>
    <row r="532" spans="1:6" ht="16.5">
      <c r="A532" s="3073" t="s">
        <v>3089</v>
      </c>
      <c r="B532" s="3074" t="s">
        <v>3603</v>
      </c>
      <c r="C532" s="3077">
        <v>43.65</v>
      </c>
      <c r="D532" s="3076">
        <v>29.975000000000001</v>
      </c>
      <c r="E532" s="3076">
        <v>13.675000000000001</v>
      </c>
      <c r="F532" s="1407">
        <f ca="1">ROUND(系统读取表!$E$14*面积清单!C532,0)</f>
        <v>318863</v>
      </c>
    </row>
    <row r="533" spans="1:6" ht="16.5">
      <c r="A533" s="3073" t="s">
        <v>3089</v>
      </c>
      <c r="B533" s="3074" t="s">
        <v>3604</v>
      </c>
      <c r="C533" s="3077">
        <v>41.55</v>
      </c>
      <c r="D533" s="3076">
        <v>28.530999999999999</v>
      </c>
      <c r="E533" s="3076">
        <v>13.016</v>
      </c>
      <c r="F533" s="1407">
        <f ca="1">ROUND(系统读取表!$E$14*面积清单!C533,0)</f>
        <v>303523</v>
      </c>
    </row>
    <row r="534" spans="1:6" ht="16.5">
      <c r="A534" s="3073" t="s">
        <v>3089</v>
      </c>
      <c r="B534" s="3074" t="s">
        <v>3605</v>
      </c>
      <c r="C534" s="3077">
        <v>41.55</v>
      </c>
      <c r="D534" s="3076">
        <v>28.530999999999999</v>
      </c>
      <c r="E534" s="3076">
        <v>13.016</v>
      </c>
      <c r="F534" s="1407">
        <f ca="1">ROUND(系统读取表!$E$14*面积清单!C534,0)</f>
        <v>303523</v>
      </c>
    </row>
    <row r="535" spans="1:6" ht="16.5">
      <c r="A535" s="3073" t="s">
        <v>3089</v>
      </c>
      <c r="B535" s="3074" t="s">
        <v>3606</v>
      </c>
      <c r="C535" s="3077">
        <v>41.55</v>
      </c>
      <c r="D535" s="3076">
        <v>28.530999999999999</v>
      </c>
      <c r="E535" s="3076">
        <v>13.016</v>
      </c>
      <c r="F535" s="1407">
        <f ca="1">ROUND(系统读取表!$E$14*面积清单!C535,0)</f>
        <v>303523</v>
      </c>
    </row>
    <row r="536" spans="1:6" ht="16.5">
      <c r="A536" s="3073" t="s">
        <v>3089</v>
      </c>
      <c r="B536" s="3074" t="s">
        <v>3607</v>
      </c>
      <c r="C536" s="3077">
        <v>41.55</v>
      </c>
      <c r="D536" s="3076">
        <v>28.530999999999999</v>
      </c>
      <c r="E536" s="3076">
        <v>13.016</v>
      </c>
      <c r="F536" s="1407">
        <f ca="1">ROUND(系统读取表!$E$14*面积清单!C536,0)</f>
        <v>303523</v>
      </c>
    </row>
    <row r="537" spans="1:6" ht="16.5">
      <c r="A537" s="3073" t="s">
        <v>3089</v>
      </c>
      <c r="B537" s="3074" t="s">
        <v>3608</v>
      </c>
      <c r="C537" s="3077">
        <v>41.55</v>
      </c>
      <c r="D537" s="3076">
        <v>28.530999999999999</v>
      </c>
      <c r="E537" s="3076">
        <v>13.016</v>
      </c>
      <c r="F537" s="1407">
        <f ca="1">ROUND(系统读取表!$E$14*面积清单!C537,0)</f>
        <v>303523</v>
      </c>
    </row>
    <row r="538" spans="1:6" ht="16.5">
      <c r="A538" s="3073" t="s">
        <v>3089</v>
      </c>
      <c r="B538" s="3074" t="s">
        <v>3609</v>
      </c>
      <c r="C538" s="3077">
        <v>43.65</v>
      </c>
      <c r="D538" s="3076">
        <v>29.975000000000001</v>
      </c>
      <c r="E538" s="3076">
        <v>13.675000000000001</v>
      </c>
      <c r="F538" s="1407">
        <f ca="1">ROUND(系统读取表!$E$14*面积清单!C538,0)</f>
        <v>318863</v>
      </c>
    </row>
    <row r="539" spans="1:6" ht="16.5">
      <c r="A539" s="3073" t="s">
        <v>3089</v>
      </c>
      <c r="B539" s="3074" t="s">
        <v>3610</v>
      </c>
      <c r="C539" s="3077">
        <v>42.05</v>
      </c>
      <c r="D539" s="3076">
        <v>28.875</v>
      </c>
      <c r="E539" s="3076">
        <v>13.173</v>
      </c>
      <c r="F539" s="1407">
        <f ca="1">ROUND(系统读取表!$E$14*面积清单!C539,0)</f>
        <v>307175</v>
      </c>
    </row>
    <row r="540" spans="1:6" ht="16.5">
      <c r="A540" s="3073" t="s">
        <v>3089</v>
      </c>
      <c r="B540" s="3074" t="s">
        <v>3611</v>
      </c>
      <c r="C540" s="3077">
        <v>42.05</v>
      </c>
      <c r="D540" s="3076">
        <v>28.875</v>
      </c>
      <c r="E540" s="3076">
        <v>13.173</v>
      </c>
      <c r="F540" s="1407">
        <f ca="1">ROUND(系统读取表!$E$14*面积清单!C540,0)</f>
        <v>307175</v>
      </c>
    </row>
    <row r="541" spans="1:6" ht="16.5">
      <c r="A541" s="3073" t="s">
        <v>3089</v>
      </c>
      <c r="B541" s="3074" t="s">
        <v>3612</v>
      </c>
      <c r="C541" s="3077">
        <v>42.05</v>
      </c>
      <c r="D541" s="3076">
        <v>28.875</v>
      </c>
      <c r="E541" s="3076">
        <v>13.173</v>
      </c>
      <c r="F541" s="1407">
        <f ca="1">ROUND(系统读取表!$E$14*面积清单!C541,0)</f>
        <v>307175</v>
      </c>
    </row>
    <row r="542" spans="1:6" ht="16.5">
      <c r="A542" s="3073" t="s">
        <v>3089</v>
      </c>
      <c r="B542" s="3074" t="s">
        <v>3613</v>
      </c>
      <c r="C542" s="3077">
        <v>54.41</v>
      </c>
      <c r="D542" s="3076">
        <v>37.366</v>
      </c>
      <c r="E542" s="3076">
        <v>17.047000000000001</v>
      </c>
      <c r="F542" s="1407">
        <f ca="1">ROUND(系统读取表!$E$14*面积清单!C542,0)</f>
        <v>397465</v>
      </c>
    </row>
    <row r="543" spans="1:6" ht="16.5">
      <c r="A543" s="3073" t="s">
        <v>3089</v>
      </c>
      <c r="B543" s="3074" t="s">
        <v>3614</v>
      </c>
      <c r="C543" s="3077">
        <v>52.44</v>
      </c>
      <c r="D543" s="3076">
        <v>36.012999999999998</v>
      </c>
      <c r="E543" s="3076">
        <v>16.43</v>
      </c>
      <c r="F543" s="1407">
        <f ca="1">ROUND(系统读取表!$E$14*面积清单!C543,0)</f>
        <v>383074</v>
      </c>
    </row>
    <row r="544" spans="1:6" ht="16.5">
      <c r="A544" s="3073" t="s">
        <v>3089</v>
      </c>
      <c r="B544" s="3074" t="s">
        <v>3615</v>
      </c>
      <c r="C544" s="3077">
        <v>52.44</v>
      </c>
      <c r="D544" s="3076">
        <v>36.012999999999998</v>
      </c>
      <c r="E544" s="3076">
        <v>16.43</v>
      </c>
      <c r="F544" s="1407">
        <f ca="1">ROUND(系统读取表!$E$14*面积清单!C544,0)</f>
        <v>383074</v>
      </c>
    </row>
    <row r="545" spans="1:6" ht="16.5">
      <c r="A545" s="3073" t="s">
        <v>3089</v>
      </c>
      <c r="B545" s="3074" t="s">
        <v>3616</v>
      </c>
      <c r="C545" s="3077">
        <v>52.44</v>
      </c>
      <c r="D545" s="3076">
        <v>36.012999999999998</v>
      </c>
      <c r="E545" s="3076">
        <v>16.43</v>
      </c>
      <c r="F545" s="1407">
        <f ca="1">ROUND(系统读取表!$E$14*面积清单!C545,0)</f>
        <v>383074</v>
      </c>
    </row>
    <row r="546" spans="1:6" ht="16.5">
      <c r="A546" s="3073" t="s">
        <v>3089</v>
      </c>
      <c r="B546" s="3074" t="s">
        <v>3617</v>
      </c>
      <c r="C546" s="3077">
        <v>52.44</v>
      </c>
      <c r="D546" s="3076">
        <v>36.012999999999998</v>
      </c>
      <c r="E546" s="3076">
        <v>16.43</v>
      </c>
      <c r="F546" s="1407">
        <f ca="1">ROUND(系统读取表!$E$14*面积清单!C546,0)</f>
        <v>383074</v>
      </c>
    </row>
    <row r="547" spans="1:6" ht="16.5">
      <c r="A547" s="3073" t="s">
        <v>3089</v>
      </c>
      <c r="B547" s="3074" t="s">
        <v>3618</v>
      </c>
      <c r="C547" s="3077">
        <v>52.44</v>
      </c>
      <c r="D547" s="3076">
        <v>36.012999999999998</v>
      </c>
      <c r="E547" s="3076">
        <v>16.43</v>
      </c>
      <c r="F547" s="1407">
        <f ca="1">ROUND(系统读取表!$E$14*面积清单!C547,0)</f>
        <v>383074</v>
      </c>
    </row>
    <row r="548" spans="1:6" ht="16.5">
      <c r="A548" s="3073" t="s">
        <v>3089</v>
      </c>
      <c r="B548" s="3074" t="s">
        <v>3619</v>
      </c>
      <c r="C548" s="3077">
        <v>52.44</v>
      </c>
      <c r="D548" s="3076">
        <v>36.012999999999998</v>
      </c>
      <c r="E548" s="3076">
        <v>16.43</v>
      </c>
      <c r="F548" s="1407">
        <f ca="1">ROUND(系统读取表!$E$14*面积清单!C548,0)</f>
        <v>383074</v>
      </c>
    </row>
    <row r="549" spans="1:6" ht="16.5">
      <c r="A549" s="3073" t="s">
        <v>3089</v>
      </c>
      <c r="B549" s="3074" t="s">
        <v>3620</v>
      </c>
      <c r="C549" s="3077">
        <v>52.44</v>
      </c>
      <c r="D549" s="3076">
        <v>36.012999999999998</v>
      </c>
      <c r="E549" s="3076">
        <v>16.43</v>
      </c>
      <c r="F549" s="1407">
        <f ca="1">ROUND(系统读取表!$E$14*面积清单!C549,0)</f>
        <v>383074</v>
      </c>
    </row>
    <row r="550" spans="1:6" ht="16.5">
      <c r="A550" s="3073" t="s">
        <v>3089</v>
      </c>
      <c r="B550" s="3074" t="s">
        <v>3621</v>
      </c>
      <c r="C550" s="3077">
        <v>54.41</v>
      </c>
      <c r="D550" s="3076">
        <v>37.366</v>
      </c>
      <c r="E550" s="3076">
        <v>17.047000000000001</v>
      </c>
      <c r="F550" s="1407">
        <f ca="1">ROUND(系统读取表!$E$14*面积清单!C550,0)</f>
        <v>397465</v>
      </c>
    </row>
    <row r="551" spans="1:6" ht="16.5">
      <c r="A551" s="3073" t="s">
        <v>3089</v>
      </c>
      <c r="B551" s="3074" t="s">
        <v>3622</v>
      </c>
      <c r="C551" s="3077">
        <v>42.05</v>
      </c>
      <c r="D551" s="3076">
        <v>28.875</v>
      </c>
      <c r="E551" s="3076">
        <v>13.173</v>
      </c>
      <c r="F551" s="1407">
        <f ca="1">ROUND(系统读取表!$E$14*面积清单!C551,0)</f>
        <v>307175</v>
      </c>
    </row>
    <row r="552" spans="1:6" ht="16.5">
      <c r="A552" s="3073" t="s">
        <v>3089</v>
      </c>
      <c r="B552" s="3074" t="s">
        <v>3623</v>
      </c>
      <c r="C552" s="3077">
        <v>42.05</v>
      </c>
      <c r="D552" s="3076">
        <v>28.875</v>
      </c>
      <c r="E552" s="3076">
        <v>13.173</v>
      </c>
      <c r="F552" s="1407">
        <f ca="1">ROUND(系统读取表!$E$14*面积清单!C552,0)</f>
        <v>307175</v>
      </c>
    </row>
    <row r="553" spans="1:6" ht="16.5">
      <c r="A553" s="3073" t="s">
        <v>3089</v>
      </c>
      <c r="B553" s="3074" t="s">
        <v>3624</v>
      </c>
      <c r="C553" s="3077">
        <v>42.05</v>
      </c>
      <c r="D553" s="3076">
        <v>28.875</v>
      </c>
      <c r="E553" s="3076">
        <v>13.173</v>
      </c>
      <c r="F553" s="1407">
        <f ca="1">ROUND(系统读取表!$E$14*面积清单!C553,0)</f>
        <v>307175</v>
      </c>
    </row>
    <row r="554" spans="1:6" ht="16.5">
      <c r="A554" s="3073" t="s">
        <v>3089</v>
      </c>
      <c r="B554" s="3074" t="s">
        <v>3625</v>
      </c>
      <c r="C554" s="3077">
        <v>43.65</v>
      </c>
      <c r="D554" s="3076">
        <v>29.975000000000001</v>
      </c>
      <c r="E554" s="3076">
        <v>13.675000000000001</v>
      </c>
      <c r="F554" s="1407">
        <f ca="1">ROUND(系统读取表!$E$14*面积清单!C554,0)</f>
        <v>318863</v>
      </c>
    </row>
    <row r="555" spans="1:6" ht="16.5">
      <c r="A555" s="3073" t="s">
        <v>3089</v>
      </c>
      <c r="B555" s="3074" t="s">
        <v>3626</v>
      </c>
      <c r="C555" s="3077">
        <v>41.55</v>
      </c>
      <c r="D555" s="3076">
        <v>28.530999999999999</v>
      </c>
      <c r="E555" s="3076">
        <v>13.016</v>
      </c>
      <c r="F555" s="1407">
        <f ca="1">ROUND(系统读取表!$E$14*面积清单!C555,0)</f>
        <v>303523</v>
      </c>
    </row>
    <row r="556" spans="1:6" ht="16.5">
      <c r="A556" s="3073" t="s">
        <v>3089</v>
      </c>
      <c r="B556" s="3074" t="s">
        <v>3627</v>
      </c>
      <c r="C556" s="3077">
        <v>41.55</v>
      </c>
      <c r="D556" s="3076">
        <v>28.530999999999999</v>
      </c>
      <c r="E556" s="3076">
        <v>13.016</v>
      </c>
      <c r="F556" s="1407">
        <f ca="1">ROUND(系统读取表!$E$14*面积清单!C556,0)</f>
        <v>303523</v>
      </c>
    </row>
    <row r="557" spans="1:6" ht="16.5">
      <c r="A557" s="3073" t="s">
        <v>3089</v>
      </c>
      <c r="B557" s="3074" t="s">
        <v>3628</v>
      </c>
      <c r="C557" s="3077">
        <v>41.55</v>
      </c>
      <c r="D557" s="3076">
        <v>28.530999999999999</v>
      </c>
      <c r="E557" s="3076">
        <v>13.016</v>
      </c>
      <c r="F557" s="1407">
        <f ca="1">ROUND(系统读取表!$E$14*面积清单!C557,0)</f>
        <v>303523</v>
      </c>
    </row>
    <row r="558" spans="1:6" ht="16.5">
      <c r="A558" s="3073" t="s">
        <v>3089</v>
      </c>
      <c r="B558" s="3074" t="s">
        <v>3629</v>
      </c>
      <c r="C558" s="3077">
        <v>41.55</v>
      </c>
      <c r="D558" s="3076">
        <v>28.530999999999999</v>
      </c>
      <c r="E558" s="3076">
        <v>13.016</v>
      </c>
      <c r="F558" s="1407">
        <f ca="1">ROUND(系统读取表!$E$14*面积清单!C558,0)</f>
        <v>303523</v>
      </c>
    </row>
    <row r="559" spans="1:6" ht="16.5">
      <c r="A559" s="3073" t="s">
        <v>3089</v>
      </c>
      <c r="B559" s="3074" t="s">
        <v>3630</v>
      </c>
      <c r="C559" s="3077">
        <v>41.55</v>
      </c>
      <c r="D559" s="3076">
        <v>28.530999999999999</v>
      </c>
      <c r="E559" s="3076">
        <v>13.016</v>
      </c>
      <c r="F559" s="1407">
        <f ca="1">ROUND(系统读取表!$E$14*面积清单!C559,0)</f>
        <v>303523</v>
      </c>
    </row>
    <row r="560" spans="1:6" ht="16.5">
      <c r="A560" s="3073" t="s">
        <v>3089</v>
      </c>
      <c r="B560" s="3074" t="s">
        <v>3631</v>
      </c>
      <c r="C560" s="3077">
        <v>43.65</v>
      </c>
      <c r="D560" s="3076">
        <v>29.975000000000001</v>
      </c>
      <c r="E560" s="3076">
        <v>13.675000000000001</v>
      </c>
      <c r="F560" s="1407">
        <f ca="1">ROUND(系统读取表!$E$14*面积清单!C560,0)</f>
        <v>318863</v>
      </c>
    </row>
    <row r="561" spans="1:6" ht="16.5">
      <c r="A561" s="3073" t="s">
        <v>3089</v>
      </c>
      <c r="B561" s="3074" t="s">
        <v>3632</v>
      </c>
      <c r="C561" s="3077">
        <v>42.05</v>
      </c>
      <c r="D561" s="3076">
        <v>28.875</v>
      </c>
      <c r="E561" s="3076">
        <v>13.173</v>
      </c>
      <c r="F561" s="1407">
        <f ca="1">ROUND(系统读取表!$E$14*面积清单!C561,0)</f>
        <v>307175</v>
      </c>
    </row>
    <row r="562" spans="1:6" ht="16.5">
      <c r="A562" s="3073" t="s">
        <v>3089</v>
      </c>
      <c r="B562" s="3074" t="s">
        <v>3633</v>
      </c>
      <c r="C562" s="3077">
        <v>42.05</v>
      </c>
      <c r="D562" s="3076">
        <v>28.875</v>
      </c>
      <c r="E562" s="3076">
        <v>13.173</v>
      </c>
      <c r="F562" s="1407">
        <f ca="1">ROUND(系统读取表!$E$14*面积清单!C562,0)</f>
        <v>307175</v>
      </c>
    </row>
    <row r="563" spans="1:6" ht="16.5">
      <c r="A563" s="3073" t="s">
        <v>3089</v>
      </c>
      <c r="B563" s="3074" t="s">
        <v>3634</v>
      </c>
      <c r="C563" s="3077">
        <v>42.05</v>
      </c>
      <c r="D563" s="3076">
        <v>28.875</v>
      </c>
      <c r="E563" s="3076">
        <v>13.173</v>
      </c>
      <c r="F563" s="1407">
        <f ca="1">ROUND(系统读取表!$E$14*面积清单!C563,0)</f>
        <v>307175</v>
      </c>
    </row>
    <row r="564" spans="1:6" ht="16.5">
      <c r="A564" s="3073" t="s">
        <v>3089</v>
      </c>
      <c r="B564" s="3074" t="s">
        <v>3635</v>
      </c>
      <c r="C564" s="3077">
        <v>54.41</v>
      </c>
      <c r="D564" s="3076">
        <v>37.366</v>
      </c>
      <c r="E564" s="3076">
        <v>17.047000000000001</v>
      </c>
      <c r="F564" s="1407">
        <f ca="1">ROUND(系统读取表!$E$14*面积清单!C564,0)</f>
        <v>397465</v>
      </c>
    </row>
    <row r="565" spans="1:6" ht="16.5">
      <c r="A565" s="3073" t="s">
        <v>3089</v>
      </c>
      <c r="B565" s="3074" t="s">
        <v>3636</v>
      </c>
      <c r="C565" s="3077">
        <v>52.44</v>
      </c>
      <c r="D565" s="3076">
        <v>36.012999999999998</v>
      </c>
      <c r="E565" s="3076">
        <v>16.43</v>
      </c>
      <c r="F565" s="1407">
        <f ca="1">ROUND(系统读取表!$E$14*面积清单!C565,0)</f>
        <v>383074</v>
      </c>
    </row>
    <row r="566" spans="1:6" ht="16.5">
      <c r="A566" s="3073" t="s">
        <v>3089</v>
      </c>
      <c r="B566" s="3074" t="s">
        <v>3637</v>
      </c>
      <c r="C566" s="3077">
        <v>52.44</v>
      </c>
      <c r="D566" s="3076">
        <v>36.012999999999998</v>
      </c>
      <c r="E566" s="3076">
        <v>16.43</v>
      </c>
      <c r="F566" s="1407">
        <f ca="1">ROUND(系统读取表!$E$14*面积清单!C566,0)</f>
        <v>383074</v>
      </c>
    </row>
    <row r="567" spans="1:6" ht="16.5">
      <c r="A567" s="3073" t="s">
        <v>3089</v>
      </c>
      <c r="B567" s="3074" t="s">
        <v>3638</v>
      </c>
      <c r="C567" s="3077">
        <v>52.44</v>
      </c>
      <c r="D567" s="3076">
        <v>36.012999999999998</v>
      </c>
      <c r="E567" s="3076">
        <v>16.43</v>
      </c>
      <c r="F567" s="1407">
        <f ca="1">ROUND(系统读取表!$E$14*面积清单!C567,0)</f>
        <v>383074</v>
      </c>
    </row>
    <row r="568" spans="1:6" ht="16.5">
      <c r="A568" s="3073" t="s">
        <v>3089</v>
      </c>
      <c r="B568" s="3074" t="s">
        <v>3639</v>
      </c>
      <c r="C568" s="3077">
        <v>52.44</v>
      </c>
      <c r="D568" s="3076">
        <v>36.012999999999998</v>
      </c>
      <c r="E568" s="3076">
        <v>16.43</v>
      </c>
      <c r="F568" s="1407">
        <f ca="1">ROUND(系统读取表!$E$14*面积清单!C568,0)</f>
        <v>383074</v>
      </c>
    </row>
    <row r="569" spans="1:6" ht="16.5">
      <c r="A569" s="3073" t="s">
        <v>3089</v>
      </c>
      <c r="B569" s="3074" t="s">
        <v>3640</v>
      </c>
      <c r="C569" s="3077">
        <v>52.44</v>
      </c>
      <c r="D569" s="3076">
        <v>36.012999999999998</v>
      </c>
      <c r="E569" s="3076">
        <v>16.43</v>
      </c>
      <c r="F569" s="1407">
        <f ca="1">ROUND(系统读取表!$E$14*面积清单!C569,0)</f>
        <v>383074</v>
      </c>
    </row>
    <row r="570" spans="1:6" ht="16.5">
      <c r="A570" s="3073" t="s">
        <v>3089</v>
      </c>
      <c r="B570" s="3074" t="s">
        <v>3641</v>
      </c>
      <c r="C570" s="3077">
        <v>52.44</v>
      </c>
      <c r="D570" s="3076">
        <v>36.012999999999998</v>
      </c>
      <c r="E570" s="3076">
        <v>16.43</v>
      </c>
      <c r="F570" s="1407">
        <f ca="1">ROUND(系统读取表!$E$14*面积清单!C570,0)</f>
        <v>383074</v>
      </c>
    </row>
    <row r="571" spans="1:6" ht="16.5">
      <c r="A571" s="3073" t="s">
        <v>3089</v>
      </c>
      <c r="B571" s="3074" t="s">
        <v>3642</v>
      </c>
      <c r="C571" s="3077">
        <v>52.44</v>
      </c>
      <c r="D571" s="3076">
        <v>36.012999999999998</v>
      </c>
      <c r="E571" s="3076">
        <v>16.43</v>
      </c>
      <c r="F571" s="1407">
        <f ca="1">ROUND(系统读取表!$E$14*面积清单!C571,0)</f>
        <v>383074</v>
      </c>
    </row>
    <row r="572" spans="1:6" ht="16.5">
      <c r="A572" s="3073" t="s">
        <v>3089</v>
      </c>
      <c r="B572" s="3074" t="s">
        <v>3643</v>
      </c>
      <c r="C572" s="3077">
        <v>54.41</v>
      </c>
      <c r="D572" s="3076">
        <v>37.366</v>
      </c>
      <c r="E572" s="3076">
        <v>17.047000000000001</v>
      </c>
      <c r="F572" s="1407">
        <f ca="1">ROUND(系统读取表!$E$14*面积清单!C572,0)</f>
        <v>397465</v>
      </c>
    </row>
    <row r="573" spans="1:6" ht="16.5">
      <c r="A573" s="3073" t="s">
        <v>3089</v>
      </c>
      <c r="B573" s="3074" t="s">
        <v>3644</v>
      </c>
      <c r="C573" s="3077">
        <v>42.05</v>
      </c>
      <c r="D573" s="3076">
        <v>28.875</v>
      </c>
      <c r="E573" s="3076">
        <v>13.173</v>
      </c>
      <c r="F573" s="1407">
        <f ca="1">ROUND(系统读取表!$E$14*面积清单!C573,0)</f>
        <v>307175</v>
      </c>
    </row>
    <row r="574" spans="1:6" ht="16.5">
      <c r="A574" s="3073" t="s">
        <v>3089</v>
      </c>
      <c r="B574" s="3074" t="s">
        <v>3645</v>
      </c>
      <c r="C574" s="3077">
        <v>42.05</v>
      </c>
      <c r="D574" s="3076">
        <v>28.875</v>
      </c>
      <c r="E574" s="3076">
        <v>13.173</v>
      </c>
      <c r="F574" s="1407">
        <f ca="1">ROUND(系统读取表!$E$14*面积清单!C574,0)</f>
        <v>307175</v>
      </c>
    </row>
    <row r="575" spans="1:6" ht="16.5">
      <c r="A575" s="3073" t="s">
        <v>3089</v>
      </c>
      <c r="B575" s="3074" t="s">
        <v>3646</v>
      </c>
      <c r="C575" s="3077">
        <v>42.05</v>
      </c>
      <c r="D575" s="3076">
        <v>28.875</v>
      </c>
      <c r="E575" s="3076">
        <v>13.173</v>
      </c>
      <c r="F575" s="1407">
        <f ca="1">ROUND(系统读取表!$E$14*面积清单!C575,0)</f>
        <v>307175</v>
      </c>
    </row>
    <row r="576" spans="1:6" ht="16.5">
      <c r="A576" s="3073" t="s">
        <v>3089</v>
      </c>
      <c r="B576" s="3074" t="s">
        <v>3647</v>
      </c>
      <c r="C576" s="3077">
        <v>43.65</v>
      </c>
      <c r="D576" s="3076">
        <v>29.975000000000001</v>
      </c>
      <c r="E576" s="3076">
        <v>13.675000000000001</v>
      </c>
      <c r="F576" s="1407">
        <f ca="1">ROUND(系统读取表!$E$14*面积清单!C576,0)</f>
        <v>318863</v>
      </c>
    </row>
    <row r="577" spans="1:6" ht="16.5">
      <c r="A577" s="3073" t="s">
        <v>3089</v>
      </c>
      <c r="B577" s="3074" t="s">
        <v>3648</v>
      </c>
      <c r="C577" s="3077">
        <v>41.55</v>
      </c>
      <c r="D577" s="3076">
        <v>28.530999999999999</v>
      </c>
      <c r="E577" s="3076">
        <v>13.016</v>
      </c>
      <c r="F577" s="1407">
        <f ca="1">ROUND(系统读取表!$E$14*面积清单!C577,0)</f>
        <v>303523</v>
      </c>
    </row>
    <row r="578" spans="1:6" ht="16.5">
      <c r="A578" s="3073" t="s">
        <v>3089</v>
      </c>
      <c r="B578" s="3074" t="s">
        <v>3649</v>
      </c>
      <c r="C578" s="3077">
        <v>41.55</v>
      </c>
      <c r="D578" s="3076">
        <v>28.530999999999999</v>
      </c>
      <c r="E578" s="3076">
        <v>13.016</v>
      </c>
      <c r="F578" s="1407">
        <f ca="1">ROUND(系统读取表!$E$14*面积清单!C578,0)</f>
        <v>303523</v>
      </c>
    </row>
    <row r="579" spans="1:6" ht="16.5">
      <c r="A579" s="3073" t="s">
        <v>3089</v>
      </c>
      <c r="B579" s="3074" t="s">
        <v>3650</v>
      </c>
      <c r="C579" s="3077">
        <v>41.55</v>
      </c>
      <c r="D579" s="3076">
        <v>28.530999999999999</v>
      </c>
      <c r="E579" s="3076">
        <v>13.016</v>
      </c>
      <c r="F579" s="1407">
        <f ca="1">ROUND(系统读取表!$E$14*面积清单!C579,0)</f>
        <v>303523</v>
      </c>
    </row>
    <row r="580" spans="1:6" ht="16.5">
      <c r="A580" s="3073" t="s">
        <v>3089</v>
      </c>
      <c r="B580" s="3074" t="s">
        <v>3651</v>
      </c>
      <c r="C580" s="3077">
        <v>41.55</v>
      </c>
      <c r="D580" s="3076">
        <v>28.530999999999999</v>
      </c>
      <c r="E580" s="3076">
        <v>13.016</v>
      </c>
      <c r="F580" s="1407">
        <f ca="1">ROUND(系统读取表!$E$14*面积清单!C580,0)</f>
        <v>303523</v>
      </c>
    </row>
    <row r="581" spans="1:6" ht="16.5">
      <c r="A581" s="3073" t="s">
        <v>3089</v>
      </c>
      <c r="B581" s="3074" t="s">
        <v>3652</v>
      </c>
      <c r="C581" s="3077">
        <v>41.55</v>
      </c>
      <c r="D581" s="3076">
        <v>28.530999999999999</v>
      </c>
      <c r="E581" s="3076">
        <v>13.016</v>
      </c>
      <c r="F581" s="1407">
        <f ca="1">ROUND(系统读取表!$E$14*面积清单!C581,0)</f>
        <v>303523</v>
      </c>
    </row>
    <row r="582" spans="1:6" ht="16.5">
      <c r="A582" s="3073" t="s">
        <v>3089</v>
      </c>
      <c r="B582" s="3074" t="s">
        <v>3653</v>
      </c>
      <c r="C582" s="3077">
        <v>43.65</v>
      </c>
      <c r="D582" s="3076">
        <v>29.975000000000001</v>
      </c>
      <c r="E582" s="3076">
        <v>13.675000000000001</v>
      </c>
      <c r="F582" s="1407">
        <f ca="1">ROUND(系统读取表!$E$14*面积清单!C582,0)</f>
        <v>318863</v>
      </c>
    </row>
    <row r="583" spans="1:6" ht="16.5">
      <c r="A583" s="3073" t="s">
        <v>3089</v>
      </c>
      <c r="B583" s="3074" t="s">
        <v>3654</v>
      </c>
      <c r="C583" s="3077">
        <v>42.05</v>
      </c>
      <c r="D583" s="3076">
        <v>28.875</v>
      </c>
      <c r="E583" s="3076">
        <v>13.173</v>
      </c>
      <c r="F583" s="1407">
        <f ca="1">ROUND(系统读取表!$E$14*面积清单!C583,0)</f>
        <v>307175</v>
      </c>
    </row>
    <row r="584" spans="1:6" ht="16.5">
      <c r="A584" s="3073" t="s">
        <v>3089</v>
      </c>
      <c r="B584" s="3074" t="s">
        <v>3655</v>
      </c>
      <c r="C584" s="3077">
        <v>42.05</v>
      </c>
      <c r="D584" s="3076">
        <v>28.875</v>
      </c>
      <c r="E584" s="3076">
        <v>13.173</v>
      </c>
      <c r="F584" s="1407">
        <f ca="1">ROUND(系统读取表!$E$14*面积清单!C584,0)</f>
        <v>307175</v>
      </c>
    </row>
    <row r="585" spans="1:6" ht="16.5">
      <c r="A585" s="3073" t="s">
        <v>3089</v>
      </c>
      <c r="B585" s="3074" t="s">
        <v>3656</v>
      </c>
      <c r="C585" s="3077">
        <v>42.05</v>
      </c>
      <c r="D585" s="3076">
        <v>28.875</v>
      </c>
      <c r="E585" s="3076">
        <v>13.173</v>
      </c>
      <c r="F585" s="1407">
        <f ca="1">ROUND(系统读取表!$E$14*面积清单!C585,0)</f>
        <v>307175</v>
      </c>
    </row>
    <row r="586" spans="1:6" ht="16.5">
      <c r="A586" s="3073" t="s">
        <v>3089</v>
      </c>
      <c r="B586" s="3074" t="s">
        <v>3657</v>
      </c>
      <c r="C586" s="3077">
        <v>54.41</v>
      </c>
      <c r="D586" s="3076">
        <v>37.366</v>
      </c>
      <c r="E586" s="3076">
        <v>17.047000000000001</v>
      </c>
      <c r="F586" s="1407">
        <f ca="1">ROUND(系统读取表!$E$14*面积清单!C586,0)</f>
        <v>397465</v>
      </c>
    </row>
    <row r="587" spans="1:6" ht="16.5">
      <c r="A587" s="3073" t="s">
        <v>3089</v>
      </c>
      <c r="B587" s="3074" t="s">
        <v>3658</v>
      </c>
      <c r="C587" s="3077">
        <v>52.44</v>
      </c>
      <c r="D587" s="3076">
        <v>36.012999999999998</v>
      </c>
      <c r="E587" s="3076">
        <v>16.43</v>
      </c>
      <c r="F587" s="1407">
        <f ca="1">ROUND(系统读取表!$E$14*面积清单!C587,0)</f>
        <v>383074</v>
      </c>
    </row>
    <row r="588" spans="1:6" ht="16.5">
      <c r="A588" s="3073" t="s">
        <v>3089</v>
      </c>
      <c r="B588" s="3074" t="s">
        <v>3659</v>
      </c>
      <c r="C588" s="3077">
        <v>52.44</v>
      </c>
      <c r="D588" s="3076">
        <v>36.012999999999998</v>
      </c>
      <c r="E588" s="3076">
        <v>16.43</v>
      </c>
      <c r="F588" s="1407">
        <f ca="1">ROUND(系统读取表!$E$14*面积清单!C588,0)</f>
        <v>383074</v>
      </c>
    </row>
    <row r="589" spans="1:6" ht="16.5">
      <c r="A589" s="3073" t="s">
        <v>3089</v>
      </c>
      <c r="B589" s="3074" t="s">
        <v>3660</v>
      </c>
      <c r="C589" s="3077">
        <v>52.44</v>
      </c>
      <c r="D589" s="3076">
        <v>36.012999999999998</v>
      </c>
      <c r="E589" s="3076">
        <v>16.43</v>
      </c>
      <c r="F589" s="1407">
        <f ca="1">ROUND(系统读取表!$E$14*面积清单!C589,0)</f>
        <v>383074</v>
      </c>
    </row>
    <row r="590" spans="1:6" ht="16.5">
      <c r="A590" s="3073" t="s">
        <v>3089</v>
      </c>
      <c r="B590" s="3074" t="s">
        <v>3661</v>
      </c>
      <c r="C590" s="3077">
        <v>52.44</v>
      </c>
      <c r="D590" s="3076">
        <v>36.012999999999998</v>
      </c>
      <c r="E590" s="3076">
        <v>16.43</v>
      </c>
      <c r="F590" s="1407">
        <f ca="1">ROUND(系统读取表!$E$14*面积清单!C590,0)</f>
        <v>383074</v>
      </c>
    </row>
    <row r="591" spans="1:6" ht="16.5">
      <c r="A591" s="3073" t="s">
        <v>3089</v>
      </c>
      <c r="B591" s="3074" t="s">
        <v>3662</v>
      </c>
      <c r="C591" s="3077">
        <v>52.44</v>
      </c>
      <c r="D591" s="3076">
        <v>36.012999999999998</v>
      </c>
      <c r="E591" s="3076">
        <v>16.43</v>
      </c>
      <c r="F591" s="1407">
        <f ca="1">ROUND(系统读取表!$E$14*面积清单!C591,0)</f>
        <v>383074</v>
      </c>
    </row>
    <row r="592" spans="1:6" ht="16.5">
      <c r="A592" s="3073" t="s">
        <v>3089</v>
      </c>
      <c r="B592" s="3074" t="s">
        <v>3663</v>
      </c>
      <c r="C592" s="3077">
        <v>52.44</v>
      </c>
      <c r="D592" s="3076">
        <v>36.012999999999998</v>
      </c>
      <c r="E592" s="3076">
        <v>16.43</v>
      </c>
      <c r="F592" s="1407">
        <f ca="1">ROUND(系统读取表!$E$14*面积清单!C592,0)</f>
        <v>383074</v>
      </c>
    </row>
    <row r="593" spans="1:6" ht="16.5">
      <c r="A593" s="3073" t="s">
        <v>3089</v>
      </c>
      <c r="B593" s="3074" t="s">
        <v>3664</v>
      </c>
      <c r="C593" s="3077">
        <v>52.44</v>
      </c>
      <c r="D593" s="3076">
        <v>36.012999999999998</v>
      </c>
      <c r="E593" s="3076">
        <v>16.43</v>
      </c>
      <c r="F593" s="1407">
        <f ca="1">ROUND(系统读取表!$E$14*面积清单!C593,0)</f>
        <v>383074</v>
      </c>
    </row>
    <row r="594" spans="1:6" ht="16.5">
      <c r="A594" s="3073" t="s">
        <v>3089</v>
      </c>
      <c r="B594" s="3074" t="s">
        <v>3665</v>
      </c>
      <c r="C594" s="3077">
        <v>54.41</v>
      </c>
      <c r="D594" s="3076">
        <v>37.366</v>
      </c>
      <c r="E594" s="3076">
        <v>17.047000000000001</v>
      </c>
      <c r="F594" s="1407">
        <f ca="1">ROUND(系统读取表!$E$14*面积清单!C594,0)</f>
        <v>397465</v>
      </c>
    </row>
    <row r="595" spans="1:6" ht="16.5">
      <c r="A595" s="3073" t="s">
        <v>3089</v>
      </c>
      <c r="B595" s="3074" t="s">
        <v>3666</v>
      </c>
      <c r="C595" s="3077">
        <v>42.05</v>
      </c>
      <c r="D595" s="3076">
        <v>28.875</v>
      </c>
      <c r="E595" s="3076">
        <v>13.173</v>
      </c>
      <c r="F595" s="1407">
        <f ca="1">ROUND(系统读取表!$E$14*面积清单!C595,0)</f>
        <v>307175</v>
      </c>
    </row>
    <row r="596" spans="1:6" ht="16.5">
      <c r="A596" s="3073" t="s">
        <v>3089</v>
      </c>
      <c r="B596" s="3074" t="s">
        <v>3667</v>
      </c>
      <c r="C596" s="3077">
        <v>42.05</v>
      </c>
      <c r="D596" s="3076">
        <v>28.875</v>
      </c>
      <c r="E596" s="3076">
        <v>13.173</v>
      </c>
      <c r="F596" s="1407">
        <f ca="1">ROUND(系统读取表!$E$14*面积清单!C596,0)</f>
        <v>307175</v>
      </c>
    </row>
    <row r="597" spans="1:6" ht="16.5">
      <c r="A597" s="3073" t="s">
        <v>3089</v>
      </c>
      <c r="B597" s="3074" t="s">
        <v>3668</v>
      </c>
      <c r="C597" s="3077">
        <v>42.05</v>
      </c>
      <c r="D597" s="3076">
        <v>28.875</v>
      </c>
      <c r="E597" s="3076">
        <v>13.173</v>
      </c>
      <c r="F597" s="1407">
        <f ca="1">ROUND(系统读取表!$E$14*面积清单!C597,0)</f>
        <v>307175</v>
      </c>
    </row>
    <row r="598" spans="1:6" ht="16.5">
      <c r="A598" s="3073" t="s">
        <v>3089</v>
      </c>
      <c r="B598" s="3074" t="s">
        <v>3669</v>
      </c>
      <c r="C598" s="3077">
        <v>43.65</v>
      </c>
      <c r="D598" s="3076">
        <v>29.975000000000001</v>
      </c>
      <c r="E598" s="3076">
        <v>13.675000000000001</v>
      </c>
      <c r="F598" s="1407">
        <f ca="1">ROUND(系统读取表!$E$14*面积清单!C598,0)</f>
        <v>318863</v>
      </c>
    </row>
    <row r="599" spans="1:6" ht="16.5">
      <c r="A599" s="3073" t="s">
        <v>3089</v>
      </c>
      <c r="B599" s="3074" t="s">
        <v>3670</v>
      </c>
      <c r="C599" s="3077">
        <v>41.55</v>
      </c>
      <c r="D599" s="3076">
        <v>28.530999999999999</v>
      </c>
      <c r="E599" s="3076">
        <v>13.016</v>
      </c>
      <c r="F599" s="1407">
        <f ca="1">ROUND(系统读取表!$E$14*面积清单!C599,0)</f>
        <v>303523</v>
      </c>
    </row>
    <row r="600" spans="1:6" ht="16.5">
      <c r="A600" s="3073" t="s">
        <v>3089</v>
      </c>
      <c r="B600" s="3074" t="s">
        <v>3671</v>
      </c>
      <c r="C600" s="3077">
        <v>41.55</v>
      </c>
      <c r="D600" s="3076">
        <v>28.530999999999999</v>
      </c>
      <c r="E600" s="3076">
        <v>13.016</v>
      </c>
      <c r="F600" s="1407">
        <f ca="1">ROUND(系统读取表!$E$14*面积清单!C600,0)</f>
        <v>303523</v>
      </c>
    </row>
    <row r="601" spans="1:6" ht="16.5">
      <c r="A601" s="3073" t="s">
        <v>3089</v>
      </c>
      <c r="B601" s="3074" t="s">
        <v>3672</v>
      </c>
      <c r="C601" s="3077">
        <v>41.55</v>
      </c>
      <c r="D601" s="3076">
        <v>28.530999999999999</v>
      </c>
      <c r="E601" s="3076">
        <v>13.016</v>
      </c>
      <c r="F601" s="1407">
        <f ca="1">ROUND(系统读取表!$E$14*面积清单!C601,0)</f>
        <v>303523</v>
      </c>
    </row>
    <row r="602" spans="1:6" ht="16.5">
      <c r="A602" s="3073" t="s">
        <v>3089</v>
      </c>
      <c r="B602" s="3074" t="s">
        <v>3673</v>
      </c>
      <c r="C602" s="3077">
        <v>41.55</v>
      </c>
      <c r="D602" s="3076">
        <v>28.530999999999999</v>
      </c>
      <c r="E602" s="3076">
        <v>13.016</v>
      </c>
      <c r="F602" s="1407">
        <f ca="1">ROUND(系统读取表!$E$14*面积清单!C602,0)</f>
        <v>303523</v>
      </c>
    </row>
    <row r="603" spans="1:6" ht="16.5">
      <c r="A603" s="3073" t="s">
        <v>3089</v>
      </c>
      <c r="B603" s="3074" t="s">
        <v>3674</v>
      </c>
      <c r="C603" s="3077">
        <v>41.55</v>
      </c>
      <c r="D603" s="3076">
        <v>28.530999999999999</v>
      </c>
      <c r="E603" s="3076">
        <v>13.016</v>
      </c>
      <c r="F603" s="1407">
        <f ca="1">ROUND(系统读取表!$E$14*面积清单!C603,0)</f>
        <v>303523</v>
      </c>
    </row>
    <row r="604" spans="1:6" ht="16.5">
      <c r="A604" s="3073" t="s">
        <v>3089</v>
      </c>
      <c r="B604" s="3074" t="s">
        <v>3675</v>
      </c>
      <c r="C604" s="3077">
        <v>43.65</v>
      </c>
      <c r="D604" s="3076">
        <v>29.975000000000001</v>
      </c>
      <c r="E604" s="3076">
        <v>13.675000000000001</v>
      </c>
      <c r="F604" s="1407">
        <f ca="1">ROUND(系统读取表!$E$14*面积清单!C604,0)</f>
        <v>318863</v>
      </c>
    </row>
    <row r="605" spans="1:6" ht="16.5">
      <c r="A605" s="3073" t="s">
        <v>3089</v>
      </c>
      <c r="B605" s="3074" t="s">
        <v>3676</v>
      </c>
      <c r="C605" s="3077">
        <v>42.05</v>
      </c>
      <c r="D605" s="3076">
        <v>28.875</v>
      </c>
      <c r="E605" s="3076">
        <v>13.173</v>
      </c>
      <c r="F605" s="1407">
        <f ca="1">ROUND(系统读取表!$E$14*面积清单!C605,0)</f>
        <v>307175</v>
      </c>
    </row>
    <row r="606" spans="1:6" ht="16.5">
      <c r="A606" s="3073" t="s">
        <v>3089</v>
      </c>
      <c r="B606" s="3074" t="s">
        <v>3677</v>
      </c>
      <c r="C606" s="3077">
        <v>42.05</v>
      </c>
      <c r="D606" s="3076">
        <v>28.875</v>
      </c>
      <c r="E606" s="3076">
        <v>13.173</v>
      </c>
      <c r="F606" s="1407">
        <f ca="1">ROUND(系统读取表!$E$14*面积清单!C606,0)</f>
        <v>307175</v>
      </c>
    </row>
    <row r="607" spans="1:6" ht="16.5">
      <c r="A607" s="3073" t="s">
        <v>3089</v>
      </c>
      <c r="B607" s="3074" t="s">
        <v>3678</v>
      </c>
      <c r="C607" s="3077">
        <v>42.05</v>
      </c>
      <c r="D607" s="3076">
        <v>28.875</v>
      </c>
      <c r="E607" s="3076">
        <v>13.173</v>
      </c>
      <c r="F607" s="1407">
        <f ca="1">ROUND(系统读取表!$E$14*面积清单!C607,0)</f>
        <v>307175</v>
      </c>
    </row>
    <row r="608" spans="1:6" ht="16.5">
      <c r="A608" s="3073" t="s">
        <v>3089</v>
      </c>
      <c r="B608" s="3074" t="s">
        <v>3679</v>
      </c>
      <c r="C608" s="3077">
        <v>54.41</v>
      </c>
      <c r="D608" s="3076">
        <v>37.366</v>
      </c>
      <c r="E608" s="3076">
        <v>17.047000000000001</v>
      </c>
      <c r="F608" s="1407">
        <f ca="1">ROUND(系统读取表!$E$14*面积清单!C608,0)</f>
        <v>397465</v>
      </c>
    </row>
    <row r="609" spans="1:6" ht="16.5">
      <c r="A609" s="3073" t="s">
        <v>3089</v>
      </c>
      <c r="B609" s="3074" t="s">
        <v>3680</v>
      </c>
      <c r="C609" s="3077">
        <v>52.44</v>
      </c>
      <c r="D609" s="3076">
        <v>36.012999999999998</v>
      </c>
      <c r="E609" s="3076">
        <v>16.43</v>
      </c>
      <c r="F609" s="1407">
        <f ca="1">ROUND(系统读取表!$E$14*面积清单!C609,0)</f>
        <v>383074</v>
      </c>
    </row>
    <row r="610" spans="1:6" ht="16.5">
      <c r="A610" s="3073" t="s">
        <v>3089</v>
      </c>
      <c r="B610" s="3074" t="s">
        <v>3681</v>
      </c>
      <c r="C610" s="3077">
        <v>52.44</v>
      </c>
      <c r="D610" s="3076">
        <v>36.012999999999998</v>
      </c>
      <c r="E610" s="3076">
        <v>16.43</v>
      </c>
      <c r="F610" s="1407">
        <f ca="1">ROUND(系统读取表!$E$14*面积清单!C610,0)</f>
        <v>383074</v>
      </c>
    </row>
    <row r="611" spans="1:6" ht="16.5">
      <c r="A611" s="3073" t="s">
        <v>3089</v>
      </c>
      <c r="B611" s="3074" t="s">
        <v>3682</v>
      </c>
      <c r="C611" s="3077">
        <v>52.44</v>
      </c>
      <c r="D611" s="3076">
        <v>36.012999999999998</v>
      </c>
      <c r="E611" s="3076">
        <v>16.43</v>
      </c>
      <c r="F611" s="1407">
        <f ca="1">ROUND(系统读取表!$E$14*面积清单!C611,0)</f>
        <v>383074</v>
      </c>
    </row>
    <row r="612" spans="1:6" ht="16.5">
      <c r="A612" s="3073" t="s">
        <v>3089</v>
      </c>
      <c r="B612" s="3074" t="s">
        <v>3683</v>
      </c>
      <c r="C612" s="3077">
        <v>52.44</v>
      </c>
      <c r="D612" s="3076">
        <v>36.012999999999998</v>
      </c>
      <c r="E612" s="3076">
        <v>16.43</v>
      </c>
      <c r="F612" s="1407">
        <f ca="1">ROUND(系统读取表!$E$14*面积清单!C612,0)</f>
        <v>383074</v>
      </c>
    </row>
    <row r="613" spans="1:6" ht="16.5">
      <c r="A613" s="3073" t="s">
        <v>3089</v>
      </c>
      <c r="B613" s="3074" t="s">
        <v>3684</v>
      </c>
      <c r="C613" s="3077">
        <v>52.44</v>
      </c>
      <c r="D613" s="3076">
        <v>36.012999999999998</v>
      </c>
      <c r="E613" s="3076">
        <v>16.43</v>
      </c>
      <c r="F613" s="1407">
        <f ca="1">ROUND(系统读取表!$E$14*面积清单!C613,0)</f>
        <v>383074</v>
      </c>
    </row>
    <row r="614" spans="1:6" ht="16.5">
      <c r="A614" s="3073" t="s">
        <v>3089</v>
      </c>
      <c r="B614" s="3074" t="s">
        <v>3685</v>
      </c>
      <c r="C614" s="3077">
        <v>52.44</v>
      </c>
      <c r="D614" s="3076">
        <v>36.012999999999998</v>
      </c>
      <c r="E614" s="3076">
        <v>16.43</v>
      </c>
      <c r="F614" s="1407">
        <f ca="1">ROUND(系统读取表!$E$14*面积清单!C614,0)</f>
        <v>383074</v>
      </c>
    </row>
    <row r="615" spans="1:6" ht="16.5">
      <c r="A615" s="3073" t="s">
        <v>3089</v>
      </c>
      <c r="B615" s="3074" t="s">
        <v>3686</v>
      </c>
      <c r="C615" s="3077">
        <v>52.44</v>
      </c>
      <c r="D615" s="3076">
        <v>36.012999999999998</v>
      </c>
      <c r="E615" s="3076">
        <v>16.43</v>
      </c>
      <c r="F615" s="1407">
        <f ca="1">ROUND(系统读取表!$E$14*面积清单!C615,0)</f>
        <v>383074</v>
      </c>
    </row>
    <row r="616" spans="1:6" ht="16.5">
      <c r="A616" s="3073" t="s">
        <v>3089</v>
      </c>
      <c r="B616" s="3074" t="s">
        <v>3687</v>
      </c>
      <c r="C616" s="3077">
        <v>54.41</v>
      </c>
      <c r="D616" s="3076">
        <v>37.366</v>
      </c>
      <c r="E616" s="3076">
        <v>17.047000000000001</v>
      </c>
      <c r="F616" s="1407">
        <f ca="1">ROUND(系统读取表!$E$14*面积清单!C616,0)</f>
        <v>397465</v>
      </c>
    </row>
    <row r="617" spans="1:6" ht="16.5">
      <c r="A617" s="3073" t="s">
        <v>3089</v>
      </c>
      <c r="B617" s="3074" t="s">
        <v>3688</v>
      </c>
      <c r="C617" s="3077">
        <v>42.05</v>
      </c>
      <c r="D617" s="3076">
        <v>28.875</v>
      </c>
      <c r="E617" s="3076">
        <v>13.173</v>
      </c>
      <c r="F617" s="1407">
        <f ca="1">ROUND(系统读取表!$E$14*面积清单!C617,0)</f>
        <v>307175</v>
      </c>
    </row>
    <row r="618" spans="1:6" ht="16.5">
      <c r="A618" s="3073" t="s">
        <v>3089</v>
      </c>
      <c r="B618" s="3074" t="s">
        <v>3689</v>
      </c>
      <c r="C618" s="3077">
        <v>42.05</v>
      </c>
      <c r="D618" s="3076">
        <v>28.875</v>
      </c>
      <c r="E618" s="3076">
        <v>13.173</v>
      </c>
      <c r="F618" s="1407">
        <f ca="1">ROUND(系统读取表!$E$14*面积清单!C618,0)</f>
        <v>307175</v>
      </c>
    </row>
    <row r="619" spans="1:6" ht="16.5">
      <c r="A619" s="3073" t="s">
        <v>3089</v>
      </c>
      <c r="B619" s="3074" t="s">
        <v>3690</v>
      </c>
      <c r="C619" s="3077">
        <v>42.05</v>
      </c>
      <c r="D619" s="3076">
        <v>28.875</v>
      </c>
      <c r="E619" s="3076">
        <v>13.173</v>
      </c>
      <c r="F619" s="1407">
        <f ca="1">ROUND(系统读取表!$E$14*面积清单!C619,0)</f>
        <v>307175</v>
      </c>
    </row>
    <row r="620" spans="1:6" ht="16.5">
      <c r="A620" s="3073" t="s">
        <v>3089</v>
      </c>
      <c r="B620" s="3074" t="s">
        <v>3691</v>
      </c>
      <c r="C620" s="3077">
        <v>43.65</v>
      </c>
      <c r="D620" s="3076">
        <v>29.975000000000001</v>
      </c>
      <c r="E620" s="3076">
        <v>13.675000000000001</v>
      </c>
      <c r="F620" s="1407">
        <f ca="1">ROUND(系统读取表!$E$14*面积清单!C620,0)</f>
        <v>318863</v>
      </c>
    </row>
    <row r="621" spans="1:6" ht="16.5">
      <c r="A621" s="3073" t="s">
        <v>3089</v>
      </c>
      <c r="B621" s="3074" t="s">
        <v>3692</v>
      </c>
      <c r="C621" s="3077">
        <v>41.55</v>
      </c>
      <c r="D621" s="3076">
        <v>28.530999999999999</v>
      </c>
      <c r="E621" s="3076">
        <v>13.016</v>
      </c>
      <c r="F621" s="1407">
        <f ca="1">ROUND(系统读取表!$E$14*面积清单!C621,0)</f>
        <v>303523</v>
      </c>
    </row>
    <row r="622" spans="1:6" ht="16.5">
      <c r="A622" s="3073" t="s">
        <v>3089</v>
      </c>
      <c r="B622" s="3074" t="s">
        <v>3693</v>
      </c>
      <c r="C622" s="3077">
        <v>41.55</v>
      </c>
      <c r="D622" s="3076">
        <v>28.530999999999999</v>
      </c>
      <c r="E622" s="3076">
        <v>13.016</v>
      </c>
      <c r="F622" s="1407">
        <f ca="1">ROUND(系统读取表!$E$14*面积清单!C622,0)</f>
        <v>303523</v>
      </c>
    </row>
    <row r="623" spans="1:6" ht="16.5">
      <c r="A623" s="3073" t="s">
        <v>3089</v>
      </c>
      <c r="B623" s="3074" t="s">
        <v>3694</v>
      </c>
      <c r="C623" s="3077">
        <v>41.55</v>
      </c>
      <c r="D623" s="3076">
        <v>28.530999999999999</v>
      </c>
      <c r="E623" s="3076">
        <v>13.016</v>
      </c>
      <c r="F623" s="1407">
        <f ca="1">ROUND(系统读取表!$E$14*面积清单!C623,0)</f>
        <v>303523</v>
      </c>
    </row>
    <row r="624" spans="1:6" ht="16.5">
      <c r="A624" s="3073" t="s">
        <v>3089</v>
      </c>
      <c r="B624" s="3074" t="s">
        <v>3695</v>
      </c>
      <c r="C624" s="3077">
        <v>41.55</v>
      </c>
      <c r="D624" s="3076">
        <v>28.530999999999999</v>
      </c>
      <c r="E624" s="3076">
        <v>13.016</v>
      </c>
      <c r="F624" s="1407">
        <f ca="1">ROUND(系统读取表!$E$14*面积清单!C624,0)</f>
        <v>303523</v>
      </c>
    </row>
    <row r="625" spans="1:6" ht="16.5">
      <c r="A625" s="3073" t="s">
        <v>3089</v>
      </c>
      <c r="B625" s="3074" t="s">
        <v>3696</v>
      </c>
      <c r="C625" s="3077">
        <v>41.55</v>
      </c>
      <c r="D625" s="3076">
        <v>28.530999999999999</v>
      </c>
      <c r="E625" s="3076">
        <v>13.016</v>
      </c>
      <c r="F625" s="1407">
        <f ca="1">ROUND(系统读取表!$E$14*面积清单!C625,0)</f>
        <v>303523</v>
      </c>
    </row>
    <row r="626" spans="1:6" ht="16.5">
      <c r="A626" s="3073" t="s">
        <v>3089</v>
      </c>
      <c r="B626" s="3074" t="s">
        <v>3697</v>
      </c>
      <c r="C626" s="3077">
        <v>43.65</v>
      </c>
      <c r="D626" s="3076">
        <v>29.975000000000001</v>
      </c>
      <c r="E626" s="3076">
        <v>13.675000000000001</v>
      </c>
      <c r="F626" s="1407">
        <f ca="1">ROUND(系统读取表!$E$14*面积清单!C626,0)</f>
        <v>318863</v>
      </c>
    </row>
    <row r="627" spans="1:6" ht="16.5">
      <c r="A627" s="3073" t="s">
        <v>3089</v>
      </c>
      <c r="B627" s="3074" t="s">
        <v>3698</v>
      </c>
      <c r="C627" s="3077">
        <v>42.05</v>
      </c>
      <c r="D627" s="3076">
        <v>28.875</v>
      </c>
      <c r="E627" s="3076">
        <v>13.173</v>
      </c>
      <c r="F627" s="1407">
        <f ca="1">ROUND(系统读取表!$E$14*面积清单!C627,0)</f>
        <v>307175</v>
      </c>
    </row>
    <row r="628" spans="1:6" ht="16.5">
      <c r="A628" s="3073" t="s">
        <v>3089</v>
      </c>
      <c r="B628" s="3074" t="s">
        <v>3699</v>
      </c>
      <c r="C628" s="3077">
        <v>42.05</v>
      </c>
      <c r="D628" s="3076">
        <v>28.875</v>
      </c>
      <c r="E628" s="3076">
        <v>13.173</v>
      </c>
      <c r="F628" s="1407">
        <f ca="1">ROUND(系统读取表!$E$14*面积清单!C628,0)</f>
        <v>307175</v>
      </c>
    </row>
    <row r="629" spans="1:6" ht="16.5">
      <c r="A629" s="3073" t="s">
        <v>3089</v>
      </c>
      <c r="B629" s="3074" t="s">
        <v>3700</v>
      </c>
      <c r="C629" s="3077">
        <v>42.05</v>
      </c>
      <c r="D629" s="3076">
        <v>28.875</v>
      </c>
      <c r="E629" s="3076">
        <v>13.173</v>
      </c>
      <c r="F629" s="1407">
        <f ca="1">ROUND(系统读取表!$E$14*面积清单!C629,0)</f>
        <v>307175</v>
      </c>
    </row>
    <row r="630" spans="1:6" ht="16.5">
      <c r="A630" s="3073" t="s">
        <v>3089</v>
      </c>
      <c r="B630" s="3074" t="s">
        <v>3701</v>
      </c>
      <c r="C630" s="3077">
        <v>52.44</v>
      </c>
      <c r="D630" s="3076">
        <v>36.012999999999998</v>
      </c>
      <c r="E630" s="3076">
        <v>16.43</v>
      </c>
      <c r="F630" s="1407">
        <f ca="1">ROUND(系统读取表!$E$14*面积清单!C630,0)</f>
        <v>383074</v>
      </c>
    </row>
    <row r="631" spans="1:6" ht="16.5">
      <c r="A631" s="3073" t="s">
        <v>3089</v>
      </c>
      <c r="B631" s="3074" t="s">
        <v>3702</v>
      </c>
      <c r="C631" s="3077">
        <v>52.44</v>
      </c>
      <c r="D631" s="3076">
        <v>36.012999999999998</v>
      </c>
      <c r="E631" s="3076">
        <v>16.43</v>
      </c>
      <c r="F631" s="1407">
        <f ca="1">ROUND(系统读取表!$E$14*面积清单!C631,0)</f>
        <v>383074</v>
      </c>
    </row>
    <row r="632" spans="1:6" ht="16.5">
      <c r="A632" s="3073" t="s">
        <v>3089</v>
      </c>
      <c r="B632" s="3074" t="s">
        <v>3703</v>
      </c>
      <c r="C632" s="3077">
        <v>52.44</v>
      </c>
      <c r="D632" s="3076">
        <v>36.012999999999998</v>
      </c>
      <c r="E632" s="3076">
        <v>16.43</v>
      </c>
      <c r="F632" s="1407">
        <f ca="1">ROUND(系统读取表!$E$14*面积清单!C632,0)</f>
        <v>383074</v>
      </c>
    </row>
    <row r="633" spans="1:6" ht="16.5">
      <c r="A633" s="3073" t="s">
        <v>3089</v>
      </c>
      <c r="B633" s="3074" t="s">
        <v>3704</v>
      </c>
      <c r="C633" s="3077">
        <v>52.44</v>
      </c>
      <c r="D633" s="3076">
        <v>36.012999999999998</v>
      </c>
      <c r="E633" s="3076">
        <v>16.43</v>
      </c>
      <c r="F633" s="1407">
        <f ca="1">ROUND(系统读取表!$E$14*面积清单!C633,0)</f>
        <v>383074</v>
      </c>
    </row>
    <row r="634" spans="1:6" ht="16.5">
      <c r="A634" s="3073" t="s">
        <v>3089</v>
      </c>
      <c r="B634" s="3074" t="s">
        <v>3705</v>
      </c>
      <c r="C634" s="3077">
        <v>52.44</v>
      </c>
      <c r="D634" s="3076">
        <v>36.012999999999998</v>
      </c>
      <c r="E634" s="3076">
        <v>16.43</v>
      </c>
      <c r="F634" s="1407">
        <f ca="1">ROUND(系统读取表!$E$14*面积清单!C634,0)</f>
        <v>383074</v>
      </c>
    </row>
    <row r="635" spans="1:6" ht="16.5">
      <c r="A635" s="3073" t="s">
        <v>3089</v>
      </c>
      <c r="B635" s="3074" t="s">
        <v>3706</v>
      </c>
      <c r="C635" s="3077">
        <v>52.44</v>
      </c>
      <c r="D635" s="3076">
        <v>36.012999999999998</v>
      </c>
      <c r="E635" s="3076">
        <v>16.43</v>
      </c>
      <c r="F635" s="1407">
        <f ca="1">ROUND(系统读取表!$E$14*面积清单!C635,0)</f>
        <v>383074</v>
      </c>
    </row>
    <row r="636" spans="1:6" ht="16.5">
      <c r="A636" s="3073" t="s">
        <v>3089</v>
      </c>
      <c r="B636" s="3074" t="s">
        <v>3707</v>
      </c>
      <c r="C636" s="3077">
        <v>52.44</v>
      </c>
      <c r="D636" s="3076">
        <v>36.012999999999998</v>
      </c>
      <c r="E636" s="3076">
        <v>16.43</v>
      </c>
      <c r="F636" s="1407">
        <f ca="1">ROUND(系统读取表!$E$14*面积清单!C636,0)</f>
        <v>383074</v>
      </c>
    </row>
    <row r="637" spans="1:6" ht="16.5">
      <c r="A637" s="3073" t="s">
        <v>3089</v>
      </c>
      <c r="B637" s="3074" t="s">
        <v>3708</v>
      </c>
      <c r="C637" s="3077">
        <v>54.41</v>
      </c>
      <c r="D637" s="3076">
        <v>37.366</v>
      </c>
      <c r="E637" s="3076">
        <v>17.047000000000001</v>
      </c>
      <c r="F637" s="1407">
        <f ca="1">ROUND(系统读取表!$E$14*面积清单!C637,0)</f>
        <v>397465</v>
      </c>
    </row>
    <row r="638" spans="1:6" ht="16.5">
      <c r="A638" s="3073" t="s">
        <v>3089</v>
      </c>
      <c r="B638" s="3074" t="s">
        <v>3709</v>
      </c>
      <c r="C638" s="3077">
        <v>42.05</v>
      </c>
      <c r="D638" s="3076">
        <v>28.875</v>
      </c>
      <c r="E638" s="3076">
        <v>13.173</v>
      </c>
      <c r="F638" s="1407">
        <f ca="1">ROUND(系统读取表!$E$14*面积清单!C638,0)</f>
        <v>307175</v>
      </c>
    </row>
    <row r="639" spans="1:6" ht="16.5">
      <c r="A639" s="3073" t="s">
        <v>3089</v>
      </c>
      <c r="B639" s="3074" t="s">
        <v>3710</v>
      </c>
      <c r="C639" s="3077">
        <v>42.05</v>
      </c>
      <c r="D639" s="3076">
        <v>28.875</v>
      </c>
      <c r="E639" s="3076">
        <v>13.173</v>
      </c>
      <c r="F639" s="1407">
        <f ca="1">ROUND(系统读取表!$E$14*面积清单!C639,0)</f>
        <v>307175</v>
      </c>
    </row>
    <row r="640" spans="1:6" ht="16.5">
      <c r="A640" s="3073" t="s">
        <v>3089</v>
      </c>
      <c r="B640" s="3074" t="s">
        <v>3711</v>
      </c>
      <c r="C640" s="3077">
        <v>42.05</v>
      </c>
      <c r="D640" s="3076">
        <v>28.875</v>
      </c>
      <c r="E640" s="3076">
        <v>13.173</v>
      </c>
      <c r="F640" s="1407">
        <f ca="1">ROUND(系统读取表!$E$14*面积清单!C640,0)</f>
        <v>307175</v>
      </c>
    </row>
    <row r="641" spans="1:6" ht="16.5">
      <c r="A641" s="3073" t="s">
        <v>3089</v>
      </c>
      <c r="B641" s="3074" t="s">
        <v>3712</v>
      </c>
      <c r="C641" s="3077">
        <v>43.65</v>
      </c>
      <c r="D641" s="3076">
        <v>29.975000000000001</v>
      </c>
      <c r="E641" s="3076">
        <v>13.675000000000001</v>
      </c>
      <c r="F641" s="1407">
        <f ca="1">ROUND(系统读取表!$E$14*面积清单!C641,0)</f>
        <v>318863</v>
      </c>
    </row>
    <row r="642" spans="1:6" ht="16.5">
      <c r="A642" s="3073" t="s">
        <v>3089</v>
      </c>
      <c r="B642" s="3074" t="s">
        <v>3713</v>
      </c>
      <c r="C642" s="3077">
        <v>41.55</v>
      </c>
      <c r="D642" s="3076">
        <v>28.530999999999999</v>
      </c>
      <c r="E642" s="3076">
        <v>13.016</v>
      </c>
      <c r="F642" s="1407">
        <f ca="1">ROUND(系统读取表!$E$14*面积清单!C642,0)</f>
        <v>303523</v>
      </c>
    </row>
    <row r="643" spans="1:6" ht="16.5">
      <c r="A643" s="3073" t="s">
        <v>3089</v>
      </c>
      <c r="B643" s="3074" t="s">
        <v>3714</v>
      </c>
      <c r="C643" s="3077">
        <v>41.55</v>
      </c>
      <c r="D643" s="3076">
        <v>28.530999999999999</v>
      </c>
      <c r="E643" s="3076">
        <v>13.016</v>
      </c>
      <c r="F643" s="1407">
        <f ca="1">ROUND(系统读取表!$E$14*面积清单!C643,0)</f>
        <v>303523</v>
      </c>
    </row>
    <row r="644" spans="1:6" ht="16.5">
      <c r="A644" s="3073" t="s">
        <v>3089</v>
      </c>
      <c r="B644" s="3074" t="s">
        <v>3715</v>
      </c>
      <c r="C644" s="3077">
        <v>41.55</v>
      </c>
      <c r="D644" s="3076">
        <v>28.530999999999999</v>
      </c>
      <c r="E644" s="3076">
        <v>13.016</v>
      </c>
      <c r="F644" s="1407">
        <f ca="1">ROUND(系统读取表!$E$14*面积清单!C644,0)</f>
        <v>303523</v>
      </c>
    </row>
    <row r="645" spans="1:6" ht="16.5">
      <c r="A645" s="3073" t="s">
        <v>3089</v>
      </c>
      <c r="B645" s="3074" t="s">
        <v>3716</v>
      </c>
      <c r="C645" s="3077">
        <v>41.55</v>
      </c>
      <c r="D645" s="3076">
        <v>28.530999999999999</v>
      </c>
      <c r="E645" s="3076">
        <v>13.016</v>
      </c>
      <c r="F645" s="1407">
        <f ca="1">ROUND(系统读取表!$E$14*面积清单!C645,0)</f>
        <v>303523</v>
      </c>
    </row>
    <row r="646" spans="1:6" ht="16.5">
      <c r="A646" s="3073" t="s">
        <v>3089</v>
      </c>
      <c r="B646" s="3074" t="s">
        <v>3717</v>
      </c>
      <c r="C646" s="3077">
        <v>41.55</v>
      </c>
      <c r="D646" s="3076">
        <v>28.530999999999999</v>
      </c>
      <c r="E646" s="3076">
        <v>13.016</v>
      </c>
      <c r="F646" s="1407">
        <f ca="1">ROUND(系统读取表!$E$14*面积清单!C646,0)</f>
        <v>303523</v>
      </c>
    </row>
    <row r="647" spans="1:6" ht="16.5">
      <c r="A647" s="3073" t="s">
        <v>3089</v>
      </c>
      <c r="B647" s="3074" t="s">
        <v>3718</v>
      </c>
      <c r="C647" s="3077">
        <v>43.65</v>
      </c>
      <c r="D647" s="3076">
        <v>29.975000000000001</v>
      </c>
      <c r="E647" s="3076">
        <v>13.675000000000001</v>
      </c>
      <c r="F647" s="1407">
        <f ca="1">ROUND(系统读取表!$E$14*面积清单!C647,0)</f>
        <v>318863</v>
      </c>
    </row>
    <row r="648" spans="1:6" ht="16.5">
      <c r="A648" s="3073" t="s">
        <v>3089</v>
      </c>
      <c r="B648" s="3074" t="s">
        <v>3719</v>
      </c>
      <c r="C648" s="3077">
        <v>42.05</v>
      </c>
      <c r="D648" s="3076">
        <v>28.875</v>
      </c>
      <c r="E648" s="3076">
        <v>13.173</v>
      </c>
      <c r="F648" s="1407">
        <f ca="1">ROUND(系统读取表!$E$14*面积清单!C648,0)</f>
        <v>307175</v>
      </c>
    </row>
    <row r="649" spans="1:6" ht="16.5">
      <c r="A649" s="3073" t="s">
        <v>3089</v>
      </c>
      <c r="B649" s="3074" t="s">
        <v>3720</v>
      </c>
      <c r="C649" s="3077">
        <v>42.05</v>
      </c>
      <c r="D649" s="3076">
        <v>28.875</v>
      </c>
      <c r="E649" s="3076">
        <v>13.173</v>
      </c>
      <c r="F649" s="1407">
        <f ca="1">ROUND(系统读取表!$E$14*面积清单!C649,0)</f>
        <v>307175</v>
      </c>
    </row>
    <row r="650" spans="1:6" ht="16.5">
      <c r="A650" s="3073" t="s">
        <v>3089</v>
      </c>
      <c r="B650" s="3074" t="s">
        <v>3721</v>
      </c>
      <c r="C650" s="3077">
        <v>42.05</v>
      </c>
      <c r="D650" s="3076">
        <v>28.875</v>
      </c>
      <c r="E650" s="3076">
        <v>13.173</v>
      </c>
      <c r="F650" s="1407">
        <f ca="1">ROUND(系统读取表!$E$14*面积清单!C650,0)</f>
        <v>307175</v>
      </c>
    </row>
    <row r="651" spans="1:6" ht="16.5">
      <c r="A651" s="3073" t="s">
        <v>3089</v>
      </c>
      <c r="B651" s="3074" t="s">
        <v>3722</v>
      </c>
      <c r="C651" s="3077">
        <v>52.44</v>
      </c>
      <c r="D651" s="3076">
        <v>36.012999999999998</v>
      </c>
      <c r="E651" s="3076">
        <v>16.43</v>
      </c>
      <c r="F651" s="1407">
        <f ca="1">ROUND(系统读取表!$E$14*面积清单!C651,0)</f>
        <v>383074</v>
      </c>
    </row>
    <row r="652" spans="1:6" ht="16.5">
      <c r="A652" s="3073" t="s">
        <v>3089</v>
      </c>
      <c r="B652" s="3074" t="s">
        <v>3723</v>
      </c>
      <c r="C652" s="3077">
        <v>52.44</v>
      </c>
      <c r="D652" s="3076">
        <v>36.012999999999998</v>
      </c>
      <c r="E652" s="3076">
        <v>16.43</v>
      </c>
      <c r="F652" s="1407">
        <f ca="1">ROUND(系统读取表!$E$14*面积清单!C652,0)</f>
        <v>383074</v>
      </c>
    </row>
    <row r="653" spans="1:6" ht="16.5">
      <c r="A653" s="3073" t="s">
        <v>3089</v>
      </c>
      <c r="B653" s="3074" t="s">
        <v>3724</v>
      </c>
      <c r="C653" s="3077">
        <v>52.44</v>
      </c>
      <c r="D653" s="3076">
        <v>36.012999999999998</v>
      </c>
      <c r="E653" s="3076">
        <v>16.43</v>
      </c>
      <c r="F653" s="1407">
        <f ca="1">ROUND(系统读取表!$E$14*面积清单!C653,0)</f>
        <v>383074</v>
      </c>
    </row>
    <row r="654" spans="1:6" ht="16.5">
      <c r="A654" s="3073" t="s">
        <v>3089</v>
      </c>
      <c r="B654" s="3074" t="s">
        <v>3725</v>
      </c>
      <c r="C654" s="3077">
        <v>52.44</v>
      </c>
      <c r="D654" s="3076">
        <v>36.012999999999998</v>
      </c>
      <c r="E654" s="3076">
        <v>16.43</v>
      </c>
      <c r="F654" s="1407">
        <f ca="1">ROUND(系统读取表!$E$14*面积清单!C654,0)</f>
        <v>383074</v>
      </c>
    </row>
    <row r="655" spans="1:6" ht="16.5">
      <c r="A655" s="3073" t="s">
        <v>3089</v>
      </c>
      <c r="B655" s="3074" t="s">
        <v>3726</v>
      </c>
      <c r="C655" s="3077">
        <v>52.44</v>
      </c>
      <c r="D655" s="3076">
        <v>36.012999999999998</v>
      </c>
      <c r="E655" s="3076">
        <v>16.43</v>
      </c>
      <c r="F655" s="1407">
        <f ca="1">ROUND(系统读取表!$E$14*面积清单!C655,0)</f>
        <v>383074</v>
      </c>
    </row>
    <row r="656" spans="1:6" ht="16.5">
      <c r="A656" s="3073" t="s">
        <v>3089</v>
      </c>
      <c r="B656" s="3074" t="s">
        <v>3727</v>
      </c>
      <c r="C656" s="3077">
        <v>52.44</v>
      </c>
      <c r="D656" s="3076">
        <v>36.012999999999998</v>
      </c>
      <c r="E656" s="3076">
        <v>16.43</v>
      </c>
      <c r="F656" s="1407">
        <f ca="1">ROUND(系统读取表!$E$14*面积清单!C656,0)</f>
        <v>383074</v>
      </c>
    </row>
    <row r="657" spans="1:6" ht="16.5">
      <c r="A657" s="3073" t="s">
        <v>3089</v>
      </c>
      <c r="B657" s="3074" t="s">
        <v>3728</v>
      </c>
      <c r="C657" s="3075">
        <v>52.44</v>
      </c>
      <c r="D657" s="3076">
        <v>36.012999999999998</v>
      </c>
      <c r="E657" s="3076">
        <v>16.43</v>
      </c>
      <c r="F657" s="1407">
        <f ca="1">ROUND(系统读取表!$E$14*面积清单!C657,0)</f>
        <v>383074</v>
      </c>
    </row>
    <row r="658" spans="1:6" ht="16.5">
      <c r="A658" s="3073" t="s">
        <v>3089</v>
      </c>
      <c r="B658" s="3074" t="s">
        <v>3729</v>
      </c>
      <c r="C658" s="3075">
        <v>42.05</v>
      </c>
      <c r="D658" s="3076">
        <v>28.875</v>
      </c>
      <c r="E658" s="3076">
        <v>13.173</v>
      </c>
      <c r="F658" s="1407">
        <f ca="1">ROUND(系统读取表!$E$14*面积清单!C658,0)</f>
        <v>307175</v>
      </c>
    </row>
    <row r="659" spans="1:6" ht="16.5">
      <c r="A659" s="3073" t="s">
        <v>3089</v>
      </c>
      <c r="B659" s="3074" t="s">
        <v>3730</v>
      </c>
      <c r="C659" s="3075">
        <v>42.05</v>
      </c>
      <c r="D659" s="3076">
        <v>28.875</v>
      </c>
      <c r="E659" s="3076">
        <v>13.173</v>
      </c>
      <c r="F659" s="1407">
        <f ca="1">ROUND(系统读取表!$E$14*面积清单!C659,0)</f>
        <v>307175</v>
      </c>
    </row>
    <row r="660" spans="1:6" ht="16.5">
      <c r="A660" s="3073" t="s">
        <v>3089</v>
      </c>
      <c r="B660" s="3074" t="s">
        <v>3731</v>
      </c>
      <c r="C660" s="3075">
        <v>42.05</v>
      </c>
      <c r="D660" s="3076">
        <v>28.875</v>
      </c>
      <c r="E660" s="3076">
        <v>13.173</v>
      </c>
      <c r="F660" s="1407">
        <f ca="1">ROUND(系统读取表!$E$14*面积清单!C660,0)</f>
        <v>307175</v>
      </c>
    </row>
    <row r="661" spans="1:6" ht="16.5">
      <c r="A661" s="3073" t="s">
        <v>3089</v>
      </c>
      <c r="B661" s="3074" t="s">
        <v>3732</v>
      </c>
      <c r="C661" s="3075">
        <v>43.65</v>
      </c>
      <c r="D661" s="3076">
        <v>29.975000000000001</v>
      </c>
      <c r="E661" s="3076">
        <v>13.675000000000001</v>
      </c>
      <c r="F661" s="1407">
        <f ca="1">ROUND(系统读取表!$E$14*面积清单!C661,0)</f>
        <v>318863</v>
      </c>
    </row>
    <row r="662" spans="1:6" ht="16.5">
      <c r="A662" s="3073" t="s">
        <v>3089</v>
      </c>
      <c r="B662" s="3074" t="s">
        <v>3733</v>
      </c>
      <c r="C662" s="3075">
        <v>41.55</v>
      </c>
      <c r="D662" s="3076">
        <v>28.530999999999999</v>
      </c>
      <c r="E662" s="3076">
        <v>13.016</v>
      </c>
      <c r="F662" s="1407">
        <f ca="1">ROUND(系统读取表!$E$14*面积清单!C662,0)</f>
        <v>303523</v>
      </c>
    </row>
    <row r="663" spans="1:6" ht="16.5">
      <c r="A663" s="3073" t="s">
        <v>3089</v>
      </c>
      <c r="B663" s="3074" t="s">
        <v>3734</v>
      </c>
      <c r="C663" s="3075">
        <v>41.55</v>
      </c>
      <c r="D663" s="3076">
        <v>28.530999999999999</v>
      </c>
      <c r="E663" s="3076">
        <v>13.016</v>
      </c>
      <c r="F663" s="1407">
        <f ca="1">ROUND(系统读取表!$E$14*面积清单!C663,0)</f>
        <v>303523</v>
      </c>
    </row>
    <row r="664" spans="1:6" ht="16.5">
      <c r="A664" s="3073" t="s">
        <v>3089</v>
      </c>
      <c r="B664" s="3074" t="s">
        <v>3735</v>
      </c>
      <c r="C664" s="3075">
        <v>41.55</v>
      </c>
      <c r="D664" s="3076">
        <v>28.530999999999999</v>
      </c>
      <c r="E664" s="3076">
        <v>13.016</v>
      </c>
      <c r="F664" s="1407">
        <f ca="1">ROUND(系统读取表!$E$14*面积清单!C664,0)</f>
        <v>303523</v>
      </c>
    </row>
    <row r="665" spans="1:6" ht="16.5">
      <c r="A665" s="3073" t="s">
        <v>3089</v>
      </c>
      <c r="B665" s="3074" t="s">
        <v>3736</v>
      </c>
      <c r="C665" s="3075">
        <v>41.55</v>
      </c>
      <c r="D665" s="3076">
        <v>28.530999999999999</v>
      </c>
      <c r="E665" s="3076">
        <v>13.016</v>
      </c>
      <c r="F665" s="1407">
        <f ca="1">ROUND(系统读取表!$E$14*面积清单!C665,0)</f>
        <v>303523</v>
      </c>
    </row>
    <row r="666" spans="1:6" ht="16.5">
      <c r="A666" s="3073" t="s">
        <v>3089</v>
      </c>
      <c r="B666" s="3074" t="s">
        <v>3737</v>
      </c>
      <c r="C666" s="3075">
        <v>41.55</v>
      </c>
      <c r="D666" s="3076">
        <v>28.530999999999999</v>
      </c>
      <c r="E666" s="3076">
        <v>13.016</v>
      </c>
      <c r="F666" s="1407">
        <f ca="1">ROUND(系统读取表!$E$14*面积清单!C666,0)</f>
        <v>303523</v>
      </c>
    </row>
    <row r="667" spans="1:6" ht="16.5">
      <c r="A667" s="3073" t="s">
        <v>3089</v>
      </c>
      <c r="B667" s="3074" t="s">
        <v>3738</v>
      </c>
      <c r="C667" s="3075">
        <v>43.65</v>
      </c>
      <c r="D667" s="3076">
        <v>29.975000000000001</v>
      </c>
      <c r="E667" s="3076">
        <v>13.675000000000001</v>
      </c>
      <c r="F667" s="1407">
        <f ca="1">ROUND(系统读取表!$E$14*面积清单!C667,0)</f>
        <v>318863</v>
      </c>
    </row>
    <row r="668" spans="1:6" ht="16.5">
      <c r="A668" s="3073" t="s">
        <v>3089</v>
      </c>
      <c r="B668" s="3074" t="s">
        <v>3739</v>
      </c>
      <c r="C668" s="3075">
        <v>42.05</v>
      </c>
      <c r="D668" s="3076">
        <v>28.875</v>
      </c>
      <c r="E668" s="3076">
        <v>13.173</v>
      </c>
      <c r="F668" s="1407">
        <f ca="1">ROUND(系统读取表!$E$14*面积清单!C668,0)</f>
        <v>307175</v>
      </c>
    </row>
    <row r="669" spans="1:6" ht="16.5">
      <c r="A669" s="3073" t="s">
        <v>3089</v>
      </c>
      <c r="B669" s="3074" t="s">
        <v>3740</v>
      </c>
      <c r="C669" s="3075">
        <v>42.05</v>
      </c>
      <c r="D669" s="3076">
        <v>28.875</v>
      </c>
      <c r="E669" s="3076">
        <v>13.173</v>
      </c>
      <c r="F669" s="1407">
        <f ca="1">ROUND(系统读取表!$E$14*面积清单!C669,0)</f>
        <v>307175</v>
      </c>
    </row>
    <row r="670" spans="1:6" ht="16.5">
      <c r="A670" s="3073" t="s">
        <v>3089</v>
      </c>
      <c r="B670" s="3074" t="s">
        <v>3741</v>
      </c>
      <c r="C670" s="3075">
        <v>42.05</v>
      </c>
      <c r="D670" s="3076">
        <v>28.875</v>
      </c>
      <c r="E670" s="3076">
        <v>13.173</v>
      </c>
      <c r="F670" s="1407">
        <f ca="1">ROUND(系统读取表!$E$14*面积清单!C670,0)</f>
        <v>307175</v>
      </c>
    </row>
    <row r="671" spans="1:6" ht="16.5">
      <c r="A671" s="3073" t="s">
        <v>3089</v>
      </c>
      <c r="B671" s="3074" t="s">
        <v>3742</v>
      </c>
      <c r="C671" s="3075">
        <v>52.44</v>
      </c>
      <c r="D671" s="3076">
        <v>36.012999999999998</v>
      </c>
      <c r="E671" s="3076">
        <v>16.43</v>
      </c>
      <c r="F671" s="1407">
        <f ca="1">ROUND(系统读取表!$E$14*面积清单!C671,0)</f>
        <v>383074</v>
      </c>
    </row>
    <row r="672" spans="1:6" ht="16.5">
      <c r="A672" s="3073" t="s">
        <v>3089</v>
      </c>
      <c r="B672" s="3074" t="s">
        <v>3743</v>
      </c>
      <c r="C672" s="3075">
        <v>52.44</v>
      </c>
      <c r="D672" s="3076">
        <v>36.012999999999998</v>
      </c>
      <c r="E672" s="3076">
        <v>16.43</v>
      </c>
      <c r="F672" s="1407">
        <f ca="1">ROUND(系统读取表!$E$14*面积清单!C672,0)</f>
        <v>383074</v>
      </c>
    </row>
    <row r="673" spans="1:6" ht="16.5">
      <c r="A673" s="3073" t="s">
        <v>3089</v>
      </c>
      <c r="B673" s="3074" t="s">
        <v>3744</v>
      </c>
      <c r="C673" s="3075">
        <v>52.44</v>
      </c>
      <c r="D673" s="3076">
        <v>36.012999999999998</v>
      </c>
      <c r="E673" s="3076">
        <v>16.43</v>
      </c>
      <c r="F673" s="1407">
        <f ca="1">ROUND(系统读取表!$E$14*面积清单!C673,0)</f>
        <v>383074</v>
      </c>
    </row>
    <row r="674" spans="1:6" ht="16.5">
      <c r="A674" s="3073" t="s">
        <v>3089</v>
      </c>
      <c r="B674" s="3074" t="s">
        <v>3745</v>
      </c>
      <c r="C674" s="3075">
        <v>52.44</v>
      </c>
      <c r="D674" s="3076">
        <v>36.012999999999998</v>
      </c>
      <c r="E674" s="3076">
        <v>16.43</v>
      </c>
      <c r="F674" s="1407">
        <f ca="1">ROUND(系统读取表!$E$14*面积清单!C674,0)</f>
        <v>383074</v>
      </c>
    </row>
    <row r="675" spans="1:6" ht="16.5">
      <c r="A675" s="3073" t="s">
        <v>3089</v>
      </c>
      <c r="B675" s="3074" t="s">
        <v>3746</v>
      </c>
      <c r="C675" s="3075">
        <v>52.44</v>
      </c>
      <c r="D675" s="3076">
        <v>36.012999999999998</v>
      </c>
      <c r="E675" s="3076">
        <v>16.43</v>
      </c>
      <c r="F675" s="1407">
        <f ca="1">ROUND(系统读取表!$E$14*面积清单!C675,0)</f>
        <v>383074</v>
      </c>
    </row>
    <row r="676" spans="1:6" ht="16.5">
      <c r="A676" s="3073" t="s">
        <v>3089</v>
      </c>
      <c r="B676" s="3074" t="s">
        <v>3747</v>
      </c>
      <c r="C676" s="3075">
        <v>52.44</v>
      </c>
      <c r="D676" s="3076">
        <v>36.012999999999998</v>
      </c>
      <c r="E676" s="3076">
        <v>16.43</v>
      </c>
      <c r="F676" s="1407">
        <f ca="1">ROUND(系统读取表!$E$14*面积清单!C676,0)</f>
        <v>383074</v>
      </c>
    </row>
    <row r="677" spans="1:6" ht="16.5">
      <c r="A677" s="3073" t="s">
        <v>3089</v>
      </c>
      <c r="B677" s="3074" t="s">
        <v>3748</v>
      </c>
      <c r="C677" s="3075">
        <v>52.44</v>
      </c>
      <c r="D677" s="3076">
        <v>36.012999999999998</v>
      </c>
      <c r="E677" s="3076">
        <v>16.43</v>
      </c>
      <c r="F677" s="1407">
        <f ca="1">ROUND(系统读取表!$E$14*面积清单!C677,0)</f>
        <v>383074</v>
      </c>
    </row>
    <row r="678" spans="1:6" ht="16.5">
      <c r="A678" s="3073" t="s">
        <v>3089</v>
      </c>
      <c r="B678" s="3074" t="s">
        <v>3749</v>
      </c>
      <c r="C678" s="3075">
        <v>54.41</v>
      </c>
      <c r="D678" s="3076">
        <v>37.366</v>
      </c>
      <c r="E678" s="3076">
        <v>17.047000000000001</v>
      </c>
      <c r="F678" s="1407">
        <f ca="1">ROUND(系统读取表!$E$14*面积清单!C678,0)</f>
        <v>397465</v>
      </c>
    </row>
    <row r="679" spans="1:6" ht="16.5">
      <c r="A679" s="3073" t="s">
        <v>3089</v>
      </c>
      <c r="B679" s="3074" t="s">
        <v>3750</v>
      </c>
      <c r="C679" s="3075">
        <v>42.05</v>
      </c>
      <c r="D679" s="3076">
        <v>28.875</v>
      </c>
      <c r="E679" s="3076">
        <v>13.173</v>
      </c>
      <c r="F679" s="1407">
        <f ca="1">ROUND(系统读取表!$E$14*面积清单!C679,0)</f>
        <v>307175</v>
      </c>
    </row>
    <row r="680" spans="1:6" ht="16.5">
      <c r="A680" s="3073" t="s">
        <v>3089</v>
      </c>
      <c r="B680" s="3074" t="s">
        <v>3751</v>
      </c>
      <c r="C680" s="3075">
        <v>42.05</v>
      </c>
      <c r="D680" s="3076">
        <v>28.875</v>
      </c>
      <c r="E680" s="3076">
        <v>13.173</v>
      </c>
      <c r="F680" s="1407">
        <f ca="1">ROUND(系统读取表!$E$14*面积清单!C680,0)</f>
        <v>307175</v>
      </c>
    </row>
    <row r="681" spans="1:6" ht="16.5">
      <c r="A681" s="3073" t="s">
        <v>3089</v>
      </c>
      <c r="B681" s="3074" t="s">
        <v>3752</v>
      </c>
      <c r="C681" s="3075">
        <v>42.05</v>
      </c>
      <c r="D681" s="3076">
        <v>28.875</v>
      </c>
      <c r="E681" s="3076">
        <v>13.173</v>
      </c>
      <c r="F681" s="1407">
        <f ca="1">ROUND(系统读取表!$E$14*面积清单!C681,0)</f>
        <v>307175</v>
      </c>
    </row>
    <row r="682" spans="1:6" ht="16.5">
      <c r="A682" s="3073" t="s">
        <v>3089</v>
      </c>
      <c r="B682" s="3074" t="s">
        <v>3753</v>
      </c>
      <c r="C682" s="3075">
        <v>43.65</v>
      </c>
      <c r="D682" s="3076">
        <v>29.975000000000001</v>
      </c>
      <c r="E682" s="3076">
        <v>13.675000000000001</v>
      </c>
      <c r="F682" s="1407">
        <f ca="1">ROUND(系统读取表!$E$14*面积清单!C682,0)</f>
        <v>318863</v>
      </c>
    </row>
    <row r="683" spans="1:6" ht="16.5">
      <c r="A683" s="3073" t="s">
        <v>3089</v>
      </c>
      <c r="B683" s="3074" t="s">
        <v>3754</v>
      </c>
      <c r="C683" s="3075">
        <v>41.55</v>
      </c>
      <c r="D683" s="3076">
        <v>28.530999999999999</v>
      </c>
      <c r="E683" s="3076">
        <v>13.016</v>
      </c>
      <c r="F683" s="1407">
        <f ca="1">ROUND(系统读取表!$E$14*面积清单!C683,0)</f>
        <v>303523</v>
      </c>
    </row>
    <row r="684" spans="1:6" ht="16.5">
      <c r="A684" s="3073" t="s">
        <v>3089</v>
      </c>
      <c r="B684" s="3074" t="s">
        <v>3755</v>
      </c>
      <c r="C684" s="3075">
        <v>41.55</v>
      </c>
      <c r="D684" s="3076">
        <v>28.530999999999999</v>
      </c>
      <c r="E684" s="3076">
        <v>13.016</v>
      </c>
      <c r="F684" s="1407">
        <f ca="1">ROUND(系统读取表!$E$14*面积清单!C684,0)</f>
        <v>303523</v>
      </c>
    </row>
    <row r="685" spans="1:6" ht="16.5">
      <c r="A685" s="3073" t="s">
        <v>3089</v>
      </c>
      <c r="B685" s="3074" t="s">
        <v>3756</v>
      </c>
      <c r="C685" s="3075">
        <v>41.55</v>
      </c>
      <c r="D685" s="3076">
        <v>28.530999999999999</v>
      </c>
      <c r="E685" s="3076">
        <v>13.016</v>
      </c>
      <c r="F685" s="1407">
        <f ca="1">ROUND(系统读取表!$E$14*面积清单!C685,0)</f>
        <v>303523</v>
      </c>
    </row>
    <row r="686" spans="1:6" ht="16.5">
      <c r="A686" s="3073" t="s">
        <v>3089</v>
      </c>
      <c r="B686" s="3074" t="s">
        <v>3757</v>
      </c>
      <c r="C686" s="3075">
        <v>41.55</v>
      </c>
      <c r="D686" s="3076">
        <v>28.530999999999999</v>
      </c>
      <c r="E686" s="3076">
        <v>13.016</v>
      </c>
      <c r="F686" s="1407">
        <f ca="1">ROUND(系统读取表!$E$14*面积清单!C686,0)</f>
        <v>303523</v>
      </c>
    </row>
    <row r="687" spans="1:6" ht="16.5">
      <c r="A687" s="3073" t="s">
        <v>3089</v>
      </c>
      <c r="B687" s="3074" t="s">
        <v>3758</v>
      </c>
      <c r="C687" s="3075">
        <v>41.55</v>
      </c>
      <c r="D687" s="3076">
        <v>28.530999999999999</v>
      </c>
      <c r="E687" s="3076">
        <v>13.016</v>
      </c>
      <c r="F687" s="1407">
        <f ca="1">ROUND(系统读取表!$E$14*面积清单!C687,0)</f>
        <v>303523</v>
      </c>
    </row>
    <row r="688" spans="1:6" ht="16.5">
      <c r="A688" s="3073" t="s">
        <v>3089</v>
      </c>
      <c r="B688" s="3074" t="s">
        <v>3759</v>
      </c>
      <c r="C688" s="3075">
        <v>43.65</v>
      </c>
      <c r="D688" s="3076">
        <v>29.975000000000001</v>
      </c>
      <c r="E688" s="3076">
        <v>13.675000000000001</v>
      </c>
      <c r="F688" s="1407">
        <f ca="1">ROUND(系统读取表!$E$14*面积清单!C688,0)</f>
        <v>318863</v>
      </c>
    </row>
    <row r="689" spans="1:6" ht="16.5">
      <c r="A689" s="3073" t="s">
        <v>3089</v>
      </c>
      <c r="B689" s="3074" t="s">
        <v>3760</v>
      </c>
      <c r="C689" s="3075">
        <v>42.05</v>
      </c>
      <c r="D689" s="3076">
        <v>28.875</v>
      </c>
      <c r="E689" s="3076">
        <v>13.173</v>
      </c>
      <c r="F689" s="1407">
        <f ca="1">ROUND(系统读取表!$E$14*面积清单!C689,0)</f>
        <v>307175</v>
      </c>
    </row>
    <row r="690" spans="1:6" ht="16.5">
      <c r="A690" s="3073" t="s">
        <v>3089</v>
      </c>
      <c r="B690" s="3074" t="s">
        <v>3761</v>
      </c>
      <c r="C690" s="3075">
        <v>42.05</v>
      </c>
      <c r="D690" s="3076">
        <v>28.875</v>
      </c>
      <c r="E690" s="3076">
        <v>13.173</v>
      </c>
      <c r="F690" s="1407">
        <f ca="1">ROUND(系统读取表!$E$14*面积清单!C690,0)</f>
        <v>307175</v>
      </c>
    </row>
    <row r="691" spans="1:6" ht="16.5">
      <c r="A691" s="3073" t="s">
        <v>3089</v>
      </c>
      <c r="B691" s="3074" t="s">
        <v>3762</v>
      </c>
      <c r="C691" s="3075">
        <v>42.05</v>
      </c>
      <c r="D691" s="3076">
        <v>28.875</v>
      </c>
      <c r="E691" s="3076">
        <v>13.173</v>
      </c>
      <c r="F691" s="1407">
        <f ca="1">ROUND(系统读取表!$E$14*面积清单!C691,0)</f>
        <v>307175</v>
      </c>
    </row>
    <row r="692" spans="1:6" ht="16.5">
      <c r="A692" s="3073" t="s">
        <v>3089</v>
      </c>
      <c r="B692" s="3074" t="s">
        <v>3763</v>
      </c>
      <c r="C692" s="3075">
        <v>54.41</v>
      </c>
      <c r="D692" s="3076">
        <v>37.366</v>
      </c>
      <c r="E692" s="3076">
        <v>17.047000000000001</v>
      </c>
      <c r="F692" s="1407">
        <f ca="1">ROUND(系统读取表!$E$14*面积清单!C692,0)</f>
        <v>397465</v>
      </c>
    </row>
    <row r="693" spans="1:6" ht="16.5">
      <c r="A693" s="3073" t="s">
        <v>3089</v>
      </c>
      <c r="B693" s="3074" t="s">
        <v>3764</v>
      </c>
      <c r="C693" s="3075">
        <v>52.44</v>
      </c>
      <c r="D693" s="3076">
        <v>36.012999999999998</v>
      </c>
      <c r="E693" s="3076">
        <v>16.43</v>
      </c>
      <c r="F693" s="1407">
        <f ca="1">ROUND(系统读取表!$E$14*面积清单!C693,0)</f>
        <v>383074</v>
      </c>
    </row>
    <row r="694" spans="1:6" ht="16.5">
      <c r="A694" s="3073" t="s">
        <v>3089</v>
      </c>
      <c r="B694" s="3074" t="s">
        <v>3765</v>
      </c>
      <c r="C694" s="3075">
        <v>52.44</v>
      </c>
      <c r="D694" s="3076">
        <v>36.012999999999998</v>
      </c>
      <c r="E694" s="3076">
        <v>16.43</v>
      </c>
      <c r="F694" s="1407">
        <f ca="1">ROUND(系统读取表!$E$14*面积清单!C694,0)</f>
        <v>383074</v>
      </c>
    </row>
    <row r="695" spans="1:6" ht="16.5">
      <c r="A695" s="3073" t="s">
        <v>3089</v>
      </c>
      <c r="B695" s="3074" t="s">
        <v>3766</v>
      </c>
      <c r="C695" s="3075">
        <v>52.44</v>
      </c>
      <c r="D695" s="3076">
        <v>36.012999999999998</v>
      </c>
      <c r="E695" s="3076">
        <v>16.43</v>
      </c>
      <c r="F695" s="1407">
        <f ca="1">ROUND(系统读取表!$E$14*面积清单!C695,0)</f>
        <v>383074</v>
      </c>
    </row>
    <row r="696" spans="1:6" ht="16.5">
      <c r="A696" s="3073" t="s">
        <v>3089</v>
      </c>
      <c r="B696" s="3074" t="s">
        <v>3767</v>
      </c>
      <c r="C696" s="3075">
        <v>52.44</v>
      </c>
      <c r="D696" s="3076">
        <v>36.012999999999998</v>
      </c>
      <c r="E696" s="3076">
        <v>16.43</v>
      </c>
      <c r="F696" s="1407">
        <f ca="1">ROUND(系统读取表!$E$14*面积清单!C696,0)</f>
        <v>383074</v>
      </c>
    </row>
    <row r="697" spans="1:6" ht="16.5">
      <c r="A697" s="3073" t="s">
        <v>3089</v>
      </c>
      <c r="B697" s="3074" t="s">
        <v>3768</v>
      </c>
      <c r="C697" s="3075">
        <v>52.44</v>
      </c>
      <c r="D697" s="3076">
        <v>36.012999999999998</v>
      </c>
      <c r="E697" s="3076">
        <v>16.43</v>
      </c>
      <c r="F697" s="1407">
        <f ca="1">ROUND(系统读取表!$E$14*面积清单!C697,0)</f>
        <v>383074</v>
      </c>
    </row>
    <row r="698" spans="1:6" ht="16.5">
      <c r="A698" s="3073" t="s">
        <v>3089</v>
      </c>
      <c r="B698" s="3074" t="s">
        <v>3769</v>
      </c>
      <c r="C698" s="3075">
        <v>52.44</v>
      </c>
      <c r="D698" s="3076">
        <v>36.012999999999998</v>
      </c>
      <c r="E698" s="3076">
        <v>16.43</v>
      </c>
      <c r="F698" s="1407">
        <f ca="1">ROUND(系统读取表!$E$14*面积清单!C698,0)</f>
        <v>383074</v>
      </c>
    </row>
    <row r="699" spans="1:6" ht="16.5">
      <c r="A699" s="3073" t="s">
        <v>3089</v>
      </c>
      <c r="B699" s="3074" t="s">
        <v>3770</v>
      </c>
      <c r="C699" s="3075">
        <v>52.44</v>
      </c>
      <c r="D699" s="3076">
        <v>36.012999999999998</v>
      </c>
      <c r="E699" s="3076">
        <v>16.43</v>
      </c>
      <c r="F699" s="1407">
        <f ca="1">ROUND(系统读取表!$E$14*面积清单!C699,0)</f>
        <v>383074</v>
      </c>
    </row>
    <row r="700" spans="1:6" ht="16.5">
      <c r="A700" s="3073" t="s">
        <v>3089</v>
      </c>
      <c r="B700" s="3074" t="s">
        <v>3771</v>
      </c>
      <c r="C700" s="3075">
        <v>54.41</v>
      </c>
      <c r="D700" s="3076">
        <v>37.366</v>
      </c>
      <c r="E700" s="3076">
        <v>17.047000000000001</v>
      </c>
      <c r="F700" s="1407">
        <f ca="1">ROUND(系统读取表!$E$14*面积清单!C700,0)</f>
        <v>397465</v>
      </c>
    </row>
    <row r="701" spans="1:6" ht="16.5">
      <c r="A701" s="3073" t="s">
        <v>3089</v>
      </c>
      <c r="B701" s="3074" t="s">
        <v>3772</v>
      </c>
      <c r="C701" s="3075">
        <v>42.05</v>
      </c>
      <c r="D701" s="3076">
        <v>28.875</v>
      </c>
      <c r="E701" s="3076">
        <v>13.173</v>
      </c>
      <c r="F701" s="1407">
        <f ca="1">ROUND(系统读取表!$E$14*面积清单!C701,0)</f>
        <v>307175</v>
      </c>
    </row>
    <row r="702" spans="1:6" ht="16.5">
      <c r="A702" s="3073" t="s">
        <v>3089</v>
      </c>
      <c r="B702" s="3074" t="s">
        <v>3773</v>
      </c>
      <c r="C702" s="3075">
        <v>42.05</v>
      </c>
      <c r="D702" s="3076">
        <v>28.875</v>
      </c>
      <c r="E702" s="3076">
        <v>13.173</v>
      </c>
      <c r="F702" s="1407">
        <f ca="1">ROUND(系统读取表!$E$14*面积清单!C702,0)</f>
        <v>307175</v>
      </c>
    </row>
    <row r="703" spans="1:6" ht="16.5">
      <c r="A703" s="3073" t="s">
        <v>3089</v>
      </c>
      <c r="B703" s="3074" t="s">
        <v>3774</v>
      </c>
      <c r="C703" s="3075">
        <v>42.05</v>
      </c>
      <c r="D703" s="3076">
        <v>28.875</v>
      </c>
      <c r="E703" s="3076">
        <v>13.173</v>
      </c>
      <c r="F703" s="1407">
        <f ca="1">ROUND(系统读取表!$E$14*面积清单!C703,0)</f>
        <v>307175</v>
      </c>
    </row>
    <row r="704" spans="1:6" ht="16.5">
      <c r="A704" s="3073" t="s">
        <v>3089</v>
      </c>
      <c r="B704" s="3074" t="s">
        <v>3775</v>
      </c>
      <c r="C704" s="3075">
        <v>43.65</v>
      </c>
      <c r="D704" s="3076">
        <v>29.975000000000001</v>
      </c>
      <c r="E704" s="3076">
        <v>13.675000000000001</v>
      </c>
      <c r="F704" s="1407">
        <f ca="1">ROUND(系统读取表!$E$14*面积清单!C704,0)</f>
        <v>318863</v>
      </c>
    </row>
    <row r="705" spans="1:6" ht="16.5">
      <c r="A705" s="3073" t="s">
        <v>3089</v>
      </c>
      <c r="B705" s="3074" t="s">
        <v>3776</v>
      </c>
      <c r="C705" s="3075">
        <v>41.55</v>
      </c>
      <c r="D705" s="3076">
        <v>28.530999999999999</v>
      </c>
      <c r="E705" s="3076">
        <v>13.016</v>
      </c>
      <c r="F705" s="1407">
        <f ca="1">ROUND(系统读取表!$E$14*面积清单!C705,0)</f>
        <v>303523</v>
      </c>
    </row>
    <row r="706" spans="1:6" ht="16.5">
      <c r="A706" s="3073" t="s">
        <v>3089</v>
      </c>
      <c r="B706" s="3074" t="s">
        <v>3777</v>
      </c>
      <c r="C706" s="3075">
        <v>41.55</v>
      </c>
      <c r="D706" s="3076">
        <v>28.530999999999999</v>
      </c>
      <c r="E706" s="3076">
        <v>13.016</v>
      </c>
      <c r="F706" s="1407">
        <f ca="1">ROUND(系统读取表!$E$14*面积清单!C706,0)</f>
        <v>303523</v>
      </c>
    </row>
    <row r="707" spans="1:6" ht="16.5">
      <c r="A707" s="3073" t="s">
        <v>3089</v>
      </c>
      <c r="B707" s="3074" t="s">
        <v>3778</v>
      </c>
      <c r="C707" s="3075">
        <v>41.55</v>
      </c>
      <c r="D707" s="3076">
        <v>28.530999999999999</v>
      </c>
      <c r="E707" s="3076">
        <v>13.016</v>
      </c>
      <c r="F707" s="1407">
        <f ca="1">ROUND(系统读取表!$E$14*面积清单!C707,0)</f>
        <v>303523</v>
      </c>
    </row>
    <row r="708" spans="1:6" ht="16.5">
      <c r="A708" s="3073" t="s">
        <v>3089</v>
      </c>
      <c r="B708" s="3074" t="s">
        <v>3779</v>
      </c>
      <c r="C708" s="3075">
        <v>41.55</v>
      </c>
      <c r="D708" s="3076">
        <v>28.530999999999999</v>
      </c>
      <c r="E708" s="3076">
        <v>13.016</v>
      </c>
      <c r="F708" s="1407">
        <f ca="1">ROUND(系统读取表!$E$14*面积清单!C708,0)</f>
        <v>303523</v>
      </c>
    </row>
    <row r="709" spans="1:6" ht="16.5">
      <c r="A709" s="3073" t="s">
        <v>3089</v>
      </c>
      <c r="B709" s="3074" t="s">
        <v>3780</v>
      </c>
      <c r="C709" s="3075">
        <v>41.55</v>
      </c>
      <c r="D709" s="3076">
        <v>28.530999999999999</v>
      </c>
      <c r="E709" s="3076">
        <v>13.016</v>
      </c>
      <c r="F709" s="1407">
        <f ca="1">ROUND(系统读取表!$E$14*面积清单!C709,0)</f>
        <v>303523</v>
      </c>
    </row>
    <row r="710" spans="1:6" ht="16.5">
      <c r="A710" s="3073" t="s">
        <v>3089</v>
      </c>
      <c r="B710" s="3074" t="s">
        <v>3781</v>
      </c>
      <c r="C710" s="3075">
        <v>43.65</v>
      </c>
      <c r="D710" s="3076">
        <v>29.975000000000001</v>
      </c>
      <c r="E710" s="3076">
        <v>13.675000000000001</v>
      </c>
      <c r="F710" s="1407">
        <f ca="1">ROUND(系统读取表!$E$14*面积清单!C710,0)</f>
        <v>318863</v>
      </c>
    </row>
    <row r="711" spans="1:6" ht="16.5">
      <c r="A711" s="3073" t="s">
        <v>3089</v>
      </c>
      <c r="B711" s="3074" t="s">
        <v>3782</v>
      </c>
      <c r="C711" s="3075">
        <v>42.05</v>
      </c>
      <c r="D711" s="3076">
        <v>28.875</v>
      </c>
      <c r="E711" s="3076">
        <v>13.173</v>
      </c>
      <c r="F711" s="1407">
        <f ca="1">ROUND(系统读取表!$E$14*面积清单!C711,0)</f>
        <v>307175</v>
      </c>
    </row>
    <row r="712" spans="1:6" ht="16.5">
      <c r="A712" s="3073" t="s">
        <v>3089</v>
      </c>
      <c r="B712" s="3074" t="s">
        <v>3783</v>
      </c>
      <c r="C712" s="3075">
        <v>42.05</v>
      </c>
      <c r="D712" s="3076">
        <v>28.875</v>
      </c>
      <c r="E712" s="3076">
        <v>13.173</v>
      </c>
      <c r="F712" s="1407">
        <f ca="1">ROUND(系统读取表!$E$14*面积清单!C712,0)</f>
        <v>307175</v>
      </c>
    </row>
    <row r="713" spans="1:6" ht="16.5">
      <c r="A713" s="3073" t="s">
        <v>3089</v>
      </c>
      <c r="B713" s="3074" t="s">
        <v>3784</v>
      </c>
      <c r="C713" s="3075">
        <v>42.05</v>
      </c>
      <c r="D713" s="3076">
        <v>28.875</v>
      </c>
      <c r="E713" s="3076">
        <v>13.173</v>
      </c>
      <c r="F713" s="1407">
        <f ca="1">ROUND(系统读取表!$E$14*面积清单!C713,0)</f>
        <v>307175</v>
      </c>
    </row>
    <row r="714" spans="1:6" ht="16.5">
      <c r="A714" s="3073" t="s">
        <v>3089</v>
      </c>
      <c r="B714" s="3074" t="s">
        <v>3785</v>
      </c>
      <c r="C714" s="3075">
        <v>54.6</v>
      </c>
      <c r="D714" s="3076">
        <v>37.366</v>
      </c>
      <c r="E714" s="3076">
        <v>17.234000000000002</v>
      </c>
      <c r="F714" s="1407">
        <f ca="1">ROUND(系统读取表!$E$14*面积清单!C714,0)</f>
        <v>398853</v>
      </c>
    </row>
    <row r="715" spans="1:6" ht="16.5">
      <c r="A715" s="3073" t="s">
        <v>3089</v>
      </c>
      <c r="B715" s="3074" t="s">
        <v>3786</v>
      </c>
      <c r="C715" s="3075">
        <v>42.19</v>
      </c>
      <c r="D715" s="3076">
        <v>28.875</v>
      </c>
      <c r="E715" s="3076">
        <v>13.318</v>
      </c>
      <c r="F715" s="1407">
        <f ca="1">ROUND(系统读取表!$E$14*面积清单!C715,0)</f>
        <v>308198</v>
      </c>
    </row>
    <row r="716" spans="1:6" ht="16.5">
      <c r="A716" s="3073" t="s">
        <v>3089</v>
      </c>
      <c r="B716" s="3074" t="s">
        <v>3787</v>
      </c>
      <c r="C716" s="3075">
        <v>42.19</v>
      </c>
      <c r="D716" s="3076">
        <v>28.875</v>
      </c>
      <c r="E716" s="3076">
        <v>13.318</v>
      </c>
      <c r="F716" s="1407">
        <f ca="1">ROUND(系统读取表!$E$14*面积清单!C716,0)</f>
        <v>308198</v>
      </c>
    </row>
    <row r="717" spans="1:6" ht="16.5">
      <c r="A717" s="3073" t="s">
        <v>3089</v>
      </c>
      <c r="B717" s="3074" t="s">
        <v>3788</v>
      </c>
      <c r="C717" s="3075">
        <v>42.19</v>
      </c>
      <c r="D717" s="3076">
        <v>28.875</v>
      </c>
      <c r="E717" s="3076">
        <v>13.318</v>
      </c>
      <c r="F717" s="1407">
        <f ca="1">ROUND(系统读取表!$E$14*面积清单!C717,0)</f>
        <v>308198</v>
      </c>
    </row>
    <row r="718" spans="1:6" ht="16.5">
      <c r="A718" s="3073" t="s">
        <v>3089</v>
      </c>
      <c r="B718" s="3074" t="s">
        <v>3789</v>
      </c>
      <c r="C718" s="3075">
        <v>43.8</v>
      </c>
      <c r="D718" s="3076">
        <v>29.975000000000001</v>
      </c>
      <c r="E718" s="3076">
        <v>13.824999999999999</v>
      </c>
      <c r="F718" s="1407">
        <f ca="1">ROUND(系统读取表!$E$14*面积清单!C718,0)</f>
        <v>319959</v>
      </c>
    </row>
    <row r="719" spans="1:6" ht="16.5">
      <c r="A719" s="3073" t="s">
        <v>3089</v>
      </c>
      <c r="B719" s="3074" t="s">
        <v>3790</v>
      </c>
      <c r="C719" s="3075">
        <v>41.69</v>
      </c>
      <c r="D719" s="3076">
        <v>28.530999999999999</v>
      </c>
      <c r="E719" s="3076">
        <v>13.159000000000001</v>
      </c>
      <c r="F719" s="1407">
        <f ca="1">ROUND(系统读取表!$E$14*面积清单!C719,0)</f>
        <v>304545</v>
      </c>
    </row>
    <row r="720" spans="1:6" ht="16.5">
      <c r="A720" s="3073" t="s">
        <v>3089</v>
      </c>
      <c r="B720" s="3074" t="s">
        <v>3791</v>
      </c>
      <c r="C720" s="3075">
        <v>41.69</v>
      </c>
      <c r="D720" s="3076">
        <v>28.530999999999999</v>
      </c>
      <c r="E720" s="3076">
        <v>13.159000000000001</v>
      </c>
      <c r="F720" s="1407">
        <f ca="1">ROUND(系统读取表!$E$14*面积清单!C720,0)</f>
        <v>304545</v>
      </c>
    </row>
    <row r="721" spans="1:6" ht="16.5">
      <c r="A721" s="3073" t="s">
        <v>3089</v>
      </c>
      <c r="B721" s="3074" t="s">
        <v>3792</v>
      </c>
      <c r="C721" s="3075">
        <v>41.69</v>
      </c>
      <c r="D721" s="3076">
        <v>28.530999999999999</v>
      </c>
      <c r="E721" s="3076">
        <v>13.159000000000001</v>
      </c>
      <c r="F721" s="1407">
        <f ca="1">ROUND(系统读取表!$E$14*面积清单!C721,0)</f>
        <v>304545</v>
      </c>
    </row>
    <row r="722" spans="1:6" ht="16.5">
      <c r="A722" s="3073" t="s">
        <v>3089</v>
      </c>
      <c r="B722" s="3074" t="s">
        <v>3793</v>
      </c>
      <c r="C722" s="3075">
        <v>41.69</v>
      </c>
      <c r="D722" s="3076">
        <v>28.530999999999999</v>
      </c>
      <c r="E722" s="3076">
        <v>13.159000000000001</v>
      </c>
      <c r="F722" s="1407">
        <f ca="1">ROUND(系统读取表!$E$14*面积清单!C722,0)</f>
        <v>304545</v>
      </c>
    </row>
    <row r="723" spans="1:6" ht="16.5">
      <c r="A723" s="3073" t="s">
        <v>3089</v>
      </c>
      <c r="B723" s="3074" t="s">
        <v>3794</v>
      </c>
      <c r="C723" s="3075">
        <v>41.69</v>
      </c>
      <c r="D723" s="3076">
        <v>28.530999999999999</v>
      </c>
      <c r="E723" s="3076">
        <v>13.159000000000001</v>
      </c>
      <c r="F723" s="1407">
        <f ca="1">ROUND(系统读取表!$E$14*面积清单!C723,0)</f>
        <v>304545</v>
      </c>
    </row>
    <row r="724" spans="1:6" ht="16.5">
      <c r="A724" s="3073" t="s">
        <v>3089</v>
      </c>
      <c r="B724" s="3074" t="s">
        <v>3795</v>
      </c>
      <c r="C724" s="3075">
        <v>43.8</v>
      </c>
      <c r="D724" s="3076">
        <v>29.975000000000001</v>
      </c>
      <c r="E724" s="3076">
        <v>13.824999999999999</v>
      </c>
      <c r="F724" s="1407">
        <f ca="1">ROUND(系统读取表!$E$14*面积清单!C724,0)</f>
        <v>319959</v>
      </c>
    </row>
    <row r="725" spans="1:6" ht="16.5">
      <c r="A725" s="3073" t="s">
        <v>3089</v>
      </c>
      <c r="B725" s="3074" t="s">
        <v>3796</v>
      </c>
      <c r="C725" s="3075">
        <v>42.19</v>
      </c>
      <c r="D725" s="3076">
        <v>28.875</v>
      </c>
      <c r="E725" s="3076">
        <v>13.318</v>
      </c>
      <c r="F725" s="1407">
        <f ca="1">ROUND(系统读取表!$E$14*面积清单!C725,0)</f>
        <v>308198</v>
      </c>
    </row>
    <row r="726" spans="1:6" ht="16.5">
      <c r="A726" s="3073" t="s">
        <v>3089</v>
      </c>
      <c r="B726" s="3074" t="s">
        <v>3797</v>
      </c>
      <c r="C726" s="3075">
        <v>42.19</v>
      </c>
      <c r="D726" s="3076">
        <v>28.875</v>
      </c>
      <c r="E726" s="3076">
        <v>13.318</v>
      </c>
      <c r="F726" s="1407">
        <f ca="1">ROUND(系统读取表!$E$14*面积清单!C726,0)</f>
        <v>308198</v>
      </c>
    </row>
    <row r="727" spans="1:6" ht="16.5">
      <c r="A727" s="3073" t="s">
        <v>3089</v>
      </c>
      <c r="B727" s="3074" t="s">
        <v>3798</v>
      </c>
      <c r="C727" s="3075">
        <v>42.19</v>
      </c>
      <c r="D727" s="3076">
        <v>28.875</v>
      </c>
      <c r="E727" s="3076">
        <v>13.318</v>
      </c>
      <c r="F727" s="1407">
        <f ca="1">ROUND(系统读取表!$E$14*面积清单!C727,0)</f>
        <v>308198</v>
      </c>
    </row>
    <row r="728" spans="1:6" ht="16.5">
      <c r="A728" s="3073" t="s">
        <v>3089</v>
      </c>
      <c r="B728" s="3074" t="s">
        <v>3799</v>
      </c>
      <c r="C728" s="3075">
        <v>54.6</v>
      </c>
      <c r="D728" s="3076">
        <v>37.366</v>
      </c>
      <c r="E728" s="3076">
        <v>17.234000000000002</v>
      </c>
      <c r="F728" s="1407">
        <f ca="1">ROUND(系统读取表!$E$14*面积清单!C728,0)</f>
        <v>398853</v>
      </c>
    </row>
    <row r="729" spans="1:6" ht="16.5">
      <c r="A729" s="3073" t="s">
        <v>3089</v>
      </c>
      <c r="B729" s="3074" t="s">
        <v>3800</v>
      </c>
      <c r="C729" s="3075">
        <v>52.62</v>
      </c>
      <c r="D729" s="3076">
        <v>36.012999999999998</v>
      </c>
      <c r="E729" s="3076">
        <v>16.61</v>
      </c>
      <c r="F729" s="1407">
        <f ca="1">ROUND(系统读取表!$E$14*面积清单!C729,0)</f>
        <v>384389</v>
      </c>
    </row>
    <row r="730" spans="1:6" ht="16.5">
      <c r="A730" s="3073" t="s">
        <v>3089</v>
      </c>
      <c r="B730" s="3074" t="s">
        <v>3801</v>
      </c>
      <c r="C730" s="3075">
        <v>52.62</v>
      </c>
      <c r="D730" s="3076">
        <v>36.012999999999998</v>
      </c>
      <c r="E730" s="3076">
        <v>16.61</v>
      </c>
      <c r="F730" s="1407">
        <f ca="1">ROUND(系统读取表!$E$14*面积清单!C730,0)</f>
        <v>384389</v>
      </c>
    </row>
    <row r="731" spans="1:6" ht="16.5">
      <c r="A731" s="3073" t="s">
        <v>3089</v>
      </c>
      <c r="B731" s="3074" t="s">
        <v>3802</v>
      </c>
      <c r="C731" s="3075">
        <v>52.62</v>
      </c>
      <c r="D731" s="3076">
        <v>36.012999999999998</v>
      </c>
      <c r="E731" s="3076">
        <v>16.61</v>
      </c>
      <c r="F731" s="1407">
        <f ca="1">ROUND(系统读取表!$E$14*面积清单!C731,0)</f>
        <v>384389</v>
      </c>
    </row>
    <row r="732" spans="1:6" ht="16.5">
      <c r="A732" s="3073" t="s">
        <v>3089</v>
      </c>
      <c r="B732" s="3074" t="s">
        <v>3803</v>
      </c>
      <c r="C732" s="3075">
        <v>52.62</v>
      </c>
      <c r="D732" s="3076">
        <v>36.012999999999998</v>
      </c>
      <c r="E732" s="3076">
        <v>16.61</v>
      </c>
      <c r="F732" s="1407">
        <f ca="1">ROUND(系统读取表!$E$14*面积清单!C732,0)</f>
        <v>384389</v>
      </c>
    </row>
    <row r="733" spans="1:6" ht="16.5">
      <c r="A733" s="3073" t="s">
        <v>3089</v>
      </c>
      <c r="B733" s="3074" t="s">
        <v>3804</v>
      </c>
      <c r="C733" s="3075">
        <v>52.62</v>
      </c>
      <c r="D733" s="3076">
        <v>36.012999999999998</v>
      </c>
      <c r="E733" s="3076">
        <v>16.61</v>
      </c>
      <c r="F733" s="1407">
        <f ca="1">ROUND(系统读取表!$E$14*面积清单!C733,0)</f>
        <v>384389</v>
      </c>
    </row>
    <row r="734" spans="1:6" ht="16.5">
      <c r="A734" s="3073" t="s">
        <v>3089</v>
      </c>
      <c r="B734" s="3074" t="s">
        <v>3805</v>
      </c>
      <c r="C734" s="3075">
        <v>52.62</v>
      </c>
      <c r="D734" s="3076">
        <v>36.012999999999998</v>
      </c>
      <c r="E734" s="3076">
        <v>16.61</v>
      </c>
      <c r="F734" s="1407">
        <f ca="1">ROUND(系统读取表!$E$14*面积清单!C734,0)</f>
        <v>384389</v>
      </c>
    </row>
    <row r="735" spans="1:6" ht="16.5">
      <c r="A735" s="3073" t="s">
        <v>3089</v>
      </c>
      <c r="B735" s="3074" t="s">
        <v>3806</v>
      </c>
      <c r="C735" s="3075">
        <v>52.62</v>
      </c>
      <c r="D735" s="3076">
        <v>36.012999999999998</v>
      </c>
      <c r="E735" s="3076">
        <v>16.61</v>
      </c>
      <c r="F735" s="1407">
        <f ca="1">ROUND(系统读取表!$E$14*面积清单!C735,0)</f>
        <v>384389</v>
      </c>
    </row>
    <row r="736" spans="1:6" ht="16.5">
      <c r="A736" s="3073" t="s">
        <v>3089</v>
      </c>
      <c r="B736" s="3074" t="s">
        <v>3807</v>
      </c>
      <c r="C736" s="3075">
        <v>54.6</v>
      </c>
      <c r="D736" s="3076">
        <v>37.366</v>
      </c>
      <c r="E736" s="3076">
        <v>17.234000000000002</v>
      </c>
      <c r="F736" s="1407">
        <f ca="1">ROUND(系统读取表!$E$14*面积清单!C736,0)</f>
        <v>398853</v>
      </c>
    </row>
    <row r="737" spans="1:6" ht="16.5">
      <c r="A737" s="3073" t="s">
        <v>3089</v>
      </c>
      <c r="B737" s="3074" t="s">
        <v>3808</v>
      </c>
      <c r="C737" s="3075">
        <v>42.19</v>
      </c>
      <c r="D737" s="3076">
        <v>28.875</v>
      </c>
      <c r="E737" s="3076">
        <v>13.318</v>
      </c>
      <c r="F737" s="1407">
        <f ca="1">ROUND(系统读取表!$E$14*面积清单!C737,0)</f>
        <v>308198</v>
      </c>
    </row>
    <row r="738" spans="1:6" ht="16.5">
      <c r="A738" s="3073" t="s">
        <v>3089</v>
      </c>
      <c r="B738" s="3074" t="s">
        <v>3809</v>
      </c>
      <c r="C738" s="3075">
        <v>42.19</v>
      </c>
      <c r="D738" s="3076">
        <v>28.875</v>
      </c>
      <c r="E738" s="3076">
        <v>13.318</v>
      </c>
      <c r="F738" s="1407">
        <f ca="1">ROUND(系统读取表!$E$14*面积清单!C738,0)</f>
        <v>308198</v>
      </c>
    </row>
    <row r="739" spans="1:6" ht="16.5">
      <c r="A739" s="3073" t="s">
        <v>3089</v>
      </c>
      <c r="B739" s="3074" t="s">
        <v>3810</v>
      </c>
      <c r="C739" s="3075">
        <v>42.19</v>
      </c>
      <c r="D739" s="3076">
        <v>28.875</v>
      </c>
      <c r="E739" s="3076">
        <v>13.318</v>
      </c>
      <c r="F739" s="1407">
        <f ca="1">ROUND(系统读取表!$E$14*面积清单!C739,0)</f>
        <v>308198</v>
      </c>
    </row>
    <row r="740" spans="1:6" ht="16.5">
      <c r="A740" s="3073" t="s">
        <v>3089</v>
      </c>
      <c r="B740" s="3074" t="s">
        <v>3811</v>
      </c>
      <c r="C740" s="3075">
        <v>43.8</v>
      </c>
      <c r="D740" s="3076">
        <v>29.975000000000001</v>
      </c>
      <c r="E740" s="3076">
        <v>13.824999999999999</v>
      </c>
      <c r="F740" s="1407">
        <f ca="1">ROUND(系统读取表!$E$14*面积清单!C740,0)</f>
        <v>319959</v>
      </c>
    </row>
    <row r="741" spans="1:6" ht="16.5">
      <c r="A741" s="3073" t="s">
        <v>3089</v>
      </c>
      <c r="B741" s="3074" t="s">
        <v>3812</v>
      </c>
      <c r="C741" s="3075">
        <v>41.69</v>
      </c>
      <c r="D741" s="3076">
        <v>28.530999999999999</v>
      </c>
      <c r="E741" s="3076">
        <v>13.159000000000001</v>
      </c>
      <c r="F741" s="1407">
        <f ca="1">ROUND(系统读取表!$E$14*面积清单!C741,0)</f>
        <v>304545</v>
      </c>
    </row>
    <row r="742" spans="1:6" ht="16.5">
      <c r="A742" s="3073" t="s">
        <v>3089</v>
      </c>
      <c r="B742" s="3074" t="s">
        <v>3813</v>
      </c>
      <c r="C742" s="3075">
        <v>41.69</v>
      </c>
      <c r="D742" s="3076">
        <v>28.530999999999999</v>
      </c>
      <c r="E742" s="3076">
        <v>13.159000000000001</v>
      </c>
      <c r="F742" s="1407">
        <f ca="1">ROUND(系统读取表!$E$14*面积清单!C742,0)</f>
        <v>304545</v>
      </c>
    </row>
    <row r="743" spans="1:6" ht="16.5">
      <c r="A743" s="3073" t="s">
        <v>3089</v>
      </c>
      <c r="B743" s="3074" t="s">
        <v>3814</v>
      </c>
      <c r="C743" s="3075">
        <v>41.69</v>
      </c>
      <c r="D743" s="3076">
        <v>28.530999999999999</v>
      </c>
      <c r="E743" s="3076">
        <v>13.159000000000001</v>
      </c>
      <c r="F743" s="1407">
        <f ca="1">ROUND(系统读取表!$E$14*面积清单!C743,0)</f>
        <v>304545</v>
      </c>
    </row>
    <row r="744" spans="1:6" ht="16.5">
      <c r="A744" s="3073" t="s">
        <v>3089</v>
      </c>
      <c r="B744" s="3074" t="s">
        <v>3815</v>
      </c>
      <c r="C744" s="3075">
        <v>41.69</v>
      </c>
      <c r="D744" s="3076">
        <v>28.530999999999999</v>
      </c>
      <c r="E744" s="3076">
        <v>13.159000000000001</v>
      </c>
      <c r="F744" s="1407">
        <f ca="1">ROUND(系统读取表!$E$14*面积清单!C744,0)</f>
        <v>304545</v>
      </c>
    </row>
    <row r="745" spans="1:6" ht="16.5">
      <c r="A745" s="3073" t="s">
        <v>3089</v>
      </c>
      <c r="B745" s="3074" t="s">
        <v>3816</v>
      </c>
      <c r="C745" s="3075">
        <v>41.69</v>
      </c>
      <c r="D745" s="3076">
        <v>28.530999999999999</v>
      </c>
      <c r="E745" s="3076">
        <v>13.159000000000001</v>
      </c>
      <c r="F745" s="1407">
        <f ca="1">ROUND(系统读取表!$E$14*面积清单!C745,0)</f>
        <v>304545</v>
      </c>
    </row>
    <row r="746" spans="1:6" ht="16.5">
      <c r="A746" s="3073" t="s">
        <v>3089</v>
      </c>
      <c r="B746" s="3074" t="s">
        <v>3817</v>
      </c>
      <c r="C746" s="3075">
        <v>43.8</v>
      </c>
      <c r="D746" s="3076">
        <v>29.975000000000001</v>
      </c>
      <c r="E746" s="3076">
        <v>13.824999999999999</v>
      </c>
      <c r="F746" s="1407">
        <f ca="1">ROUND(系统读取表!$E$14*面积清单!C746,0)</f>
        <v>319959</v>
      </c>
    </row>
    <row r="747" spans="1:6" ht="16.5">
      <c r="A747" s="3073" t="s">
        <v>3089</v>
      </c>
      <c r="B747" s="3074" t="s">
        <v>3818</v>
      </c>
      <c r="C747" s="3075">
        <v>42.19</v>
      </c>
      <c r="D747" s="3076">
        <v>28.875</v>
      </c>
      <c r="E747" s="3076">
        <v>13.318</v>
      </c>
      <c r="F747" s="1407">
        <f ca="1">ROUND(系统读取表!$E$14*面积清单!C747,0)</f>
        <v>308198</v>
      </c>
    </row>
    <row r="748" spans="1:6" ht="16.5">
      <c r="A748" s="3073" t="s">
        <v>3089</v>
      </c>
      <c r="B748" s="3074" t="s">
        <v>3819</v>
      </c>
      <c r="C748" s="3075">
        <v>42.19</v>
      </c>
      <c r="D748" s="3076">
        <v>28.875</v>
      </c>
      <c r="E748" s="3076">
        <v>13.318</v>
      </c>
      <c r="F748" s="1407">
        <f ca="1">ROUND(系统读取表!$E$14*面积清单!C748,0)</f>
        <v>308198</v>
      </c>
    </row>
    <row r="749" spans="1:6" ht="16.5">
      <c r="A749" s="3073" t="s">
        <v>3089</v>
      </c>
      <c r="B749" s="3074" t="s">
        <v>3820</v>
      </c>
      <c r="C749" s="3075">
        <v>42.19</v>
      </c>
      <c r="D749" s="3076">
        <v>28.875</v>
      </c>
      <c r="E749" s="3076">
        <v>13.318</v>
      </c>
      <c r="F749" s="1407">
        <f ca="1">ROUND(系统读取表!$E$14*面积清单!C749,0)</f>
        <v>308198</v>
      </c>
    </row>
    <row r="750" spans="1:6" ht="16.5">
      <c r="A750" s="3073" t="s">
        <v>3089</v>
      </c>
      <c r="B750" s="3074" t="s">
        <v>3821</v>
      </c>
      <c r="C750" s="3075">
        <v>54.6</v>
      </c>
      <c r="D750" s="3076">
        <v>37.366</v>
      </c>
      <c r="E750" s="3076">
        <v>17.234000000000002</v>
      </c>
      <c r="F750" s="1407">
        <f ca="1">ROUND(系统读取表!$E$14*面积清单!C750,0)</f>
        <v>398853</v>
      </c>
    </row>
    <row r="751" spans="1:6" ht="16.5">
      <c r="A751" s="3073" t="s">
        <v>3089</v>
      </c>
      <c r="B751" s="3074" t="s">
        <v>3822</v>
      </c>
      <c r="C751" s="3075">
        <v>52.62</v>
      </c>
      <c r="D751" s="3076">
        <v>36.012999999999998</v>
      </c>
      <c r="E751" s="3076">
        <v>16.61</v>
      </c>
      <c r="F751" s="1407">
        <f ca="1">ROUND(系统读取表!$E$14*面积清单!C751,0)</f>
        <v>384389</v>
      </c>
    </row>
    <row r="752" spans="1:6" ht="16.5">
      <c r="A752" s="3073" t="s">
        <v>3089</v>
      </c>
      <c r="B752" s="3074" t="s">
        <v>3823</v>
      </c>
      <c r="C752" s="3075">
        <v>52.62</v>
      </c>
      <c r="D752" s="3076">
        <v>36.012999999999998</v>
      </c>
      <c r="E752" s="3076">
        <v>16.61</v>
      </c>
      <c r="F752" s="1407">
        <f ca="1">ROUND(系统读取表!$E$14*面积清单!C752,0)</f>
        <v>384389</v>
      </c>
    </row>
    <row r="753" spans="1:6" ht="16.5">
      <c r="A753" s="3073" t="s">
        <v>3089</v>
      </c>
      <c r="B753" s="3074" t="s">
        <v>3824</v>
      </c>
      <c r="C753" s="3075">
        <v>52.62</v>
      </c>
      <c r="D753" s="3076">
        <v>36.012999999999998</v>
      </c>
      <c r="E753" s="3076">
        <v>16.61</v>
      </c>
      <c r="F753" s="1407">
        <f ca="1">ROUND(系统读取表!$E$14*面积清单!C753,0)</f>
        <v>384389</v>
      </c>
    </row>
    <row r="754" spans="1:6" ht="16.5">
      <c r="A754" s="3073" t="s">
        <v>3089</v>
      </c>
      <c r="B754" s="3074" t="s">
        <v>3825</v>
      </c>
      <c r="C754" s="3075">
        <v>52.62</v>
      </c>
      <c r="D754" s="3076">
        <v>36.012999999999998</v>
      </c>
      <c r="E754" s="3076">
        <v>16.61</v>
      </c>
      <c r="F754" s="1407">
        <f ca="1">ROUND(系统读取表!$E$14*面积清单!C754,0)</f>
        <v>384389</v>
      </c>
    </row>
    <row r="755" spans="1:6" ht="16.5">
      <c r="A755" s="3073" t="s">
        <v>3089</v>
      </c>
      <c r="B755" s="3074" t="s">
        <v>3826</v>
      </c>
      <c r="C755" s="3075">
        <v>43.8</v>
      </c>
      <c r="D755" s="3076">
        <v>29.975000000000001</v>
      </c>
      <c r="E755" s="3076">
        <v>13.824999999999999</v>
      </c>
      <c r="F755" s="1407">
        <f ca="1">ROUND(系统读取表!$E$14*面积清单!C755,0)</f>
        <v>319959</v>
      </c>
    </row>
    <row r="756" spans="1:6" ht="16.5">
      <c r="A756" s="3073" t="s">
        <v>3089</v>
      </c>
      <c r="B756" s="3074" t="s">
        <v>3827</v>
      </c>
      <c r="C756" s="3075">
        <v>42.19</v>
      </c>
      <c r="D756" s="3076">
        <v>28.875</v>
      </c>
      <c r="E756" s="3076">
        <v>13.318</v>
      </c>
      <c r="F756" s="1407">
        <f ca="1">ROUND(系统读取表!$E$14*面积清单!C756,0)</f>
        <v>308198</v>
      </c>
    </row>
    <row r="757" spans="1:6" ht="16.5">
      <c r="A757" s="3073" t="s">
        <v>3089</v>
      </c>
      <c r="B757" s="3074" t="s">
        <v>3828</v>
      </c>
      <c r="C757" s="3075">
        <v>42.19</v>
      </c>
      <c r="D757" s="3076">
        <v>28.875</v>
      </c>
      <c r="E757" s="3076">
        <v>13.318</v>
      </c>
      <c r="F757" s="1407">
        <f ca="1">ROUND(系统读取表!$E$14*面积清单!C757,0)</f>
        <v>308198</v>
      </c>
    </row>
    <row r="758" spans="1:6" ht="16.5">
      <c r="A758" s="3073" t="s">
        <v>3089</v>
      </c>
      <c r="B758" s="3074" t="s">
        <v>3829</v>
      </c>
      <c r="C758" s="3075">
        <v>42.19</v>
      </c>
      <c r="D758" s="3076">
        <v>28.875</v>
      </c>
      <c r="E758" s="3076">
        <v>13.318</v>
      </c>
      <c r="F758" s="1407">
        <f ca="1">ROUND(系统读取表!$E$14*面积清单!C758,0)</f>
        <v>308198</v>
      </c>
    </row>
    <row r="759" spans="1:6" ht="16.5">
      <c r="A759" s="3073" t="s">
        <v>3089</v>
      </c>
      <c r="B759" s="3074" t="s">
        <v>3830</v>
      </c>
      <c r="C759" s="3075">
        <v>54.6</v>
      </c>
      <c r="D759" s="3076">
        <v>37.366</v>
      </c>
      <c r="E759" s="3076">
        <v>17.234000000000002</v>
      </c>
      <c r="F759" s="1407">
        <f ca="1">ROUND(系统读取表!$E$14*面积清单!C759,0)</f>
        <v>398853</v>
      </c>
    </row>
    <row r="760" spans="1:6" ht="16.5">
      <c r="A760" s="3073" t="s">
        <v>3089</v>
      </c>
      <c r="B760" s="3074" t="s">
        <v>3831</v>
      </c>
      <c r="C760" s="3075">
        <v>52.62</v>
      </c>
      <c r="D760" s="3076">
        <v>36.012999999999998</v>
      </c>
      <c r="E760" s="3076">
        <v>16.61</v>
      </c>
      <c r="F760" s="1407">
        <f ca="1">ROUND(系统读取表!$E$14*面积清单!C760,0)</f>
        <v>384389</v>
      </c>
    </row>
    <row r="761" spans="1:6" ht="16.5">
      <c r="A761" s="3073" t="s">
        <v>3089</v>
      </c>
      <c r="B761" s="3074" t="s">
        <v>3832</v>
      </c>
      <c r="C761" s="3075">
        <v>52.62</v>
      </c>
      <c r="D761" s="3076">
        <v>36.012999999999998</v>
      </c>
      <c r="E761" s="3076">
        <v>16.61</v>
      </c>
      <c r="F761" s="1407">
        <f ca="1">ROUND(系统读取表!$E$14*面积清单!C761,0)</f>
        <v>384389</v>
      </c>
    </row>
    <row r="762" spans="1:6" ht="16.5">
      <c r="A762" s="3073" t="s">
        <v>3089</v>
      </c>
      <c r="B762" s="3074" t="s">
        <v>3833</v>
      </c>
      <c r="C762" s="3075">
        <v>52.62</v>
      </c>
      <c r="D762" s="3076">
        <v>36.012999999999998</v>
      </c>
      <c r="E762" s="3076">
        <v>16.61</v>
      </c>
      <c r="F762" s="1407">
        <f ca="1">ROUND(系统读取表!$E$14*面积清单!C762,0)</f>
        <v>384389</v>
      </c>
    </row>
    <row r="763" spans="1:6" ht="16.5">
      <c r="A763" s="3073" t="s">
        <v>3089</v>
      </c>
      <c r="B763" s="3074" t="s">
        <v>3834</v>
      </c>
      <c r="C763" s="3075">
        <v>52.62</v>
      </c>
      <c r="D763" s="3076">
        <v>36.012999999999998</v>
      </c>
      <c r="E763" s="3076">
        <v>16.61</v>
      </c>
      <c r="F763" s="1407">
        <f ca="1">ROUND(系统读取表!$E$14*面积清单!C763,0)</f>
        <v>384389</v>
      </c>
    </row>
    <row r="764" spans="1:6" ht="16.5">
      <c r="A764" s="3073" t="s">
        <v>3089</v>
      </c>
      <c r="B764" s="3074" t="s">
        <v>3835</v>
      </c>
      <c r="C764" s="3075">
        <v>52.62</v>
      </c>
      <c r="D764" s="3076">
        <v>36.012999999999998</v>
      </c>
      <c r="E764" s="3076">
        <v>16.61</v>
      </c>
      <c r="F764" s="1407">
        <f ca="1">ROUND(系统读取表!$E$14*面积清单!C764,0)</f>
        <v>384389</v>
      </c>
    </row>
    <row r="765" spans="1:6" ht="16.5">
      <c r="A765" s="3073" t="s">
        <v>3089</v>
      </c>
      <c r="B765" s="3074" t="s">
        <v>3836</v>
      </c>
      <c r="C765" s="3075">
        <v>52.62</v>
      </c>
      <c r="D765" s="3076">
        <v>36.012999999999998</v>
      </c>
      <c r="E765" s="3076">
        <v>16.61</v>
      </c>
      <c r="F765" s="1407">
        <f ca="1">ROUND(系统读取表!$E$14*面积清单!C765,0)</f>
        <v>384389</v>
      </c>
    </row>
    <row r="766" spans="1:6" ht="16.5">
      <c r="A766" s="3073" t="s">
        <v>3089</v>
      </c>
      <c r="B766" s="3074" t="s">
        <v>3837</v>
      </c>
      <c r="C766" s="3075">
        <v>52.62</v>
      </c>
      <c r="D766" s="3076">
        <v>36.012999999999998</v>
      </c>
      <c r="E766" s="3076">
        <v>16.61</v>
      </c>
      <c r="F766" s="1407">
        <f ca="1">ROUND(系统读取表!$E$14*面积清单!C766,0)</f>
        <v>384389</v>
      </c>
    </row>
    <row r="767" spans="1:6" ht="16.5">
      <c r="A767" s="3073" t="s">
        <v>3089</v>
      </c>
      <c r="B767" s="3074" t="s">
        <v>3838</v>
      </c>
      <c r="C767" s="3075">
        <v>54.6</v>
      </c>
      <c r="D767" s="3076">
        <v>37.366</v>
      </c>
      <c r="E767" s="3076">
        <v>17.234000000000002</v>
      </c>
      <c r="F767" s="1407">
        <f ca="1">ROUND(系统读取表!$E$14*面积清单!C767,0)</f>
        <v>398853</v>
      </c>
    </row>
    <row r="768" spans="1:6" ht="16.5">
      <c r="A768" s="3073" t="s">
        <v>3089</v>
      </c>
      <c r="B768" s="3074" t="s">
        <v>3839</v>
      </c>
      <c r="C768" s="3075">
        <v>42.19</v>
      </c>
      <c r="D768" s="3076">
        <v>28.875</v>
      </c>
      <c r="E768" s="3076">
        <v>13.318</v>
      </c>
      <c r="F768" s="1407">
        <f ca="1">ROUND(系统读取表!$E$14*面积清单!C768,0)</f>
        <v>308198</v>
      </c>
    </row>
    <row r="769" spans="1:6" ht="16.5">
      <c r="A769" s="3073" t="s">
        <v>3089</v>
      </c>
      <c r="B769" s="3074" t="s">
        <v>3840</v>
      </c>
      <c r="C769" s="3075">
        <v>42.19</v>
      </c>
      <c r="D769" s="3076">
        <v>28.875</v>
      </c>
      <c r="E769" s="3076">
        <v>13.318</v>
      </c>
      <c r="F769" s="1407">
        <f ca="1">ROUND(系统读取表!$E$14*面积清单!C769,0)</f>
        <v>308198</v>
      </c>
    </row>
    <row r="770" spans="1:6" ht="16.5">
      <c r="A770" s="3073" t="s">
        <v>3089</v>
      </c>
      <c r="B770" s="3074" t="s">
        <v>3841</v>
      </c>
      <c r="C770" s="3075">
        <v>42.19</v>
      </c>
      <c r="D770" s="3076">
        <v>28.875</v>
      </c>
      <c r="E770" s="3076">
        <v>13.318</v>
      </c>
      <c r="F770" s="1407">
        <f ca="1">ROUND(系统读取表!$E$14*面积清单!C770,0)</f>
        <v>308198</v>
      </c>
    </row>
    <row r="771" spans="1:6" ht="16.5">
      <c r="A771" s="3073" t="s">
        <v>3089</v>
      </c>
      <c r="B771" s="3074" t="s">
        <v>3842</v>
      </c>
      <c r="C771" s="3075">
        <v>43.8</v>
      </c>
      <c r="D771" s="3076">
        <v>29.975000000000001</v>
      </c>
      <c r="E771" s="3076">
        <v>13.824999999999999</v>
      </c>
      <c r="F771" s="1407">
        <f ca="1">ROUND(系统读取表!$E$14*面积清单!C771,0)</f>
        <v>319959</v>
      </c>
    </row>
    <row r="772" spans="1:6" ht="16.5">
      <c r="A772" s="3073" t="s">
        <v>3089</v>
      </c>
      <c r="B772" s="3074" t="s">
        <v>3843</v>
      </c>
      <c r="C772" s="3075">
        <v>41.69</v>
      </c>
      <c r="D772" s="3076">
        <v>28.530999999999999</v>
      </c>
      <c r="E772" s="3076">
        <v>13.159000000000001</v>
      </c>
      <c r="F772" s="1407">
        <f ca="1">ROUND(系统读取表!$E$14*面积清单!C772,0)</f>
        <v>304545</v>
      </c>
    </row>
    <row r="773" spans="1:6" ht="16.5">
      <c r="A773" s="3073" t="s">
        <v>3089</v>
      </c>
      <c r="B773" s="3074" t="s">
        <v>3844</v>
      </c>
      <c r="C773" s="3075">
        <v>41.69</v>
      </c>
      <c r="D773" s="3076">
        <v>28.530999999999999</v>
      </c>
      <c r="E773" s="3076">
        <v>13.159000000000001</v>
      </c>
      <c r="F773" s="1407">
        <f ca="1">ROUND(系统读取表!$E$14*面积清单!C773,0)</f>
        <v>304545</v>
      </c>
    </row>
    <row r="774" spans="1:6" ht="16.5">
      <c r="A774" s="3073" t="s">
        <v>3089</v>
      </c>
      <c r="B774" s="3074" t="s">
        <v>3845</v>
      </c>
      <c r="C774" s="3075">
        <v>41.69</v>
      </c>
      <c r="D774" s="3076">
        <v>28.530999999999999</v>
      </c>
      <c r="E774" s="3076">
        <v>13.159000000000001</v>
      </c>
      <c r="F774" s="1407">
        <f ca="1">ROUND(系统读取表!$E$14*面积清单!C774,0)</f>
        <v>304545</v>
      </c>
    </row>
    <row r="775" spans="1:6" ht="16.5">
      <c r="A775" s="3073" t="s">
        <v>3089</v>
      </c>
      <c r="B775" s="3074" t="s">
        <v>3846</v>
      </c>
      <c r="C775" s="3075">
        <v>41.69</v>
      </c>
      <c r="D775" s="3076">
        <v>28.530999999999999</v>
      </c>
      <c r="E775" s="3076">
        <v>13.159000000000001</v>
      </c>
      <c r="F775" s="1407">
        <f ca="1">ROUND(系统读取表!$E$14*面积清单!C775,0)</f>
        <v>304545</v>
      </c>
    </row>
    <row r="776" spans="1:6" ht="16.5">
      <c r="A776" s="3073" t="s">
        <v>3089</v>
      </c>
      <c r="B776" s="3074" t="s">
        <v>3847</v>
      </c>
      <c r="C776" s="3075">
        <v>41.69</v>
      </c>
      <c r="D776" s="3076">
        <v>28.530999999999999</v>
      </c>
      <c r="E776" s="3076">
        <v>13.159000000000001</v>
      </c>
      <c r="F776" s="1407">
        <f ca="1">ROUND(系统读取表!$E$14*面积清单!C776,0)</f>
        <v>304545</v>
      </c>
    </row>
    <row r="777" spans="1:6" ht="16.5">
      <c r="A777" s="3073" t="s">
        <v>3089</v>
      </c>
      <c r="B777" s="3074" t="s">
        <v>3848</v>
      </c>
      <c r="C777" s="3075">
        <v>43.8</v>
      </c>
      <c r="D777" s="3076">
        <v>29.975000000000001</v>
      </c>
      <c r="E777" s="3076">
        <v>13.824999999999999</v>
      </c>
      <c r="F777" s="1407">
        <f ca="1">ROUND(系统读取表!$E$14*面积清单!C777,0)</f>
        <v>319959</v>
      </c>
    </row>
    <row r="778" spans="1:6" ht="16.5">
      <c r="A778" s="3073" t="s">
        <v>3089</v>
      </c>
      <c r="B778" s="3074" t="s">
        <v>3849</v>
      </c>
      <c r="C778" s="3075">
        <v>42.19</v>
      </c>
      <c r="D778" s="3076">
        <v>28.875</v>
      </c>
      <c r="E778" s="3076">
        <v>13.318</v>
      </c>
      <c r="F778" s="1407">
        <f ca="1">ROUND(系统读取表!$E$14*面积清单!C778,0)</f>
        <v>308198</v>
      </c>
    </row>
    <row r="779" spans="1:6" ht="16.5">
      <c r="A779" s="3073" t="s">
        <v>3089</v>
      </c>
      <c r="B779" s="3074" t="s">
        <v>3850</v>
      </c>
      <c r="C779" s="3075">
        <v>42.19</v>
      </c>
      <c r="D779" s="3076">
        <v>28.875</v>
      </c>
      <c r="E779" s="3076">
        <v>13.318</v>
      </c>
      <c r="F779" s="1407">
        <f ca="1">ROUND(系统读取表!$E$14*面积清单!C779,0)</f>
        <v>308198</v>
      </c>
    </row>
    <row r="780" spans="1:6" ht="16.5">
      <c r="A780" s="3073" t="s">
        <v>3089</v>
      </c>
      <c r="B780" s="3074" t="s">
        <v>3851</v>
      </c>
      <c r="C780" s="3075">
        <v>42.19</v>
      </c>
      <c r="D780" s="3076">
        <v>28.875</v>
      </c>
      <c r="E780" s="3076">
        <v>13.318</v>
      </c>
      <c r="F780" s="1407">
        <f ca="1">ROUND(系统读取表!$E$14*面积清单!C780,0)</f>
        <v>308198</v>
      </c>
    </row>
    <row r="781" spans="1:6" ht="16.5">
      <c r="A781" s="3073" t="s">
        <v>3089</v>
      </c>
      <c r="B781" s="3074" t="s">
        <v>3852</v>
      </c>
      <c r="C781" s="3075">
        <v>54.6</v>
      </c>
      <c r="D781" s="3076">
        <v>37.366</v>
      </c>
      <c r="E781" s="3076">
        <v>17.234000000000002</v>
      </c>
      <c r="F781" s="1407">
        <f ca="1">ROUND(系统读取表!$E$14*面积清单!C781,0)</f>
        <v>398853</v>
      </c>
    </row>
    <row r="782" spans="1:6" ht="16.5">
      <c r="A782" s="3073" t="s">
        <v>3089</v>
      </c>
      <c r="B782" s="3074" t="s">
        <v>3853</v>
      </c>
      <c r="C782" s="3075">
        <v>52.62</v>
      </c>
      <c r="D782" s="3076">
        <v>36.012999999999998</v>
      </c>
      <c r="E782" s="3076">
        <v>16.61</v>
      </c>
      <c r="F782" s="1407">
        <f ca="1">ROUND(系统读取表!$E$14*面积清单!C782,0)</f>
        <v>384389</v>
      </c>
    </row>
    <row r="783" spans="1:6" ht="16.5">
      <c r="A783" s="3073" t="s">
        <v>3089</v>
      </c>
      <c r="B783" s="3074" t="s">
        <v>3854</v>
      </c>
      <c r="C783" s="3075">
        <v>52.62</v>
      </c>
      <c r="D783" s="3076">
        <v>36.012999999999998</v>
      </c>
      <c r="E783" s="3076">
        <v>16.61</v>
      </c>
      <c r="F783" s="1407">
        <f ca="1">ROUND(系统读取表!$E$14*面积清单!C783,0)</f>
        <v>384389</v>
      </c>
    </row>
    <row r="784" spans="1:6" ht="16.5">
      <c r="A784" s="3073" t="s">
        <v>3089</v>
      </c>
      <c r="B784" s="3074" t="s">
        <v>3855</v>
      </c>
      <c r="C784" s="3075">
        <v>52.62</v>
      </c>
      <c r="D784" s="3076">
        <v>36.012999999999998</v>
      </c>
      <c r="E784" s="3076">
        <v>16.61</v>
      </c>
      <c r="F784" s="1407">
        <f ca="1">ROUND(系统读取表!$E$14*面积清单!C784,0)</f>
        <v>384389</v>
      </c>
    </row>
    <row r="785" spans="1:6" ht="16.5">
      <c r="A785" s="3073" t="s">
        <v>3089</v>
      </c>
      <c r="B785" s="3074" t="s">
        <v>3856</v>
      </c>
      <c r="C785" s="3075">
        <v>54.6</v>
      </c>
      <c r="D785" s="3076">
        <v>37.366</v>
      </c>
      <c r="E785" s="3076">
        <v>17.234000000000002</v>
      </c>
      <c r="F785" s="1407">
        <f ca="1">ROUND(系统读取表!$E$14*面积清单!C785,0)</f>
        <v>398853</v>
      </c>
    </row>
    <row r="786" spans="1:6" ht="16.5">
      <c r="A786" s="3073" t="s">
        <v>3089</v>
      </c>
      <c r="B786" s="3074" t="s">
        <v>3857</v>
      </c>
      <c r="C786" s="3075">
        <v>42.19</v>
      </c>
      <c r="D786" s="3076">
        <v>28.875</v>
      </c>
      <c r="E786" s="3076">
        <v>13.318</v>
      </c>
      <c r="F786" s="1407">
        <f ca="1">ROUND(系统读取表!$E$14*面积清单!C786,0)</f>
        <v>308198</v>
      </c>
    </row>
    <row r="787" spans="1:6" ht="16.5">
      <c r="A787" s="3073" t="s">
        <v>3089</v>
      </c>
      <c r="B787" s="3074" t="s">
        <v>3858</v>
      </c>
      <c r="C787" s="3075">
        <v>42.19</v>
      </c>
      <c r="D787" s="3076">
        <v>28.875</v>
      </c>
      <c r="E787" s="3076">
        <v>13.318</v>
      </c>
      <c r="F787" s="1407">
        <f ca="1">ROUND(系统读取表!$E$14*面积清单!C787,0)</f>
        <v>308198</v>
      </c>
    </row>
    <row r="788" spans="1:6" ht="16.5">
      <c r="A788" s="3073" t="s">
        <v>3089</v>
      </c>
      <c r="B788" s="3074" t="s">
        <v>3859</v>
      </c>
      <c r="C788" s="3075">
        <v>42.19</v>
      </c>
      <c r="D788" s="3076">
        <v>28.875</v>
      </c>
      <c r="E788" s="3076">
        <v>13.318</v>
      </c>
      <c r="F788" s="1407">
        <f ca="1">ROUND(系统读取表!$E$14*面积清单!C788,0)</f>
        <v>308198</v>
      </c>
    </row>
    <row r="789" spans="1:6" ht="16.5">
      <c r="A789" s="3073" t="s">
        <v>3089</v>
      </c>
      <c r="B789" s="3074" t="s">
        <v>3860</v>
      </c>
      <c r="C789" s="3075">
        <v>43.8</v>
      </c>
      <c r="D789" s="3076">
        <v>29.975000000000001</v>
      </c>
      <c r="E789" s="3076">
        <v>13.824999999999999</v>
      </c>
      <c r="F789" s="1407">
        <f ca="1">ROUND(系统读取表!$E$14*面积清单!C789,0)</f>
        <v>319959</v>
      </c>
    </row>
    <row r="790" spans="1:6" ht="16.5">
      <c r="A790" s="3073" t="s">
        <v>3089</v>
      </c>
      <c r="B790" s="3074" t="s">
        <v>3861</v>
      </c>
      <c r="C790" s="3075">
        <v>41.69</v>
      </c>
      <c r="D790" s="3076">
        <v>28.530999999999999</v>
      </c>
      <c r="E790" s="3076">
        <v>13.159000000000001</v>
      </c>
      <c r="F790" s="1407">
        <f ca="1">ROUND(系统读取表!$E$14*面积清单!C790,0)</f>
        <v>304545</v>
      </c>
    </row>
    <row r="791" spans="1:6" ht="16.5">
      <c r="A791" s="3073" t="s">
        <v>3089</v>
      </c>
      <c r="B791" s="3074" t="s">
        <v>3862</v>
      </c>
      <c r="C791" s="3075">
        <v>41.69</v>
      </c>
      <c r="D791" s="3076">
        <v>28.530999999999999</v>
      </c>
      <c r="E791" s="3076">
        <v>13.159000000000001</v>
      </c>
      <c r="F791" s="1407">
        <f ca="1">ROUND(系统读取表!$E$14*面积清单!C791,0)</f>
        <v>304545</v>
      </c>
    </row>
    <row r="792" spans="1:6" ht="16.5">
      <c r="A792" s="3073" t="s">
        <v>3089</v>
      </c>
      <c r="B792" s="3074" t="s">
        <v>3863</v>
      </c>
      <c r="C792" s="3075">
        <v>41.69</v>
      </c>
      <c r="D792" s="3076">
        <v>28.530999999999999</v>
      </c>
      <c r="E792" s="3076">
        <v>13.159000000000001</v>
      </c>
      <c r="F792" s="1407">
        <f ca="1">ROUND(系统读取表!$E$14*面积清单!C792,0)</f>
        <v>304545</v>
      </c>
    </row>
    <row r="793" spans="1:6" ht="16.5">
      <c r="A793" s="3073" t="s">
        <v>3089</v>
      </c>
      <c r="B793" s="3074" t="s">
        <v>3864</v>
      </c>
      <c r="C793" s="3075">
        <v>41.69</v>
      </c>
      <c r="D793" s="3076">
        <v>28.530999999999999</v>
      </c>
      <c r="E793" s="3076">
        <v>13.159000000000001</v>
      </c>
      <c r="F793" s="1407">
        <f ca="1">ROUND(系统读取表!$E$14*面积清单!C793,0)</f>
        <v>304545</v>
      </c>
    </row>
    <row r="794" spans="1:6" ht="16.5">
      <c r="A794" s="3073" t="s">
        <v>3089</v>
      </c>
      <c r="B794" s="3074" t="s">
        <v>3865</v>
      </c>
      <c r="C794" s="3075">
        <v>41.69</v>
      </c>
      <c r="D794" s="3076">
        <v>28.530999999999999</v>
      </c>
      <c r="E794" s="3076">
        <v>13.159000000000001</v>
      </c>
      <c r="F794" s="1407">
        <f ca="1">ROUND(系统读取表!$E$14*面积清单!C794,0)</f>
        <v>304545</v>
      </c>
    </row>
    <row r="795" spans="1:6" ht="16.5">
      <c r="A795" s="3073" t="s">
        <v>3089</v>
      </c>
      <c r="B795" s="3074" t="s">
        <v>3866</v>
      </c>
      <c r="C795" s="3075">
        <v>43.8</v>
      </c>
      <c r="D795" s="3076">
        <v>29.975000000000001</v>
      </c>
      <c r="E795" s="3076">
        <v>13.824999999999999</v>
      </c>
      <c r="F795" s="1407">
        <f ca="1">ROUND(系统读取表!$E$14*面积清单!C795,0)</f>
        <v>319959</v>
      </c>
    </row>
    <row r="796" spans="1:6" ht="16.5">
      <c r="A796" s="3073" t="s">
        <v>3089</v>
      </c>
      <c r="B796" s="3074" t="s">
        <v>3867</v>
      </c>
      <c r="C796" s="3075">
        <v>42.19</v>
      </c>
      <c r="D796" s="3076">
        <v>28.875</v>
      </c>
      <c r="E796" s="3076">
        <v>13.318</v>
      </c>
      <c r="F796" s="1407">
        <f ca="1">ROUND(系统读取表!$E$14*面积清单!C796,0)</f>
        <v>308198</v>
      </c>
    </row>
    <row r="797" spans="1:6" ht="16.5">
      <c r="A797" s="3073" t="s">
        <v>3089</v>
      </c>
      <c r="B797" s="3074" t="s">
        <v>3868</v>
      </c>
      <c r="C797" s="3075">
        <v>42.19</v>
      </c>
      <c r="D797" s="3076">
        <v>28.875</v>
      </c>
      <c r="E797" s="3076">
        <v>13.318</v>
      </c>
      <c r="F797" s="1407">
        <f ca="1">ROUND(系统读取表!$E$14*面积清单!C797,0)</f>
        <v>308198</v>
      </c>
    </row>
    <row r="798" spans="1:6" ht="16.5">
      <c r="A798" s="3073" t="s">
        <v>3089</v>
      </c>
      <c r="B798" s="3074" t="s">
        <v>3869</v>
      </c>
      <c r="C798" s="3075">
        <v>42.19</v>
      </c>
      <c r="D798" s="3076">
        <v>28.875</v>
      </c>
      <c r="E798" s="3076">
        <v>13.318</v>
      </c>
      <c r="F798" s="1407">
        <f ca="1">ROUND(系统读取表!$E$14*面积清单!C798,0)</f>
        <v>308198</v>
      </c>
    </row>
    <row r="799" spans="1:6" ht="16.5">
      <c r="A799" s="3073" t="s">
        <v>3089</v>
      </c>
      <c r="B799" s="3074" t="s">
        <v>3870</v>
      </c>
      <c r="C799" s="3075">
        <v>54.6</v>
      </c>
      <c r="D799" s="3076">
        <v>37.366</v>
      </c>
      <c r="E799" s="3076">
        <v>17.234000000000002</v>
      </c>
      <c r="F799" s="1407">
        <f ca="1">ROUND(系统读取表!$E$14*面积清单!C799,0)</f>
        <v>398853</v>
      </c>
    </row>
    <row r="800" spans="1:6" ht="16.5">
      <c r="A800" s="3073" t="s">
        <v>3089</v>
      </c>
      <c r="B800" s="3074" t="s">
        <v>3871</v>
      </c>
      <c r="C800" s="3075">
        <v>52.62</v>
      </c>
      <c r="D800" s="3076">
        <v>36.012999999999998</v>
      </c>
      <c r="E800" s="3076">
        <v>16.61</v>
      </c>
      <c r="F800" s="1407">
        <f ca="1">ROUND(系统读取表!$E$14*面积清单!C800,0)</f>
        <v>384389</v>
      </c>
    </row>
    <row r="801" spans="1:6" ht="16.5">
      <c r="A801" s="3073" t="s">
        <v>3089</v>
      </c>
      <c r="B801" s="3074" t="s">
        <v>3872</v>
      </c>
      <c r="C801" s="3075">
        <v>52.62</v>
      </c>
      <c r="D801" s="3076">
        <v>36.012999999999998</v>
      </c>
      <c r="E801" s="3076">
        <v>16.61</v>
      </c>
      <c r="F801" s="1407">
        <f ca="1">ROUND(系统读取表!$E$14*面积清单!C801,0)</f>
        <v>384389</v>
      </c>
    </row>
    <row r="802" spans="1:6" ht="16.5">
      <c r="A802" s="3073" t="s">
        <v>3089</v>
      </c>
      <c r="B802" s="3074" t="s">
        <v>3873</v>
      </c>
      <c r="C802" s="3075">
        <v>52.62</v>
      </c>
      <c r="D802" s="3076">
        <v>36.012999999999998</v>
      </c>
      <c r="E802" s="3076">
        <v>16.61</v>
      </c>
      <c r="F802" s="1407">
        <f ca="1">ROUND(系统读取表!$E$14*面积清单!C802,0)</f>
        <v>384389</v>
      </c>
    </row>
    <row r="803" spans="1:6" ht="16.5">
      <c r="A803" s="3073" t="s">
        <v>3089</v>
      </c>
      <c r="B803" s="3074" t="s">
        <v>3874</v>
      </c>
      <c r="C803" s="3075">
        <v>52.62</v>
      </c>
      <c r="D803" s="3076">
        <v>36.012999999999998</v>
      </c>
      <c r="E803" s="3076">
        <v>16.61</v>
      </c>
      <c r="F803" s="1407">
        <f ca="1">ROUND(系统读取表!$E$14*面积清单!C803,0)</f>
        <v>384389</v>
      </c>
    </row>
    <row r="804" spans="1:6" ht="16.5">
      <c r="A804" s="3073" t="s">
        <v>3089</v>
      </c>
      <c r="B804" s="3074" t="s">
        <v>3875</v>
      </c>
      <c r="C804" s="3075">
        <v>52.62</v>
      </c>
      <c r="D804" s="3076">
        <v>36.012999999999998</v>
      </c>
      <c r="E804" s="3076">
        <v>16.61</v>
      </c>
      <c r="F804" s="1407">
        <f ca="1">ROUND(系统读取表!$E$14*面积清单!C804,0)</f>
        <v>384389</v>
      </c>
    </row>
    <row r="805" spans="1:6" ht="16.5">
      <c r="A805" s="3073" t="s">
        <v>3089</v>
      </c>
      <c r="B805" s="3074" t="s">
        <v>3876</v>
      </c>
      <c r="C805" s="3075">
        <v>52.62</v>
      </c>
      <c r="D805" s="3076">
        <v>36.012999999999998</v>
      </c>
      <c r="E805" s="3076">
        <v>16.61</v>
      </c>
      <c r="F805" s="1407">
        <f ca="1">ROUND(系统读取表!$E$14*面积清单!C805,0)</f>
        <v>384389</v>
      </c>
    </row>
    <row r="806" spans="1:6" ht="16.5">
      <c r="A806" s="3073" t="s">
        <v>3089</v>
      </c>
      <c r="B806" s="3074" t="s">
        <v>3877</v>
      </c>
      <c r="C806" s="3075">
        <v>52.62</v>
      </c>
      <c r="D806" s="3076">
        <v>36.012999999999998</v>
      </c>
      <c r="E806" s="3076">
        <v>16.61</v>
      </c>
      <c r="F806" s="1407">
        <f ca="1">ROUND(系统读取表!$E$14*面积清单!C806,0)</f>
        <v>384389</v>
      </c>
    </row>
    <row r="807" spans="1:6" ht="16.5">
      <c r="A807" s="3073" t="s">
        <v>3089</v>
      </c>
      <c r="B807" s="3074" t="s">
        <v>3878</v>
      </c>
      <c r="C807" s="3075">
        <v>54.6</v>
      </c>
      <c r="D807" s="3076">
        <v>37.366</v>
      </c>
      <c r="E807" s="3076">
        <v>17.234000000000002</v>
      </c>
      <c r="F807" s="1407">
        <f ca="1">ROUND(系统读取表!$E$14*面积清单!C807,0)</f>
        <v>398853</v>
      </c>
    </row>
    <row r="808" spans="1:6" ht="16.5">
      <c r="A808" s="3073" t="s">
        <v>3089</v>
      </c>
      <c r="B808" s="3074" t="s">
        <v>3879</v>
      </c>
      <c r="C808" s="3075">
        <v>42.19</v>
      </c>
      <c r="D808" s="3076">
        <v>28.875</v>
      </c>
      <c r="E808" s="3076">
        <v>13.318</v>
      </c>
      <c r="F808" s="1407">
        <f ca="1">ROUND(系统读取表!$E$14*面积清单!C808,0)</f>
        <v>308198</v>
      </c>
    </row>
    <row r="809" spans="1:6" ht="16.5">
      <c r="A809" s="3073" t="s">
        <v>3089</v>
      </c>
      <c r="B809" s="3074" t="s">
        <v>3880</v>
      </c>
      <c r="C809" s="3075">
        <v>42.19</v>
      </c>
      <c r="D809" s="3076">
        <v>28.875</v>
      </c>
      <c r="E809" s="3076">
        <v>13.318</v>
      </c>
      <c r="F809" s="1407">
        <f ca="1">ROUND(系统读取表!$E$14*面积清单!C809,0)</f>
        <v>308198</v>
      </c>
    </row>
    <row r="810" spans="1:6" ht="16.5">
      <c r="A810" s="3073" t="s">
        <v>3089</v>
      </c>
      <c r="B810" s="3074" t="s">
        <v>3881</v>
      </c>
      <c r="C810" s="3075">
        <v>42.19</v>
      </c>
      <c r="D810" s="3076">
        <v>28.875</v>
      </c>
      <c r="E810" s="3076">
        <v>13.318</v>
      </c>
      <c r="F810" s="1407">
        <f ca="1">ROUND(系统读取表!$E$14*面积清单!C810,0)</f>
        <v>308198</v>
      </c>
    </row>
    <row r="811" spans="1:6" ht="16.5">
      <c r="A811" s="3073" t="s">
        <v>3089</v>
      </c>
      <c r="B811" s="3074" t="s">
        <v>3882</v>
      </c>
      <c r="C811" s="3075">
        <v>43.8</v>
      </c>
      <c r="D811" s="3076">
        <v>29.975000000000001</v>
      </c>
      <c r="E811" s="3076">
        <v>13.824999999999999</v>
      </c>
      <c r="F811" s="1407">
        <f ca="1">ROUND(系统读取表!$E$14*面积清单!C811,0)</f>
        <v>319959</v>
      </c>
    </row>
    <row r="812" spans="1:6" ht="16.5">
      <c r="A812" s="3073" t="s">
        <v>3089</v>
      </c>
      <c r="B812" s="3074" t="s">
        <v>3883</v>
      </c>
      <c r="C812" s="3075">
        <v>41.69</v>
      </c>
      <c r="D812" s="3076">
        <v>28.530999999999999</v>
      </c>
      <c r="E812" s="3076">
        <v>13.159000000000001</v>
      </c>
      <c r="F812" s="1407">
        <f ca="1">ROUND(系统读取表!$E$14*面积清单!C812,0)</f>
        <v>304545</v>
      </c>
    </row>
    <row r="813" spans="1:6" ht="16.5">
      <c r="A813" s="3073" t="s">
        <v>3089</v>
      </c>
      <c r="B813" s="3074" t="s">
        <v>3884</v>
      </c>
      <c r="C813" s="3075">
        <v>41.69</v>
      </c>
      <c r="D813" s="3076">
        <v>28.530999999999999</v>
      </c>
      <c r="E813" s="3076">
        <v>13.159000000000001</v>
      </c>
      <c r="F813" s="1407">
        <f ca="1">ROUND(系统读取表!$E$14*面积清单!C813,0)</f>
        <v>304545</v>
      </c>
    </row>
    <row r="814" spans="1:6" ht="16.5">
      <c r="A814" s="3073" t="s">
        <v>3089</v>
      </c>
      <c r="B814" s="3074" t="s">
        <v>3885</v>
      </c>
      <c r="C814" s="3075">
        <v>41.69</v>
      </c>
      <c r="D814" s="3076">
        <v>28.530999999999999</v>
      </c>
      <c r="E814" s="3076">
        <v>13.159000000000001</v>
      </c>
      <c r="F814" s="1407">
        <f ca="1">ROUND(系统读取表!$E$14*面积清单!C814,0)</f>
        <v>304545</v>
      </c>
    </row>
    <row r="815" spans="1:6" ht="16.5">
      <c r="A815" s="3073" t="s">
        <v>3089</v>
      </c>
      <c r="B815" s="3074" t="s">
        <v>3886</v>
      </c>
      <c r="C815" s="3075">
        <v>41.69</v>
      </c>
      <c r="D815" s="3076">
        <v>28.530999999999999</v>
      </c>
      <c r="E815" s="3076">
        <v>13.159000000000001</v>
      </c>
      <c r="F815" s="1407">
        <f ca="1">ROUND(系统读取表!$E$14*面积清单!C815,0)</f>
        <v>304545</v>
      </c>
    </row>
    <row r="816" spans="1:6" ht="16.5">
      <c r="A816" s="3073" t="s">
        <v>3089</v>
      </c>
      <c r="B816" s="3074" t="s">
        <v>3887</v>
      </c>
      <c r="C816" s="3075">
        <v>41.69</v>
      </c>
      <c r="D816" s="3076">
        <v>28.530999999999999</v>
      </c>
      <c r="E816" s="3076">
        <v>13.159000000000001</v>
      </c>
      <c r="F816" s="1407">
        <f ca="1">ROUND(系统读取表!$E$14*面积清单!C816,0)</f>
        <v>304545</v>
      </c>
    </row>
    <row r="817" spans="1:6" ht="16.5">
      <c r="A817" s="3073" t="s">
        <v>3089</v>
      </c>
      <c r="B817" s="3074" t="s">
        <v>3888</v>
      </c>
      <c r="C817" s="3075">
        <v>43.8</v>
      </c>
      <c r="D817" s="3076">
        <v>29.975000000000001</v>
      </c>
      <c r="E817" s="3076">
        <v>13.824999999999999</v>
      </c>
      <c r="F817" s="1407">
        <f ca="1">ROUND(系统读取表!$E$14*面积清单!C817,0)</f>
        <v>319959</v>
      </c>
    </row>
    <row r="818" spans="1:6" ht="16.5">
      <c r="A818" s="3073" t="s">
        <v>3089</v>
      </c>
      <c r="B818" s="3074" t="s">
        <v>3889</v>
      </c>
      <c r="C818" s="3075">
        <v>42.19</v>
      </c>
      <c r="D818" s="3076">
        <v>28.875</v>
      </c>
      <c r="E818" s="3076">
        <v>13.318</v>
      </c>
      <c r="F818" s="1407">
        <f ca="1">ROUND(系统读取表!$E$14*面积清单!C818,0)</f>
        <v>308198</v>
      </c>
    </row>
    <row r="819" spans="1:6" ht="16.5">
      <c r="A819" s="3073" t="s">
        <v>3089</v>
      </c>
      <c r="B819" s="3074" t="s">
        <v>3890</v>
      </c>
      <c r="C819" s="3075">
        <v>42.19</v>
      </c>
      <c r="D819" s="3076">
        <v>28.875</v>
      </c>
      <c r="E819" s="3076">
        <v>13.318</v>
      </c>
      <c r="F819" s="1407">
        <f ca="1">ROUND(系统读取表!$E$14*面积清单!C819,0)</f>
        <v>308198</v>
      </c>
    </row>
    <row r="820" spans="1:6" ht="16.5">
      <c r="A820" s="3073" t="s">
        <v>3089</v>
      </c>
      <c r="B820" s="3074" t="s">
        <v>3891</v>
      </c>
      <c r="C820" s="3075">
        <v>42.19</v>
      </c>
      <c r="D820" s="3076">
        <v>28.875</v>
      </c>
      <c r="E820" s="3076">
        <v>13.318</v>
      </c>
      <c r="F820" s="1407">
        <f ca="1">ROUND(系统读取表!$E$14*面积清单!C820,0)</f>
        <v>308198</v>
      </c>
    </row>
    <row r="821" spans="1:6" ht="16.5">
      <c r="A821" s="3073" t="s">
        <v>3089</v>
      </c>
      <c r="B821" s="3074" t="s">
        <v>3892</v>
      </c>
      <c r="C821" s="3075">
        <v>54.6</v>
      </c>
      <c r="D821" s="3076">
        <v>37.366</v>
      </c>
      <c r="E821" s="3076">
        <v>17.234000000000002</v>
      </c>
      <c r="F821" s="1407">
        <f ca="1">ROUND(系统读取表!$E$14*面积清单!C821,0)</f>
        <v>398853</v>
      </c>
    </row>
    <row r="822" spans="1:6" ht="16.5">
      <c r="A822" s="3073" t="s">
        <v>3893</v>
      </c>
      <c r="B822" s="3074" t="s">
        <v>3894</v>
      </c>
      <c r="C822" s="3075">
        <v>186.22</v>
      </c>
      <c r="D822" s="3076">
        <v>177.53100000000001</v>
      </c>
      <c r="E822" s="3073">
        <v>8.69</v>
      </c>
      <c r="F822" s="1407">
        <f ca="1">ROUND(系统读取表!$E$15*面积清单!C822,0)</f>
        <v>2471326</v>
      </c>
    </row>
    <row r="823" spans="1:6" ht="16.5">
      <c r="A823" s="3073" t="s">
        <v>3893</v>
      </c>
      <c r="B823" s="3074" t="s">
        <v>3895</v>
      </c>
      <c r="C823" s="3075">
        <v>209.78</v>
      </c>
      <c r="D823" s="3076">
        <v>199.988</v>
      </c>
      <c r="E823" s="3073">
        <v>9.7880000000000003</v>
      </c>
      <c r="F823" s="1407">
        <f ca="1">ROUND(系统读取表!$E$15*面积清单!C823,0)</f>
        <v>2783990</v>
      </c>
    </row>
    <row r="824" spans="1:6" ht="16.5">
      <c r="A824" s="3073" t="s">
        <v>3893</v>
      </c>
      <c r="B824" s="3074" t="s">
        <v>3896</v>
      </c>
      <c r="C824" s="3075">
        <v>130.99</v>
      </c>
      <c r="D824" s="3076">
        <v>124.875</v>
      </c>
      <c r="E824" s="3073">
        <v>6.1120000000000001</v>
      </c>
      <c r="F824" s="1407">
        <f ca="1">ROUND(系统读取表!$E$15*面积清单!C824,0)</f>
        <v>1738368</v>
      </c>
    </row>
    <row r="825" spans="1:6" ht="16.5">
      <c r="A825" s="3073" t="s">
        <v>3893</v>
      </c>
      <c r="B825" s="3074" t="s">
        <v>3897</v>
      </c>
      <c r="C825" s="3075">
        <v>130.99</v>
      </c>
      <c r="D825" s="3076">
        <v>124.875</v>
      </c>
      <c r="E825" s="3073">
        <v>6.1120000000000001</v>
      </c>
      <c r="F825" s="1407">
        <f ca="1">ROUND(系统读取表!$E$15*面积清单!C825,0)</f>
        <v>1738368</v>
      </c>
    </row>
    <row r="826" spans="1:6" ht="16.5">
      <c r="A826" s="3073" t="s">
        <v>3893</v>
      </c>
      <c r="B826" s="3074" t="s">
        <v>3898</v>
      </c>
      <c r="C826" s="3075">
        <v>130.81</v>
      </c>
      <c r="D826" s="3076">
        <v>124.708</v>
      </c>
      <c r="E826" s="3073">
        <v>6.1040000000000001</v>
      </c>
      <c r="F826" s="1407">
        <f ca="1">ROUND(系统读取表!$E$15*面积清单!C826,0)</f>
        <v>1735980</v>
      </c>
    </row>
    <row r="827" spans="1:6" ht="16.5">
      <c r="A827" s="3073" t="s">
        <v>3893</v>
      </c>
      <c r="B827" s="3074" t="s">
        <v>3899</v>
      </c>
      <c r="C827" s="3075">
        <v>130.81</v>
      </c>
      <c r="D827" s="3076">
        <v>124.708</v>
      </c>
      <c r="E827" s="3073">
        <v>6.1040000000000001</v>
      </c>
      <c r="F827" s="1407">
        <f ca="1">ROUND(系统读取表!$E$15*面积清单!C827,0)</f>
        <v>1735980</v>
      </c>
    </row>
    <row r="828" spans="1:6" ht="16.5">
      <c r="A828" s="3073" t="s">
        <v>3893</v>
      </c>
      <c r="B828" s="3074" t="s">
        <v>3900</v>
      </c>
      <c r="C828" s="3075">
        <v>130.81</v>
      </c>
      <c r="D828" s="3076">
        <v>124.708</v>
      </c>
      <c r="E828" s="3073">
        <v>6.1040000000000001</v>
      </c>
      <c r="F828" s="1407">
        <f ca="1">ROUND(系统读取表!$E$15*面积清单!C828,0)</f>
        <v>1735980</v>
      </c>
    </row>
    <row r="829" spans="1:6" ht="16.5">
      <c r="A829" s="3073" t="s">
        <v>3893</v>
      </c>
      <c r="B829" s="3074" t="s">
        <v>3901</v>
      </c>
      <c r="C829" s="3075">
        <v>130.81</v>
      </c>
      <c r="D829" s="3076">
        <v>124.708</v>
      </c>
      <c r="E829" s="3073">
        <v>6.1040000000000001</v>
      </c>
      <c r="F829" s="1407">
        <f ca="1">ROUND(系统读取表!$E$15*面积清单!C829,0)</f>
        <v>1735980</v>
      </c>
    </row>
    <row r="830" spans="1:6" ht="16.5">
      <c r="A830" s="3073" t="s">
        <v>3893</v>
      </c>
      <c r="B830" s="3074" t="s">
        <v>3902</v>
      </c>
      <c r="C830" s="3075">
        <v>130.99</v>
      </c>
      <c r="D830" s="3076">
        <v>124.875</v>
      </c>
      <c r="E830" s="3073">
        <v>6.1120000000000001</v>
      </c>
      <c r="F830" s="1407">
        <f ca="1">ROUND(系统读取表!$E$15*面积清单!C830,0)</f>
        <v>1738368</v>
      </c>
    </row>
    <row r="831" spans="1:6" ht="16.5">
      <c r="A831" s="3073" t="s">
        <v>3893</v>
      </c>
      <c r="B831" s="3074" t="s">
        <v>3903</v>
      </c>
      <c r="C831" s="3075">
        <v>130.99</v>
      </c>
      <c r="D831" s="3076">
        <v>124.875</v>
      </c>
      <c r="E831" s="3073">
        <v>6.1120000000000001</v>
      </c>
      <c r="F831" s="1407">
        <f ca="1">ROUND(系统读取表!$E$15*面积清单!C831,0)</f>
        <v>1738368</v>
      </c>
    </row>
    <row r="832" spans="1:6" ht="16.5">
      <c r="A832" s="3073" t="s">
        <v>3893</v>
      </c>
      <c r="B832" s="3074" t="s">
        <v>3904</v>
      </c>
      <c r="C832" s="3075">
        <v>209.78</v>
      </c>
      <c r="D832" s="3076">
        <v>199.988</v>
      </c>
      <c r="E832" s="3073">
        <v>9.7880000000000003</v>
      </c>
      <c r="F832" s="1407">
        <f ca="1">ROUND(系统读取表!$E$15*面积清单!C832,0)</f>
        <v>2783990</v>
      </c>
    </row>
    <row r="833" spans="1:6" ht="16.5">
      <c r="A833" s="3073" t="s">
        <v>3893</v>
      </c>
      <c r="B833" s="3074" t="s">
        <v>3905</v>
      </c>
      <c r="C833" s="3075">
        <v>186.22</v>
      </c>
      <c r="D833" s="3076">
        <v>177.53100000000001</v>
      </c>
      <c r="E833" s="3073">
        <v>8.69</v>
      </c>
      <c r="F833" s="1407">
        <f ca="1">ROUND(系统读取表!$E$15*面积清单!C833,0)</f>
        <v>2471326</v>
      </c>
    </row>
    <row r="834" spans="1:6" ht="16.5">
      <c r="A834" s="3073" t="s">
        <v>3893</v>
      </c>
      <c r="B834" s="3074" t="s">
        <v>3906</v>
      </c>
      <c r="C834" s="3075">
        <v>186.22</v>
      </c>
      <c r="D834" s="3076">
        <v>177.53100000000001</v>
      </c>
      <c r="E834" s="3073">
        <v>8.69</v>
      </c>
      <c r="F834" s="1407">
        <f ca="1">ROUND(系统读取表!$E$15*面积清单!C834,0)</f>
        <v>2471326</v>
      </c>
    </row>
    <row r="835" spans="1:6" ht="16.5">
      <c r="A835" s="3073" t="s">
        <v>3893</v>
      </c>
      <c r="B835" s="3074" t="s">
        <v>3907</v>
      </c>
      <c r="C835" s="3075">
        <v>209.78</v>
      </c>
      <c r="D835" s="3076">
        <v>199.988</v>
      </c>
      <c r="E835" s="3073">
        <v>9.7880000000000003</v>
      </c>
      <c r="F835" s="1407">
        <f ca="1">ROUND(系统读取表!$E$15*面积清单!C835,0)</f>
        <v>2783990</v>
      </c>
    </row>
    <row r="836" spans="1:6" ht="16.5">
      <c r="A836" s="3073" t="s">
        <v>3893</v>
      </c>
      <c r="B836" s="3074" t="s">
        <v>3908</v>
      </c>
      <c r="C836" s="3075">
        <v>130.99</v>
      </c>
      <c r="D836" s="3076">
        <v>124.875</v>
      </c>
      <c r="E836" s="3073">
        <v>6.1120000000000001</v>
      </c>
      <c r="F836" s="1407">
        <f ca="1">ROUND(系统读取表!$E$15*面积清单!C836,0)</f>
        <v>1738368</v>
      </c>
    </row>
    <row r="837" spans="1:6" ht="16.5">
      <c r="A837" s="3073" t="s">
        <v>3893</v>
      </c>
      <c r="B837" s="3074" t="s">
        <v>3909</v>
      </c>
      <c r="C837" s="3075">
        <v>130.99</v>
      </c>
      <c r="D837" s="3076">
        <v>124.875</v>
      </c>
      <c r="E837" s="3073">
        <v>6.1120000000000001</v>
      </c>
      <c r="F837" s="1407">
        <f ca="1">ROUND(系统读取表!$E$15*面积清单!C837,0)</f>
        <v>1738368</v>
      </c>
    </row>
    <row r="838" spans="1:6" ht="16.5">
      <c r="A838" s="3073" t="s">
        <v>3893</v>
      </c>
      <c r="B838" s="3074" t="s">
        <v>3910</v>
      </c>
      <c r="C838" s="3075">
        <v>130.81</v>
      </c>
      <c r="D838" s="3076">
        <v>124.708</v>
      </c>
      <c r="E838" s="3073">
        <v>6.1040000000000001</v>
      </c>
      <c r="F838" s="1407">
        <f ca="1">ROUND(系统读取表!$E$15*面积清单!C838,0)</f>
        <v>1735980</v>
      </c>
    </row>
    <row r="839" spans="1:6" ht="16.5">
      <c r="A839" s="3073" t="s">
        <v>3893</v>
      </c>
      <c r="B839" s="3074" t="s">
        <v>3911</v>
      </c>
      <c r="C839" s="3075">
        <v>130.81</v>
      </c>
      <c r="D839" s="3076">
        <v>124.708</v>
      </c>
      <c r="E839" s="3073">
        <v>6.1040000000000001</v>
      </c>
      <c r="F839" s="1407">
        <f ca="1">ROUND(系统读取表!$E$15*面积清单!C839,0)</f>
        <v>1735980</v>
      </c>
    </row>
    <row r="840" spans="1:6" ht="16.5">
      <c r="A840" s="3073" t="s">
        <v>3893</v>
      </c>
      <c r="B840" s="3074" t="s">
        <v>3912</v>
      </c>
      <c r="C840" s="3075">
        <v>130.81</v>
      </c>
      <c r="D840" s="3076">
        <v>124.708</v>
      </c>
      <c r="E840" s="3073">
        <v>6.1040000000000001</v>
      </c>
      <c r="F840" s="1407">
        <f ca="1">ROUND(系统读取表!$E$15*面积清单!C840,0)</f>
        <v>1735980</v>
      </c>
    </row>
    <row r="841" spans="1:6" ht="16.5">
      <c r="A841" s="3073" t="s">
        <v>3893</v>
      </c>
      <c r="B841" s="3074" t="s">
        <v>3913</v>
      </c>
      <c r="C841" s="3075">
        <v>130.81</v>
      </c>
      <c r="D841" s="3076">
        <v>124.708</v>
      </c>
      <c r="E841" s="3073">
        <v>6.1040000000000001</v>
      </c>
      <c r="F841" s="1407">
        <f ca="1">ROUND(系统读取表!$E$15*面积清单!C841,0)</f>
        <v>1735980</v>
      </c>
    </row>
    <row r="842" spans="1:6" ht="16.5">
      <c r="A842" s="3073" t="s">
        <v>3893</v>
      </c>
      <c r="B842" s="3074" t="s">
        <v>3914</v>
      </c>
      <c r="C842" s="3075">
        <v>130.99</v>
      </c>
      <c r="D842" s="3076">
        <v>124.875</v>
      </c>
      <c r="E842" s="3073">
        <v>6.1120000000000001</v>
      </c>
      <c r="F842" s="1407">
        <f ca="1">ROUND(系统读取表!$E$15*面积清单!C842,0)</f>
        <v>1738368</v>
      </c>
    </row>
    <row r="843" spans="1:6" ht="16.5">
      <c r="A843" s="3073" t="s">
        <v>3893</v>
      </c>
      <c r="B843" s="3074" t="s">
        <v>3915</v>
      </c>
      <c r="C843" s="3075">
        <v>130.99</v>
      </c>
      <c r="D843" s="3076">
        <v>124.875</v>
      </c>
      <c r="E843" s="3073">
        <v>6.1120000000000001</v>
      </c>
      <c r="F843" s="1407">
        <f ca="1">ROUND(系统读取表!$E$15*面积清单!C843,0)</f>
        <v>1738368</v>
      </c>
    </row>
    <row r="844" spans="1:6" ht="16.5">
      <c r="A844" s="3073" t="s">
        <v>3893</v>
      </c>
      <c r="B844" s="3074" t="s">
        <v>3916</v>
      </c>
      <c r="C844" s="3075">
        <v>209.78</v>
      </c>
      <c r="D844" s="3076">
        <v>199.988</v>
      </c>
      <c r="E844" s="3073">
        <v>9.7880000000000003</v>
      </c>
      <c r="F844" s="1407">
        <f ca="1">ROUND(系统读取表!$E$15*面积清单!C844,0)</f>
        <v>2783990</v>
      </c>
    </row>
    <row r="845" spans="1:6" ht="16.5">
      <c r="A845" s="3073" t="s">
        <v>3893</v>
      </c>
      <c r="B845" s="3074" t="s">
        <v>3917</v>
      </c>
      <c r="C845" s="3075">
        <v>186.22</v>
      </c>
      <c r="D845" s="3076">
        <v>177.53100000000001</v>
      </c>
      <c r="E845" s="3073">
        <v>8.69</v>
      </c>
      <c r="F845" s="1407">
        <f ca="1">ROUND(系统读取表!$E$15*面积清单!C845,0)</f>
        <v>2471326</v>
      </c>
    </row>
    <row r="846" spans="1:6" ht="16.5">
      <c r="A846" s="3073" t="s">
        <v>3893</v>
      </c>
      <c r="B846" s="3074" t="s">
        <v>3918</v>
      </c>
      <c r="C846" s="3075">
        <v>186.22</v>
      </c>
      <c r="D846" s="3076">
        <v>177.53100000000001</v>
      </c>
      <c r="E846" s="3073">
        <v>8.69</v>
      </c>
      <c r="F846" s="1407">
        <f ca="1">ROUND(系统读取表!$E$15*面积清单!C846,0)</f>
        <v>2471326</v>
      </c>
    </row>
    <row r="847" spans="1:6" ht="16.5">
      <c r="A847" s="3073" t="s">
        <v>3893</v>
      </c>
      <c r="B847" s="3074" t="s">
        <v>3919</v>
      </c>
      <c r="C847" s="3075">
        <v>209.78</v>
      </c>
      <c r="D847" s="3076">
        <v>199.988</v>
      </c>
      <c r="E847" s="3073">
        <v>9.7880000000000003</v>
      </c>
      <c r="F847" s="1407">
        <f ca="1">ROUND(系统读取表!$E$15*面积清单!C847,0)</f>
        <v>2783990</v>
      </c>
    </row>
    <row r="848" spans="1:6" ht="16.5">
      <c r="A848" s="3073" t="s">
        <v>3893</v>
      </c>
      <c r="B848" s="3074" t="s">
        <v>3920</v>
      </c>
      <c r="C848" s="3075">
        <v>130.99</v>
      </c>
      <c r="D848" s="3076">
        <v>124.875</v>
      </c>
      <c r="E848" s="3073">
        <v>6.1120000000000001</v>
      </c>
      <c r="F848" s="1407">
        <f ca="1">ROUND(系统读取表!$E$15*面积清单!C848,0)</f>
        <v>1738368</v>
      </c>
    </row>
    <row r="849" spans="1:6" ht="16.5">
      <c r="A849" s="3073" t="s">
        <v>3893</v>
      </c>
      <c r="B849" s="3074" t="s">
        <v>3921</v>
      </c>
      <c r="C849" s="3075">
        <v>130.99</v>
      </c>
      <c r="D849" s="3076">
        <v>124.875</v>
      </c>
      <c r="E849" s="3073">
        <v>6.1120000000000001</v>
      </c>
      <c r="F849" s="1407">
        <f ca="1">ROUND(系统读取表!$E$15*面积清单!C849,0)</f>
        <v>1738368</v>
      </c>
    </row>
    <row r="850" spans="1:6" ht="16.5">
      <c r="A850" s="3073" t="s">
        <v>3893</v>
      </c>
      <c r="B850" s="3074" t="s">
        <v>3922</v>
      </c>
      <c r="C850" s="3075">
        <v>130.81</v>
      </c>
      <c r="D850" s="3076">
        <v>124.708</v>
      </c>
      <c r="E850" s="3073">
        <v>6.1040000000000001</v>
      </c>
      <c r="F850" s="1407">
        <f ca="1">ROUND(系统读取表!$E$15*面积清单!C850,0)</f>
        <v>1735980</v>
      </c>
    </row>
    <row r="851" spans="1:6" ht="16.5">
      <c r="A851" s="3073" t="s">
        <v>3893</v>
      </c>
      <c r="B851" s="3074" t="s">
        <v>3923</v>
      </c>
      <c r="C851" s="3075">
        <v>130.81</v>
      </c>
      <c r="D851" s="3076">
        <v>124.708</v>
      </c>
      <c r="E851" s="3073">
        <v>6.1040000000000001</v>
      </c>
      <c r="F851" s="1407">
        <f ca="1">ROUND(系统读取表!$E$15*面积清单!C851,0)</f>
        <v>1735980</v>
      </c>
    </row>
    <row r="852" spans="1:6" ht="16.5">
      <c r="A852" s="3073" t="s">
        <v>3893</v>
      </c>
      <c r="B852" s="3074" t="s">
        <v>3924</v>
      </c>
      <c r="C852" s="3075">
        <v>130.81</v>
      </c>
      <c r="D852" s="3076">
        <v>124.708</v>
      </c>
      <c r="E852" s="3073">
        <v>6.1040000000000001</v>
      </c>
      <c r="F852" s="1407">
        <f ca="1">ROUND(系统读取表!$E$15*面积清单!C852,0)</f>
        <v>1735980</v>
      </c>
    </row>
    <row r="853" spans="1:6" ht="16.5">
      <c r="A853" s="3073" t="s">
        <v>3893</v>
      </c>
      <c r="B853" s="3074" t="s">
        <v>3925</v>
      </c>
      <c r="C853" s="3075">
        <v>130.81</v>
      </c>
      <c r="D853" s="3076">
        <v>124.708</v>
      </c>
      <c r="E853" s="3073">
        <v>6.1040000000000001</v>
      </c>
      <c r="F853" s="1407">
        <f ca="1">ROUND(系统读取表!$E$15*面积清单!C853,0)</f>
        <v>1735980</v>
      </c>
    </row>
    <row r="854" spans="1:6" ht="16.5">
      <c r="A854" s="3073" t="s">
        <v>3893</v>
      </c>
      <c r="B854" s="3074" t="s">
        <v>3926</v>
      </c>
      <c r="C854" s="3075">
        <v>130.99</v>
      </c>
      <c r="D854" s="3076">
        <v>124.875</v>
      </c>
      <c r="E854" s="3073">
        <v>6.1120000000000001</v>
      </c>
      <c r="F854" s="1407">
        <f ca="1">ROUND(系统读取表!$E$15*面积清单!C854,0)</f>
        <v>1738368</v>
      </c>
    </row>
    <row r="855" spans="1:6" ht="16.5">
      <c r="A855" s="3073" t="s">
        <v>3893</v>
      </c>
      <c r="B855" s="3074" t="s">
        <v>3927</v>
      </c>
      <c r="C855" s="3075">
        <v>130.99</v>
      </c>
      <c r="D855" s="3076">
        <v>124.875</v>
      </c>
      <c r="E855" s="3073">
        <v>6.1120000000000001</v>
      </c>
      <c r="F855" s="1407">
        <f ca="1">ROUND(系统读取表!$E$15*面积清单!C855,0)</f>
        <v>1738368</v>
      </c>
    </row>
    <row r="856" spans="1:6" ht="16.5">
      <c r="A856" s="3073" t="s">
        <v>3893</v>
      </c>
      <c r="B856" s="3074" t="s">
        <v>3928</v>
      </c>
      <c r="C856" s="3075">
        <v>209.78</v>
      </c>
      <c r="D856" s="3076">
        <v>199.988</v>
      </c>
      <c r="E856" s="3073">
        <v>9.7880000000000003</v>
      </c>
      <c r="F856" s="1407">
        <f ca="1">ROUND(系统读取表!$E$15*面积清单!C856,0)</f>
        <v>2783990</v>
      </c>
    </row>
    <row r="857" spans="1:6" ht="16.5">
      <c r="A857" s="3073" t="s">
        <v>3893</v>
      </c>
      <c r="B857" s="3074" t="s">
        <v>3929</v>
      </c>
      <c r="C857" s="3075">
        <v>186.22</v>
      </c>
      <c r="D857" s="3076">
        <v>177.53100000000001</v>
      </c>
      <c r="E857" s="3073">
        <v>8.69</v>
      </c>
      <c r="F857" s="1407">
        <f ca="1">ROUND(系统读取表!$E$15*面积清单!C857,0)</f>
        <v>2471326</v>
      </c>
    </row>
    <row r="858" spans="1:6" ht="16.5">
      <c r="A858" s="3073" t="s">
        <v>3893</v>
      </c>
      <c r="B858" s="3074" t="s">
        <v>3930</v>
      </c>
      <c r="C858" s="3075">
        <v>131.59</v>
      </c>
      <c r="D858" s="3076">
        <v>124.372</v>
      </c>
      <c r="E858" s="3073">
        <v>7.218</v>
      </c>
      <c r="F858" s="1407">
        <f ca="1">ROUND(系统读取表!$E$15*面积清单!C858,0)</f>
        <v>1746331</v>
      </c>
    </row>
    <row r="859" spans="1:6" ht="16.5">
      <c r="A859" s="3073" t="s">
        <v>3893</v>
      </c>
      <c r="B859" s="3074" t="s">
        <v>3931</v>
      </c>
      <c r="C859" s="3075">
        <v>131.59</v>
      </c>
      <c r="D859" s="3076">
        <v>124.372</v>
      </c>
      <c r="E859" s="3073">
        <v>7.218</v>
      </c>
      <c r="F859" s="1407">
        <f ca="1">ROUND(系统读取表!$E$15*面积清单!C859,0)</f>
        <v>1746331</v>
      </c>
    </row>
    <row r="860" spans="1:6" ht="16.5">
      <c r="A860" s="3073" t="s">
        <v>3893</v>
      </c>
      <c r="B860" s="3074" t="s">
        <v>3932</v>
      </c>
      <c r="C860" s="3075">
        <v>132.12</v>
      </c>
      <c r="D860" s="3076">
        <v>124.875</v>
      </c>
      <c r="E860" s="3073">
        <v>7.2469999999999999</v>
      </c>
      <c r="F860" s="1407">
        <f ca="1">ROUND(系统读取表!$E$15*面积清单!C860,0)</f>
        <v>1753365</v>
      </c>
    </row>
    <row r="861" spans="1:6" ht="16.5">
      <c r="A861" s="3073" t="s">
        <v>3893</v>
      </c>
      <c r="B861" s="3074" t="s">
        <v>3933</v>
      </c>
      <c r="C861" s="3075">
        <v>132.12</v>
      </c>
      <c r="D861" s="3076">
        <v>124.875</v>
      </c>
      <c r="E861" s="3073">
        <v>7.2469999999999999</v>
      </c>
      <c r="F861" s="1407">
        <f ca="1">ROUND(系统读取表!$E$15*面积清单!C861,0)</f>
        <v>1753365</v>
      </c>
    </row>
    <row r="862" spans="1:6" ht="16.5">
      <c r="A862" s="3073" t="s">
        <v>3893</v>
      </c>
      <c r="B862" s="3074" t="s">
        <v>3934</v>
      </c>
      <c r="C862" s="3075">
        <v>131.86000000000001</v>
      </c>
      <c r="D862" s="3076">
        <v>124.624</v>
      </c>
      <c r="E862" s="3073">
        <v>7.2320000000000002</v>
      </c>
      <c r="F862" s="1407">
        <f ca="1">ROUND(系统读取表!$E$15*面积清单!C862,0)</f>
        <v>1749914</v>
      </c>
    </row>
    <row r="863" spans="1:6" ht="16.5">
      <c r="A863" s="3073" t="s">
        <v>3893</v>
      </c>
      <c r="B863" s="3074" t="s">
        <v>3935</v>
      </c>
      <c r="C863" s="3075">
        <v>175.45</v>
      </c>
      <c r="D863" s="3076">
        <v>165.82599999999999</v>
      </c>
      <c r="E863" s="3073">
        <v>9.6229999999999993</v>
      </c>
      <c r="F863" s="1407">
        <f ca="1">ROUND(系统读取表!$E$15*面积清单!C863,0)</f>
        <v>2328397</v>
      </c>
    </row>
    <row r="864" spans="1:6" ht="16.5">
      <c r="A864" s="3073" t="s">
        <v>3893</v>
      </c>
      <c r="B864" s="3074" t="s">
        <v>3936</v>
      </c>
      <c r="C864" s="3075">
        <v>175.45</v>
      </c>
      <c r="D864" s="3076">
        <v>165.82599999999999</v>
      </c>
      <c r="E864" s="3073">
        <v>9.6229999999999993</v>
      </c>
      <c r="F864" s="1407">
        <f ca="1">ROUND(系统读取表!$E$15*面积清单!C864,0)</f>
        <v>2328397</v>
      </c>
    </row>
    <row r="865" spans="1:6" ht="16.5">
      <c r="A865" s="3073" t="s">
        <v>3893</v>
      </c>
      <c r="B865" s="3074" t="s">
        <v>3937</v>
      </c>
      <c r="C865" s="3075">
        <v>131.86000000000001</v>
      </c>
      <c r="D865" s="3076">
        <v>124.624</v>
      </c>
      <c r="E865" s="3073">
        <v>7.2320000000000002</v>
      </c>
      <c r="F865" s="1407">
        <f ca="1">ROUND(系统读取表!$E$15*面积清单!C865,0)</f>
        <v>1749914</v>
      </c>
    </row>
    <row r="866" spans="1:6" ht="16.5">
      <c r="A866" s="3073" t="s">
        <v>3893</v>
      </c>
      <c r="B866" s="3074" t="s">
        <v>3938</v>
      </c>
      <c r="C866" s="3075">
        <v>132.12</v>
      </c>
      <c r="D866" s="3076">
        <v>124.875</v>
      </c>
      <c r="E866" s="3073">
        <v>7.2469999999999999</v>
      </c>
      <c r="F866" s="1407">
        <f ca="1">ROUND(系统读取表!$E$15*面积清单!C866,0)</f>
        <v>1753365</v>
      </c>
    </row>
    <row r="867" spans="1:6" ht="16.5">
      <c r="A867" s="3073" t="s">
        <v>3893</v>
      </c>
      <c r="B867" s="3074" t="s">
        <v>3939</v>
      </c>
      <c r="C867" s="3075">
        <v>132.12</v>
      </c>
      <c r="D867" s="3076">
        <v>124.875</v>
      </c>
      <c r="E867" s="3073">
        <v>7.2469999999999999</v>
      </c>
      <c r="F867" s="1407">
        <f ca="1">ROUND(系统读取表!$E$15*面积清单!C867,0)</f>
        <v>1753365</v>
      </c>
    </row>
    <row r="868" spans="1:6" ht="16.5">
      <c r="A868" s="3073" t="s">
        <v>3893</v>
      </c>
      <c r="B868" s="3074" t="s">
        <v>3940</v>
      </c>
      <c r="C868" s="3075">
        <v>131.59</v>
      </c>
      <c r="D868" s="3076">
        <v>124.372</v>
      </c>
      <c r="E868" s="3073">
        <v>7.218</v>
      </c>
      <c r="F868" s="1407">
        <f ca="1">ROUND(系统读取表!$E$15*面积清单!C868,0)</f>
        <v>1746331</v>
      </c>
    </row>
    <row r="869" spans="1:6" ht="16.5">
      <c r="A869" s="3073" t="s">
        <v>3893</v>
      </c>
      <c r="B869" s="3074" t="s">
        <v>3941</v>
      </c>
      <c r="C869" s="3075">
        <v>131.59</v>
      </c>
      <c r="D869" s="3076">
        <v>124.372</v>
      </c>
      <c r="E869" s="3073">
        <v>7.218</v>
      </c>
      <c r="F869" s="1407">
        <f ca="1">ROUND(系统读取表!$E$15*面积清单!C869,0)</f>
        <v>1746331</v>
      </c>
    </row>
    <row r="870" spans="1:6" ht="16.5">
      <c r="A870" s="3073" t="s">
        <v>3893</v>
      </c>
      <c r="B870" s="3074" t="s">
        <v>3942</v>
      </c>
      <c r="C870" s="3075">
        <v>132.12</v>
      </c>
      <c r="D870" s="3076">
        <v>124.875</v>
      </c>
      <c r="E870" s="3073">
        <v>7.2469999999999999</v>
      </c>
      <c r="F870" s="1407">
        <f ca="1">ROUND(系统读取表!$E$15*面积清单!C870,0)</f>
        <v>1753365</v>
      </c>
    </row>
    <row r="871" spans="1:6" ht="16.5">
      <c r="A871" s="3073" t="s">
        <v>3893</v>
      </c>
      <c r="B871" s="3074" t="s">
        <v>3943</v>
      </c>
      <c r="C871" s="3075">
        <v>132.12</v>
      </c>
      <c r="D871" s="3076">
        <v>124.875</v>
      </c>
      <c r="E871" s="3073">
        <v>7.2469999999999999</v>
      </c>
      <c r="F871" s="1407">
        <f ca="1">ROUND(系统读取表!$E$15*面积清单!C871,0)</f>
        <v>1753365</v>
      </c>
    </row>
    <row r="872" spans="1:6" ht="16.5">
      <c r="A872" s="3073" t="s">
        <v>3893</v>
      </c>
      <c r="B872" s="3074" t="s">
        <v>3944</v>
      </c>
      <c r="C872" s="3075">
        <v>131.86000000000001</v>
      </c>
      <c r="D872" s="3076">
        <v>124.624</v>
      </c>
      <c r="E872" s="3073">
        <v>7.2320000000000002</v>
      </c>
      <c r="F872" s="1407">
        <f ca="1">ROUND(系统读取表!$E$15*面积清单!C872,0)</f>
        <v>1749914</v>
      </c>
    </row>
    <row r="873" spans="1:6" ht="16.5">
      <c r="A873" s="3073" t="s">
        <v>3893</v>
      </c>
      <c r="B873" s="3074" t="s">
        <v>3945</v>
      </c>
      <c r="C873" s="3075">
        <v>175.45</v>
      </c>
      <c r="D873" s="3076">
        <v>165.82599999999999</v>
      </c>
      <c r="E873" s="3073">
        <v>9.6229999999999993</v>
      </c>
      <c r="F873" s="1407">
        <f ca="1">ROUND(系统读取表!$E$15*面积清单!C873,0)</f>
        <v>2328397</v>
      </c>
    </row>
    <row r="874" spans="1:6" ht="16.5">
      <c r="A874" s="3073" t="s">
        <v>3893</v>
      </c>
      <c r="B874" s="3074" t="s">
        <v>3946</v>
      </c>
      <c r="C874" s="3075">
        <v>175.45</v>
      </c>
      <c r="D874" s="3076">
        <v>165.82599999999999</v>
      </c>
      <c r="E874" s="3073">
        <v>9.6229999999999993</v>
      </c>
      <c r="F874" s="1407">
        <f ca="1">ROUND(系统读取表!$E$15*面积清单!C874,0)</f>
        <v>2328397</v>
      </c>
    </row>
    <row r="875" spans="1:6" ht="16.5">
      <c r="A875" s="3073" t="s">
        <v>3893</v>
      </c>
      <c r="B875" s="3074" t="s">
        <v>3947</v>
      </c>
      <c r="C875" s="3075">
        <v>131.86000000000001</v>
      </c>
      <c r="D875" s="3076">
        <v>124.624</v>
      </c>
      <c r="E875" s="3073">
        <v>7.2320000000000002</v>
      </c>
      <c r="F875" s="1407">
        <f ca="1">ROUND(系统读取表!$E$15*面积清单!C875,0)</f>
        <v>1749914</v>
      </c>
    </row>
    <row r="876" spans="1:6" ht="16.5">
      <c r="A876" s="3073" t="s">
        <v>3893</v>
      </c>
      <c r="B876" s="3074" t="s">
        <v>3948</v>
      </c>
      <c r="C876" s="3075">
        <v>132.12</v>
      </c>
      <c r="D876" s="3076">
        <v>124.875</v>
      </c>
      <c r="E876" s="3073">
        <v>7.2469999999999999</v>
      </c>
      <c r="F876" s="1407">
        <f ca="1">ROUND(系统读取表!$E$15*面积清单!C876,0)</f>
        <v>1753365</v>
      </c>
    </row>
    <row r="877" spans="1:6" ht="16.5">
      <c r="A877" s="3073" t="s">
        <v>3893</v>
      </c>
      <c r="B877" s="3074" t="s">
        <v>3949</v>
      </c>
      <c r="C877" s="3075">
        <v>132.12</v>
      </c>
      <c r="D877" s="3076">
        <v>124.875</v>
      </c>
      <c r="E877" s="3073">
        <v>7.2469999999999999</v>
      </c>
      <c r="F877" s="1407">
        <f ca="1">ROUND(系统读取表!$E$15*面积清单!C877,0)</f>
        <v>1753365</v>
      </c>
    </row>
    <row r="878" spans="1:6" ht="16.5">
      <c r="A878" s="3073" t="s">
        <v>3893</v>
      </c>
      <c r="B878" s="3074" t="s">
        <v>3950</v>
      </c>
      <c r="C878" s="3075">
        <v>131.59</v>
      </c>
      <c r="D878" s="3076">
        <v>124.372</v>
      </c>
      <c r="E878" s="3073">
        <v>7.218</v>
      </c>
      <c r="F878" s="1407">
        <f ca="1">ROUND(系统读取表!$E$15*面积清单!C878,0)</f>
        <v>1746331</v>
      </c>
    </row>
    <row r="879" spans="1:6" ht="16.5">
      <c r="A879" s="3073" t="s">
        <v>3893</v>
      </c>
      <c r="B879" s="3074" t="s">
        <v>3951</v>
      </c>
      <c r="C879" s="3075">
        <v>131.59</v>
      </c>
      <c r="D879" s="3076">
        <v>124.372</v>
      </c>
      <c r="E879" s="3073">
        <v>7.218</v>
      </c>
      <c r="F879" s="1407">
        <f ca="1">ROUND(系统读取表!$E$15*面积清单!C879,0)</f>
        <v>1746331</v>
      </c>
    </row>
    <row r="880" spans="1:6" ht="16.5">
      <c r="A880" s="3073" t="s">
        <v>3893</v>
      </c>
      <c r="B880" s="3074" t="s">
        <v>3952</v>
      </c>
      <c r="C880" s="3075">
        <v>131.59</v>
      </c>
      <c r="D880" s="3076">
        <v>124.372</v>
      </c>
      <c r="E880" s="3073">
        <v>7.218</v>
      </c>
      <c r="F880" s="1407">
        <f ca="1">ROUND(系统读取表!$E$15*面积清单!C880,0)</f>
        <v>1746331</v>
      </c>
    </row>
    <row r="881" spans="1:6" ht="16.5">
      <c r="A881" s="3073" t="s">
        <v>3893</v>
      </c>
      <c r="B881" s="3074" t="s">
        <v>3953</v>
      </c>
      <c r="C881" s="3075">
        <v>132.12</v>
      </c>
      <c r="D881" s="3076">
        <v>124.875</v>
      </c>
      <c r="E881" s="3073">
        <v>7.2469999999999999</v>
      </c>
      <c r="F881" s="1407">
        <f ca="1">ROUND(系统读取表!$E$15*面积清单!C881,0)</f>
        <v>1753365</v>
      </c>
    </row>
    <row r="882" spans="1:6" ht="16.5">
      <c r="A882" s="3073" t="s">
        <v>3893</v>
      </c>
      <c r="B882" s="3074" t="s">
        <v>3954</v>
      </c>
      <c r="C882" s="3075">
        <v>132.12</v>
      </c>
      <c r="D882" s="3076">
        <v>124.875</v>
      </c>
      <c r="E882" s="3073">
        <v>7.2469999999999999</v>
      </c>
      <c r="F882" s="1407">
        <f ca="1">ROUND(系统读取表!$E$15*面积清单!C882,0)</f>
        <v>1753365</v>
      </c>
    </row>
    <row r="883" spans="1:6" ht="16.5">
      <c r="A883" s="3073" t="s">
        <v>3893</v>
      </c>
      <c r="B883" s="3074" t="s">
        <v>3955</v>
      </c>
      <c r="C883" s="3075">
        <v>131.86000000000001</v>
      </c>
      <c r="D883" s="3076">
        <v>124.624</v>
      </c>
      <c r="E883" s="3073">
        <v>7.2320000000000002</v>
      </c>
      <c r="F883" s="1407">
        <f ca="1">ROUND(系统读取表!$E$15*面积清单!C883,0)</f>
        <v>1749914</v>
      </c>
    </row>
    <row r="884" spans="1:6" ht="16.5">
      <c r="A884" s="3073" t="s">
        <v>3893</v>
      </c>
      <c r="B884" s="3074" t="s">
        <v>3956</v>
      </c>
      <c r="C884" s="3075">
        <v>175.45</v>
      </c>
      <c r="D884" s="3076">
        <v>165.82599999999999</v>
      </c>
      <c r="E884" s="3073">
        <v>9.6229999999999993</v>
      </c>
      <c r="F884" s="1407">
        <f ca="1">ROUND(系统读取表!$E$15*面积清单!C884,0)</f>
        <v>2328397</v>
      </c>
    </row>
    <row r="885" spans="1:6" ht="16.5">
      <c r="A885" s="3073" t="s">
        <v>3893</v>
      </c>
      <c r="B885" s="3074" t="s">
        <v>3957</v>
      </c>
      <c r="C885" s="3075">
        <v>175.45</v>
      </c>
      <c r="D885" s="3076">
        <v>165.82599999999999</v>
      </c>
      <c r="E885" s="3073">
        <v>9.6229999999999993</v>
      </c>
      <c r="F885" s="1407">
        <f ca="1">ROUND(系统读取表!$E$15*面积清单!C885,0)</f>
        <v>2328397</v>
      </c>
    </row>
    <row r="886" spans="1:6" ht="16.5">
      <c r="A886" s="3073" t="s">
        <v>3893</v>
      </c>
      <c r="B886" s="3074" t="s">
        <v>3958</v>
      </c>
      <c r="C886" s="3075">
        <v>131.86000000000001</v>
      </c>
      <c r="D886" s="3076">
        <v>124.624</v>
      </c>
      <c r="E886" s="3073">
        <v>7.2320000000000002</v>
      </c>
      <c r="F886" s="1407">
        <f ca="1">ROUND(系统读取表!$E$15*面积清单!C886,0)</f>
        <v>1749914</v>
      </c>
    </row>
    <row r="887" spans="1:6" ht="16.5">
      <c r="A887" s="3073" t="s">
        <v>3893</v>
      </c>
      <c r="B887" s="3074" t="s">
        <v>3959</v>
      </c>
      <c r="C887" s="3075">
        <v>132.12</v>
      </c>
      <c r="D887" s="3076">
        <v>124.875</v>
      </c>
      <c r="E887" s="3073">
        <v>7.2469999999999999</v>
      </c>
      <c r="F887" s="1407">
        <f ca="1">ROUND(系统读取表!$E$15*面积清单!C887,0)</f>
        <v>1753365</v>
      </c>
    </row>
    <row r="888" spans="1:6" ht="16.5">
      <c r="A888" s="3073" t="s">
        <v>3893</v>
      </c>
      <c r="B888" s="3074" t="s">
        <v>3960</v>
      </c>
      <c r="C888" s="3075">
        <v>132.12</v>
      </c>
      <c r="D888" s="3076">
        <v>124.875</v>
      </c>
      <c r="E888" s="3073">
        <v>7.2469999999999999</v>
      </c>
      <c r="F888" s="1407">
        <f ca="1">ROUND(系统读取表!$E$15*面积清单!C888,0)</f>
        <v>1753365</v>
      </c>
    </row>
    <row r="889" spans="1:6" ht="16.5">
      <c r="A889" s="3073" t="s">
        <v>3893</v>
      </c>
      <c r="B889" s="3074" t="s">
        <v>3961</v>
      </c>
      <c r="C889" s="3075">
        <v>131.59</v>
      </c>
      <c r="D889" s="3076">
        <v>124.372</v>
      </c>
      <c r="E889" s="3073">
        <v>7.218</v>
      </c>
      <c r="F889" s="1407">
        <f ca="1">ROUND(系统读取表!$E$15*面积清单!C889,0)</f>
        <v>1746331</v>
      </c>
    </row>
    <row r="890" spans="1:6" ht="16.5">
      <c r="A890" s="3073" t="s">
        <v>3893</v>
      </c>
      <c r="B890" s="3074" t="s">
        <v>3962</v>
      </c>
      <c r="C890" s="3075">
        <v>131.59</v>
      </c>
      <c r="D890" s="3076">
        <v>124.372</v>
      </c>
      <c r="E890" s="3073">
        <v>7.218</v>
      </c>
      <c r="F890" s="1407">
        <f ca="1">ROUND(系统读取表!$E$15*面积清单!C890,0)</f>
        <v>1746331</v>
      </c>
    </row>
    <row r="891" spans="1:6" ht="16.5">
      <c r="A891" s="3073" t="s">
        <v>3893</v>
      </c>
      <c r="B891" s="3074" t="s">
        <v>3963</v>
      </c>
      <c r="C891" s="3075">
        <v>131.59</v>
      </c>
      <c r="D891" s="3076">
        <v>124.372</v>
      </c>
      <c r="E891" s="3073">
        <v>7.218</v>
      </c>
      <c r="F891" s="1407">
        <f ca="1">ROUND(系统读取表!$E$15*面积清单!C891,0)</f>
        <v>1746331</v>
      </c>
    </row>
    <row r="892" spans="1:6" ht="16.5">
      <c r="A892" s="3073" t="s">
        <v>3893</v>
      </c>
      <c r="B892" s="3074" t="s">
        <v>3964</v>
      </c>
      <c r="C892" s="3075">
        <v>131.59</v>
      </c>
      <c r="D892" s="3076">
        <v>124.372</v>
      </c>
      <c r="E892" s="3073">
        <v>7.218</v>
      </c>
      <c r="F892" s="1407">
        <f ca="1">ROUND(系统读取表!$E$15*面积清单!C892,0)</f>
        <v>1746331</v>
      </c>
    </row>
    <row r="893" spans="1:6" ht="16.5">
      <c r="A893" s="3073" t="s">
        <v>3893</v>
      </c>
      <c r="B893" s="3074" t="s">
        <v>3965</v>
      </c>
      <c r="C893" s="3075">
        <v>132.12</v>
      </c>
      <c r="D893" s="3076">
        <v>124.875</v>
      </c>
      <c r="E893" s="3073">
        <v>7.2469999999999999</v>
      </c>
      <c r="F893" s="1407">
        <f ca="1">ROUND(系统读取表!$E$15*面积清单!C893,0)</f>
        <v>1753365</v>
      </c>
    </row>
    <row r="894" spans="1:6" ht="16.5">
      <c r="A894" s="3073" t="s">
        <v>3893</v>
      </c>
      <c r="B894" s="3074" t="s">
        <v>3966</v>
      </c>
      <c r="C894" s="3075">
        <v>132.12</v>
      </c>
      <c r="D894" s="3076">
        <v>124.875</v>
      </c>
      <c r="E894" s="3073">
        <v>7.2469999999999999</v>
      </c>
      <c r="F894" s="1407">
        <f ca="1">ROUND(系统读取表!$E$15*面积清单!C894,0)</f>
        <v>1753365</v>
      </c>
    </row>
    <row r="895" spans="1:6" ht="16.5">
      <c r="A895" s="3073" t="s">
        <v>3893</v>
      </c>
      <c r="B895" s="3074" t="s">
        <v>3967</v>
      </c>
      <c r="C895" s="3075">
        <v>131.86000000000001</v>
      </c>
      <c r="D895" s="3076">
        <v>124.624</v>
      </c>
      <c r="E895" s="3073">
        <v>7.2320000000000002</v>
      </c>
      <c r="F895" s="1407">
        <f ca="1">ROUND(系统读取表!$E$15*面积清单!C895,0)</f>
        <v>1749914</v>
      </c>
    </row>
    <row r="896" spans="1:6" ht="16.5">
      <c r="A896" s="3073" t="s">
        <v>3893</v>
      </c>
      <c r="B896" s="3074" t="s">
        <v>3968</v>
      </c>
      <c r="C896" s="3075">
        <v>175.45</v>
      </c>
      <c r="D896" s="3076">
        <v>165.82599999999999</v>
      </c>
      <c r="E896" s="3073">
        <v>9.6229999999999993</v>
      </c>
      <c r="F896" s="1407">
        <f ca="1">ROUND(系统读取表!$E$15*面积清单!C896,0)</f>
        <v>2328397</v>
      </c>
    </row>
    <row r="897" spans="1:6" ht="16.5">
      <c r="A897" s="3073" t="s">
        <v>3893</v>
      </c>
      <c r="B897" s="3074" t="s">
        <v>3969</v>
      </c>
      <c r="C897" s="3075">
        <v>175.45</v>
      </c>
      <c r="D897" s="3076">
        <v>165.82599999999999</v>
      </c>
      <c r="E897" s="3073">
        <v>9.6229999999999993</v>
      </c>
      <c r="F897" s="1407">
        <f ca="1">ROUND(系统读取表!$E$15*面积清单!C897,0)</f>
        <v>2328397</v>
      </c>
    </row>
    <row r="898" spans="1:6" ht="16.5">
      <c r="A898" s="3073" t="s">
        <v>3893</v>
      </c>
      <c r="B898" s="3074" t="s">
        <v>3970</v>
      </c>
      <c r="C898" s="3075">
        <v>131.86000000000001</v>
      </c>
      <c r="D898" s="3076">
        <v>124.624</v>
      </c>
      <c r="E898" s="3073">
        <v>7.2320000000000002</v>
      </c>
      <c r="F898" s="1407">
        <f ca="1">ROUND(系统读取表!$E$15*面积清单!C898,0)</f>
        <v>1749914</v>
      </c>
    </row>
    <row r="899" spans="1:6" ht="16.5">
      <c r="A899" s="3073" t="s">
        <v>3893</v>
      </c>
      <c r="B899" s="3074" t="s">
        <v>3971</v>
      </c>
      <c r="C899" s="3075">
        <v>132.12</v>
      </c>
      <c r="D899" s="3076">
        <v>124.875</v>
      </c>
      <c r="E899" s="3073">
        <v>7.2469999999999999</v>
      </c>
      <c r="F899" s="1407">
        <f ca="1">ROUND(系统读取表!$E$15*面积清单!C899,0)</f>
        <v>1753365</v>
      </c>
    </row>
    <row r="900" spans="1:6" ht="16.5">
      <c r="A900" s="3073" t="s">
        <v>3893</v>
      </c>
      <c r="B900" s="3074" t="s">
        <v>3972</v>
      </c>
      <c r="C900" s="3075">
        <v>132.12</v>
      </c>
      <c r="D900" s="3076">
        <v>124.875</v>
      </c>
      <c r="E900" s="3073">
        <v>7.2469999999999999</v>
      </c>
      <c r="F900" s="1407">
        <f ca="1">ROUND(系统读取表!$E$15*面积清单!C900,0)</f>
        <v>1753365</v>
      </c>
    </row>
    <row r="901" spans="1:6" ht="16.5">
      <c r="A901" s="3073" t="s">
        <v>3893</v>
      </c>
      <c r="B901" s="3074" t="s">
        <v>3973</v>
      </c>
      <c r="C901" s="3075">
        <v>131.59</v>
      </c>
      <c r="D901" s="3076">
        <v>124.372</v>
      </c>
      <c r="E901" s="3073">
        <v>7.218</v>
      </c>
      <c r="F901" s="1407">
        <f ca="1">ROUND(系统读取表!$E$15*面积清单!C901,0)</f>
        <v>1746331</v>
      </c>
    </row>
    <row r="902" spans="1:6" ht="16.5">
      <c r="A902" s="3073" t="s">
        <v>3893</v>
      </c>
      <c r="B902" s="3074" t="s">
        <v>3974</v>
      </c>
      <c r="C902" s="3075">
        <v>131.59</v>
      </c>
      <c r="D902" s="3076">
        <v>124.372</v>
      </c>
      <c r="E902" s="3073">
        <v>7.218</v>
      </c>
      <c r="F902" s="1407">
        <f ca="1">ROUND(系统读取表!$E$15*面积清单!C902,0)</f>
        <v>1746331</v>
      </c>
    </row>
    <row r="903" spans="1:6" ht="16.5">
      <c r="A903" s="3073" t="s">
        <v>3893</v>
      </c>
      <c r="B903" s="3074" t="s">
        <v>3975</v>
      </c>
      <c r="C903" s="3075">
        <v>186.22</v>
      </c>
      <c r="D903" s="3076">
        <v>177.53100000000001</v>
      </c>
      <c r="E903" s="3073">
        <v>8.69</v>
      </c>
      <c r="F903" s="1407">
        <f ca="1">ROUND(系统读取表!$E$15*面积清单!C903,0)</f>
        <v>2471326</v>
      </c>
    </row>
    <row r="904" spans="1:6" ht="16.5">
      <c r="A904" s="3073" t="s">
        <v>3893</v>
      </c>
      <c r="B904" s="3074" t="s">
        <v>3976</v>
      </c>
      <c r="C904" s="3075">
        <v>209.78</v>
      </c>
      <c r="D904" s="3076">
        <v>199.988</v>
      </c>
      <c r="E904" s="3073">
        <v>9.7880000000000003</v>
      </c>
      <c r="F904" s="1407">
        <f ca="1">ROUND(系统读取表!$E$15*面积清单!C904,0)</f>
        <v>2783990</v>
      </c>
    </row>
    <row r="905" spans="1:6" ht="16.5">
      <c r="A905" s="3073" t="s">
        <v>3893</v>
      </c>
      <c r="B905" s="3074" t="s">
        <v>3977</v>
      </c>
      <c r="C905" s="3075">
        <v>130.99</v>
      </c>
      <c r="D905" s="3076">
        <v>124.875</v>
      </c>
      <c r="E905" s="3073">
        <v>6.1120000000000001</v>
      </c>
      <c r="F905" s="1407">
        <f ca="1">ROUND(系统读取表!$E$15*面积清单!C905,0)</f>
        <v>1738368</v>
      </c>
    </row>
    <row r="906" spans="1:6" ht="16.5">
      <c r="A906" s="3073" t="s">
        <v>3893</v>
      </c>
      <c r="B906" s="3074" t="s">
        <v>3978</v>
      </c>
      <c r="C906" s="3075">
        <v>130.99</v>
      </c>
      <c r="D906" s="3076">
        <v>124.875</v>
      </c>
      <c r="E906" s="3073">
        <v>6.1120000000000001</v>
      </c>
      <c r="F906" s="1407">
        <f ca="1">ROUND(系统读取表!$E$15*面积清单!C906,0)</f>
        <v>1738368</v>
      </c>
    </row>
    <row r="907" spans="1:6" ht="16.5">
      <c r="A907" s="3073" t="s">
        <v>3893</v>
      </c>
      <c r="B907" s="3074" t="s">
        <v>3979</v>
      </c>
      <c r="C907" s="3075">
        <v>130.81</v>
      </c>
      <c r="D907" s="3076">
        <v>124.708</v>
      </c>
      <c r="E907" s="3073">
        <v>6.1040000000000001</v>
      </c>
      <c r="F907" s="1407">
        <f ca="1">ROUND(系统读取表!$E$15*面积清单!C907,0)</f>
        <v>1735980</v>
      </c>
    </row>
    <row r="908" spans="1:6" ht="16.5">
      <c r="A908" s="3073" t="s">
        <v>3893</v>
      </c>
      <c r="B908" s="3074" t="s">
        <v>3980</v>
      </c>
      <c r="C908" s="3075">
        <v>130.81</v>
      </c>
      <c r="D908" s="3076">
        <v>124.708</v>
      </c>
      <c r="E908" s="3073">
        <v>6.1040000000000001</v>
      </c>
      <c r="F908" s="1407">
        <f ca="1">ROUND(系统读取表!$E$15*面积清单!C908,0)</f>
        <v>1735980</v>
      </c>
    </row>
    <row r="909" spans="1:6" ht="16.5">
      <c r="A909" s="3073" t="s">
        <v>3893</v>
      </c>
      <c r="B909" s="3074" t="s">
        <v>3981</v>
      </c>
      <c r="C909" s="3075">
        <v>130.81</v>
      </c>
      <c r="D909" s="3076">
        <v>124.708</v>
      </c>
      <c r="E909" s="3073">
        <v>6.1040000000000001</v>
      </c>
      <c r="F909" s="1407">
        <f ca="1">ROUND(系统读取表!$E$15*面积清单!C909,0)</f>
        <v>1735980</v>
      </c>
    </row>
    <row r="910" spans="1:6" ht="16.5">
      <c r="A910" s="3073" t="s">
        <v>3893</v>
      </c>
      <c r="B910" s="3074" t="s">
        <v>3982</v>
      </c>
      <c r="C910" s="3075">
        <v>130.81</v>
      </c>
      <c r="D910" s="3076">
        <v>124.708</v>
      </c>
      <c r="E910" s="3073">
        <v>6.1040000000000001</v>
      </c>
      <c r="F910" s="1407">
        <f ca="1">ROUND(系统读取表!$E$15*面积清单!C910,0)</f>
        <v>1735980</v>
      </c>
    </row>
    <row r="911" spans="1:6" ht="16.5">
      <c r="A911" s="3073" t="s">
        <v>3893</v>
      </c>
      <c r="B911" s="3074" t="s">
        <v>3983</v>
      </c>
      <c r="C911" s="3075">
        <v>130.99</v>
      </c>
      <c r="D911" s="3076">
        <v>124.875</v>
      </c>
      <c r="E911" s="3073">
        <v>6.1120000000000001</v>
      </c>
      <c r="F911" s="1407">
        <f ca="1">ROUND(系统读取表!$E$15*面积清单!C911,0)</f>
        <v>1738368</v>
      </c>
    </row>
    <row r="912" spans="1:6" ht="16.5">
      <c r="A912" s="3073" t="s">
        <v>3893</v>
      </c>
      <c r="B912" s="3074" t="s">
        <v>3984</v>
      </c>
      <c r="C912" s="3075">
        <v>130.99</v>
      </c>
      <c r="D912" s="3076">
        <v>124.875</v>
      </c>
      <c r="E912" s="3073">
        <v>6.1120000000000001</v>
      </c>
      <c r="F912" s="1407">
        <f ca="1">ROUND(系统读取表!$E$15*面积清单!C912,0)</f>
        <v>1738368</v>
      </c>
    </row>
    <row r="913" spans="1:6" ht="16.5">
      <c r="A913" s="3073" t="s">
        <v>3893</v>
      </c>
      <c r="B913" s="3074" t="s">
        <v>3985</v>
      </c>
      <c r="C913" s="3075">
        <v>209.78</v>
      </c>
      <c r="D913" s="3076">
        <v>199.988</v>
      </c>
      <c r="E913" s="3073">
        <v>9.7880000000000003</v>
      </c>
      <c r="F913" s="1407">
        <f ca="1">ROUND(系统读取表!$E$15*面积清单!C913,0)</f>
        <v>2783990</v>
      </c>
    </row>
    <row r="914" spans="1:6" ht="16.5">
      <c r="A914" s="3073" t="s">
        <v>3893</v>
      </c>
      <c r="B914" s="3074" t="s">
        <v>3986</v>
      </c>
      <c r="C914" s="3075">
        <v>186.22</v>
      </c>
      <c r="D914" s="3076">
        <v>177.53100000000001</v>
      </c>
      <c r="E914" s="3073">
        <v>8.69</v>
      </c>
      <c r="F914" s="1407">
        <f ca="1">ROUND(系统读取表!$E$15*面积清单!C914,0)</f>
        <v>2471326</v>
      </c>
    </row>
    <row r="915" spans="1:6" ht="16.5">
      <c r="A915" s="3073" t="s">
        <v>3893</v>
      </c>
      <c r="B915" s="3074" t="s">
        <v>3987</v>
      </c>
      <c r="C915" s="3075">
        <v>186.22</v>
      </c>
      <c r="D915" s="3076">
        <v>177.53100000000001</v>
      </c>
      <c r="E915" s="3073">
        <v>8.69</v>
      </c>
      <c r="F915" s="1407">
        <f ca="1">ROUND(系统读取表!$E$15*面积清单!C915,0)</f>
        <v>2471326</v>
      </c>
    </row>
    <row r="916" spans="1:6" ht="16.5">
      <c r="A916" s="3073" t="s">
        <v>3893</v>
      </c>
      <c r="B916" s="3074" t="s">
        <v>3988</v>
      </c>
      <c r="C916" s="3075">
        <v>209.78</v>
      </c>
      <c r="D916" s="3076">
        <v>199.988</v>
      </c>
      <c r="E916" s="3073">
        <v>9.7880000000000003</v>
      </c>
      <c r="F916" s="1407">
        <f ca="1">ROUND(系统读取表!$E$15*面积清单!C916,0)</f>
        <v>2783990</v>
      </c>
    </row>
    <row r="917" spans="1:6" ht="16.5">
      <c r="A917" s="3073" t="s">
        <v>3893</v>
      </c>
      <c r="B917" s="3074" t="s">
        <v>3989</v>
      </c>
      <c r="C917" s="3075">
        <v>130.99</v>
      </c>
      <c r="D917" s="3076">
        <v>124.875</v>
      </c>
      <c r="E917" s="3073">
        <v>6.1120000000000001</v>
      </c>
      <c r="F917" s="1407">
        <f ca="1">ROUND(系统读取表!$E$15*面积清单!C917,0)</f>
        <v>1738368</v>
      </c>
    </row>
    <row r="918" spans="1:6" ht="16.5">
      <c r="A918" s="3073" t="s">
        <v>3893</v>
      </c>
      <c r="B918" s="3074" t="s">
        <v>3990</v>
      </c>
      <c r="C918" s="3075">
        <v>130.99</v>
      </c>
      <c r="D918" s="3076">
        <v>124.875</v>
      </c>
      <c r="E918" s="3073">
        <v>6.1120000000000001</v>
      </c>
      <c r="F918" s="1407">
        <f ca="1">ROUND(系统读取表!$E$15*面积清单!C918,0)</f>
        <v>1738368</v>
      </c>
    </row>
    <row r="919" spans="1:6" ht="16.5">
      <c r="A919" s="3073" t="s">
        <v>3893</v>
      </c>
      <c r="B919" s="3074" t="s">
        <v>3991</v>
      </c>
      <c r="C919" s="3075">
        <v>130.81</v>
      </c>
      <c r="D919" s="3076">
        <v>124.708</v>
      </c>
      <c r="E919" s="3073">
        <v>6.1040000000000001</v>
      </c>
      <c r="F919" s="1407">
        <f ca="1">ROUND(系统读取表!$E$15*面积清单!C919,0)</f>
        <v>1735980</v>
      </c>
    </row>
    <row r="920" spans="1:6" ht="16.5">
      <c r="A920" s="3073" t="s">
        <v>3893</v>
      </c>
      <c r="B920" s="3074" t="s">
        <v>3992</v>
      </c>
      <c r="C920" s="3075">
        <v>130.81</v>
      </c>
      <c r="D920" s="3076">
        <v>124.708</v>
      </c>
      <c r="E920" s="3073">
        <v>6.1040000000000001</v>
      </c>
      <c r="F920" s="1407">
        <f ca="1">ROUND(系统读取表!$E$15*面积清单!C920,0)</f>
        <v>1735980</v>
      </c>
    </row>
    <row r="921" spans="1:6" ht="16.5">
      <c r="A921" s="3073" t="s">
        <v>3893</v>
      </c>
      <c r="B921" s="3074" t="s">
        <v>3993</v>
      </c>
      <c r="C921" s="3075">
        <v>130.81</v>
      </c>
      <c r="D921" s="3076">
        <v>124.708</v>
      </c>
      <c r="E921" s="3073">
        <v>6.1040000000000001</v>
      </c>
      <c r="F921" s="1407">
        <f ca="1">ROUND(系统读取表!$E$15*面积清单!C921,0)</f>
        <v>1735980</v>
      </c>
    </row>
    <row r="922" spans="1:6" ht="16.5">
      <c r="A922" s="3073" t="s">
        <v>3893</v>
      </c>
      <c r="B922" s="3074" t="s">
        <v>3994</v>
      </c>
      <c r="C922" s="3075">
        <v>130.81</v>
      </c>
      <c r="D922" s="3076">
        <v>124.708</v>
      </c>
      <c r="E922" s="3073">
        <v>6.1040000000000001</v>
      </c>
      <c r="F922" s="1407">
        <f ca="1">ROUND(系统读取表!$E$15*面积清单!C922,0)</f>
        <v>1735980</v>
      </c>
    </row>
    <row r="923" spans="1:6" ht="16.5">
      <c r="A923" s="3073" t="s">
        <v>3893</v>
      </c>
      <c r="B923" s="3074" t="s">
        <v>3995</v>
      </c>
      <c r="C923" s="3075">
        <v>130.99</v>
      </c>
      <c r="D923" s="3076">
        <v>124.875</v>
      </c>
      <c r="E923" s="3073">
        <v>6.1120000000000001</v>
      </c>
      <c r="F923" s="1407">
        <f ca="1">ROUND(系统读取表!$E$15*面积清单!C923,0)</f>
        <v>1738368</v>
      </c>
    </row>
    <row r="924" spans="1:6" ht="16.5">
      <c r="A924" s="3073" t="s">
        <v>3893</v>
      </c>
      <c r="B924" s="3074" t="s">
        <v>3996</v>
      </c>
      <c r="C924" s="3075">
        <v>130.99</v>
      </c>
      <c r="D924" s="3076">
        <v>124.875</v>
      </c>
      <c r="E924" s="3073">
        <v>6.1120000000000001</v>
      </c>
      <c r="F924" s="1407">
        <f ca="1">ROUND(系统读取表!$E$15*面积清单!C924,0)</f>
        <v>1738368</v>
      </c>
    </row>
    <row r="925" spans="1:6" ht="16.5">
      <c r="A925" s="3073" t="s">
        <v>3893</v>
      </c>
      <c r="B925" s="3074" t="s">
        <v>3997</v>
      </c>
      <c r="C925" s="3075">
        <v>209.78</v>
      </c>
      <c r="D925" s="3076">
        <v>199.988</v>
      </c>
      <c r="E925" s="3073">
        <v>9.7880000000000003</v>
      </c>
      <c r="F925" s="1407">
        <f ca="1">ROUND(系统读取表!$E$15*面积清单!C925,0)</f>
        <v>2783990</v>
      </c>
    </row>
    <row r="926" spans="1:6" ht="16.5">
      <c r="A926" s="3073" t="s">
        <v>3893</v>
      </c>
      <c r="B926" s="3074" t="s">
        <v>3998</v>
      </c>
      <c r="C926" s="3075">
        <v>186.22</v>
      </c>
      <c r="D926" s="3076">
        <v>177.53100000000001</v>
      </c>
      <c r="E926" s="3073">
        <v>8.69</v>
      </c>
      <c r="F926" s="1407">
        <f ca="1">ROUND(系统读取表!$E$15*面积清单!C926,0)</f>
        <v>2471326</v>
      </c>
    </row>
    <row r="927" spans="1:6" ht="16.5">
      <c r="A927" s="3073" t="s">
        <v>3893</v>
      </c>
      <c r="B927" s="3074" t="s">
        <v>3999</v>
      </c>
      <c r="C927" s="3075">
        <v>186.22</v>
      </c>
      <c r="D927" s="3076">
        <v>177.53100000000001</v>
      </c>
      <c r="E927" s="3073">
        <v>8.69</v>
      </c>
      <c r="F927" s="1407">
        <f ca="1">ROUND(系统读取表!$E$15*面积清单!C927,0)</f>
        <v>2471326</v>
      </c>
    </row>
    <row r="928" spans="1:6" ht="16.5">
      <c r="A928" s="3073" t="s">
        <v>3893</v>
      </c>
      <c r="B928" s="3074" t="s">
        <v>4000</v>
      </c>
      <c r="C928" s="3075">
        <v>209.78</v>
      </c>
      <c r="D928" s="3076">
        <v>199.988</v>
      </c>
      <c r="E928" s="3073">
        <v>9.7880000000000003</v>
      </c>
      <c r="F928" s="1407">
        <f ca="1">ROUND(系统读取表!$E$15*面积清单!C928,0)</f>
        <v>2783990</v>
      </c>
    </row>
    <row r="929" spans="1:6" ht="16.5">
      <c r="A929" s="3073" t="s">
        <v>3893</v>
      </c>
      <c r="B929" s="3074" t="s">
        <v>4001</v>
      </c>
      <c r="C929" s="3075">
        <v>130.99</v>
      </c>
      <c r="D929" s="3076">
        <v>124.875</v>
      </c>
      <c r="E929" s="3073">
        <v>6.1120000000000001</v>
      </c>
      <c r="F929" s="1407">
        <f ca="1">ROUND(系统读取表!$E$15*面积清单!C929,0)</f>
        <v>1738368</v>
      </c>
    </row>
    <row r="930" spans="1:6" ht="16.5">
      <c r="A930" s="3073" t="s">
        <v>3893</v>
      </c>
      <c r="B930" s="3074" t="s">
        <v>4002</v>
      </c>
      <c r="C930" s="3075">
        <v>130.99</v>
      </c>
      <c r="D930" s="3076">
        <v>124.875</v>
      </c>
      <c r="E930" s="3073">
        <v>6.1120000000000001</v>
      </c>
      <c r="F930" s="1407">
        <f ca="1">ROUND(系统读取表!$E$15*面积清单!C930,0)</f>
        <v>1738368</v>
      </c>
    </row>
    <row r="931" spans="1:6" ht="16.5">
      <c r="A931" s="3073" t="s">
        <v>3893</v>
      </c>
      <c r="B931" s="3074" t="s">
        <v>4003</v>
      </c>
      <c r="C931" s="3075">
        <v>130.81</v>
      </c>
      <c r="D931" s="3076">
        <v>124.708</v>
      </c>
      <c r="E931" s="3073">
        <v>6.1040000000000001</v>
      </c>
      <c r="F931" s="1407">
        <f ca="1">ROUND(系统读取表!$E$15*面积清单!C931,0)</f>
        <v>1735980</v>
      </c>
    </row>
    <row r="932" spans="1:6" ht="16.5">
      <c r="A932" s="3073" t="s">
        <v>3893</v>
      </c>
      <c r="B932" s="3074" t="s">
        <v>4004</v>
      </c>
      <c r="C932" s="3075">
        <v>130.81</v>
      </c>
      <c r="D932" s="3076">
        <v>124.708</v>
      </c>
      <c r="E932" s="3073">
        <v>6.1040000000000001</v>
      </c>
      <c r="F932" s="1407">
        <f ca="1">ROUND(系统读取表!$E$15*面积清单!C932,0)</f>
        <v>1735980</v>
      </c>
    </row>
    <row r="933" spans="1:6" ht="16.5">
      <c r="A933" s="3073" t="s">
        <v>3893</v>
      </c>
      <c r="B933" s="3074" t="s">
        <v>4005</v>
      </c>
      <c r="C933" s="3075">
        <v>130.81</v>
      </c>
      <c r="D933" s="3076">
        <v>124.708</v>
      </c>
      <c r="E933" s="3073">
        <v>6.1040000000000001</v>
      </c>
      <c r="F933" s="1407">
        <f ca="1">ROUND(系统读取表!$E$15*面积清单!C933,0)</f>
        <v>1735980</v>
      </c>
    </row>
    <row r="934" spans="1:6" ht="16.5">
      <c r="A934" s="3073" t="s">
        <v>3893</v>
      </c>
      <c r="B934" s="3074" t="s">
        <v>4006</v>
      </c>
      <c r="C934" s="3075">
        <v>130.81</v>
      </c>
      <c r="D934" s="3076">
        <v>124.708</v>
      </c>
      <c r="E934" s="3073">
        <v>6.1040000000000001</v>
      </c>
      <c r="F934" s="1407">
        <f ca="1">ROUND(系统读取表!$E$15*面积清单!C934,0)</f>
        <v>1735980</v>
      </c>
    </row>
    <row r="935" spans="1:6" ht="16.5">
      <c r="A935" s="3073" t="s">
        <v>3893</v>
      </c>
      <c r="B935" s="3074" t="s">
        <v>4007</v>
      </c>
      <c r="C935" s="3075">
        <v>130.99</v>
      </c>
      <c r="D935" s="3076">
        <v>124.875</v>
      </c>
      <c r="E935" s="3073">
        <v>6.1120000000000001</v>
      </c>
      <c r="F935" s="1407">
        <f ca="1">ROUND(系统读取表!$E$15*面积清单!C935,0)</f>
        <v>1738368</v>
      </c>
    </row>
    <row r="936" spans="1:6" ht="16.5">
      <c r="A936" s="3073" t="s">
        <v>3893</v>
      </c>
      <c r="B936" s="3074" t="s">
        <v>4008</v>
      </c>
      <c r="C936" s="3075">
        <v>130.99</v>
      </c>
      <c r="D936" s="3076">
        <v>124.875</v>
      </c>
      <c r="E936" s="3073">
        <v>6.1120000000000001</v>
      </c>
      <c r="F936" s="1407">
        <f ca="1">ROUND(系统读取表!$E$15*面积清单!C936,0)</f>
        <v>1738368</v>
      </c>
    </row>
    <row r="937" spans="1:6" ht="16.5">
      <c r="A937" s="3073" t="s">
        <v>3893</v>
      </c>
      <c r="B937" s="3074" t="s">
        <v>4009</v>
      </c>
      <c r="C937" s="3075">
        <v>186.22</v>
      </c>
      <c r="D937" s="3076">
        <v>177.53100000000001</v>
      </c>
      <c r="E937" s="3073">
        <v>8.69</v>
      </c>
      <c r="F937" s="1407">
        <f ca="1">ROUND(系统读取表!$E$15*面积清单!C937,0)</f>
        <v>2471326</v>
      </c>
    </row>
    <row r="938" spans="1:6" ht="16.5">
      <c r="A938" s="3073" t="s">
        <v>3893</v>
      </c>
      <c r="B938" s="3074" t="s">
        <v>4010</v>
      </c>
      <c r="C938" s="3075">
        <v>186.22</v>
      </c>
      <c r="D938" s="3076">
        <v>177.53100000000001</v>
      </c>
      <c r="E938" s="3073">
        <v>8.69</v>
      </c>
      <c r="F938" s="1407">
        <f ca="1">ROUND(系统读取表!$E$15*面积清单!C938,0)</f>
        <v>2471326</v>
      </c>
    </row>
    <row r="939" spans="1:6" ht="16.5">
      <c r="A939" s="3073" t="s">
        <v>3893</v>
      </c>
      <c r="B939" s="3074" t="s">
        <v>4011</v>
      </c>
      <c r="C939" s="3075">
        <v>209.78</v>
      </c>
      <c r="D939" s="3076">
        <v>199.988</v>
      </c>
      <c r="E939" s="3073">
        <v>9.7880000000000003</v>
      </c>
      <c r="F939" s="1407">
        <f ca="1">ROUND(系统读取表!$E$15*面积清单!C939,0)</f>
        <v>2783990</v>
      </c>
    </row>
    <row r="940" spans="1:6" ht="16.5">
      <c r="A940" s="3073" t="s">
        <v>3893</v>
      </c>
      <c r="B940" s="3074" t="s">
        <v>4012</v>
      </c>
      <c r="C940" s="3075">
        <v>130.99</v>
      </c>
      <c r="D940" s="3076">
        <v>124.875</v>
      </c>
      <c r="E940" s="3073">
        <v>6.1120000000000001</v>
      </c>
      <c r="F940" s="1407">
        <f ca="1">ROUND(系统读取表!$E$15*面积清单!C940,0)</f>
        <v>1738368</v>
      </c>
    </row>
    <row r="941" spans="1:6" ht="16.5">
      <c r="A941" s="3073" t="s">
        <v>3893</v>
      </c>
      <c r="B941" s="3074" t="s">
        <v>4013</v>
      </c>
      <c r="C941" s="3075">
        <v>130.99</v>
      </c>
      <c r="D941" s="3076">
        <v>124.875</v>
      </c>
      <c r="E941" s="3073">
        <v>6.1120000000000001</v>
      </c>
      <c r="F941" s="1407">
        <f ca="1">ROUND(系统读取表!$E$15*面积清单!C941,0)</f>
        <v>1738368</v>
      </c>
    </row>
    <row r="942" spans="1:6" ht="16.5">
      <c r="A942" s="3073" t="s">
        <v>3893</v>
      </c>
      <c r="B942" s="3074" t="s">
        <v>4014</v>
      </c>
      <c r="C942" s="3075">
        <v>130.81</v>
      </c>
      <c r="D942" s="3076">
        <v>124.708</v>
      </c>
      <c r="E942" s="3073">
        <v>6.1040000000000001</v>
      </c>
      <c r="F942" s="1407">
        <f ca="1">ROUND(系统读取表!$E$15*面积清单!C942,0)</f>
        <v>1735980</v>
      </c>
    </row>
    <row r="943" spans="1:6" ht="16.5">
      <c r="A943" s="3073" t="s">
        <v>3893</v>
      </c>
      <c r="B943" s="3074" t="s">
        <v>4015</v>
      </c>
      <c r="C943" s="3075">
        <v>130.81</v>
      </c>
      <c r="D943" s="3076">
        <v>124.708</v>
      </c>
      <c r="E943" s="3073">
        <v>6.1040000000000001</v>
      </c>
      <c r="F943" s="1407">
        <f ca="1">ROUND(系统读取表!$E$15*面积清单!C943,0)</f>
        <v>1735980</v>
      </c>
    </row>
    <row r="944" spans="1:6" ht="16.5">
      <c r="A944" s="3073" t="s">
        <v>3893</v>
      </c>
      <c r="B944" s="3074" t="s">
        <v>4016</v>
      </c>
      <c r="C944" s="3075">
        <v>130.81</v>
      </c>
      <c r="D944" s="3076">
        <v>124.708</v>
      </c>
      <c r="E944" s="3073">
        <v>6.1040000000000001</v>
      </c>
      <c r="F944" s="1407">
        <f ca="1">ROUND(系统读取表!$E$15*面积清单!C944,0)</f>
        <v>1735980</v>
      </c>
    </row>
    <row r="945" spans="1:6" ht="16.5">
      <c r="A945" s="3073" t="s">
        <v>3893</v>
      </c>
      <c r="B945" s="3074" t="s">
        <v>4017</v>
      </c>
      <c r="C945" s="3075">
        <v>130.81</v>
      </c>
      <c r="D945" s="3076">
        <v>124.708</v>
      </c>
      <c r="E945" s="3073">
        <v>6.1040000000000001</v>
      </c>
      <c r="F945" s="1407">
        <f ca="1">ROUND(系统读取表!$E$15*面积清单!C945,0)</f>
        <v>1735980</v>
      </c>
    </row>
    <row r="946" spans="1:6" ht="16.5">
      <c r="A946" s="3073" t="s">
        <v>3893</v>
      </c>
      <c r="B946" s="3074" t="s">
        <v>4018</v>
      </c>
      <c r="C946" s="3075">
        <v>130.99</v>
      </c>
      <c r="D946" s="3076">
        <v>124.875</v>
      </c>
      <c r="E946" s="3073">
        <v>6.1120000000000001</v>
      </c>
      <c r="F946" s="1407">
        <f ca="1">ROUND(系统读取表!$E$15*面积清单!C946,0)</f>
        <v>1738368</v>
      </c>
    </row>
    <row r="947" spans="1:6" ht="16.5">
      <c r="A947" s="3073" t="s">
        <v>3893</v>
      </c>
      <c r="B947" s="3074" t="s">
        <v>4019</v>
      </c>
      <c r="C947" s="3075">
        <v>130.99</v>
      </c>
      <c r="D947" s="3076">
        <v>124.875</v>
      </c>
      <c r="E947" s="3073">
        <v>6.1120000000000001</v>
      </c>
      <c r="F947" s="1407">
        <f ca="1">ROUND(系统读取表!$E$15*面积清单!C947,0)</f>
        <v>1738368</v>
      </c>
    </row>
    <row r="948" spans="1:6" ht="16.5">
      <c r="A948" s="3073" t="s">
        <v>3893</v>
      </c>
      <c r="B948" s="3074" t="s">
        <v>4020</v>
      </c>
      <c r="C948" s="3075">
        <v>209.78</v>
      </c>
      <c r="D948" s="3076">
        <v>199.988</v>
      </c>
      <c r="E948" s="3073">
        <v>9.7880000000000003</v>
      </c>
      <c r="F948" s="1407">
        <f ca="1">ROUND(系统读取表!$E$15*面积清单!C948,0)</f>
        <v>2783990</v>
      </c>
    </row>
    <row r="949" spans="1:6" ht="16.5">
      <c r="A949" s="3073" t="s">
        <v>3893</v>
      </c>
      <c r="B949" s="3074" t="s">
        <v>4021</v>
      </c>
      <c r="C949" s="3075">
        <v>186.22</v>
      </c>
      <c r="D949" s="3076">
        <v>177.53100000000001</v>
      </c>
      <c r="E949" s="3073">
        <v>8.69</v>
      </c>
      <c r="F949" s="1407">
        <f ca="1">ROUND(系统读取表!$E$15*面积清单!C949,0)</f>
        <v>2471326</v>
      </c>
    </row>
    <row r="950" spans="1:6" ht="16.5">
      <c r="A950" s="3073" t="s">
        <v>3893</v>
      </c>
      <c r="B950" s="3074" t="s">
        <v>4022</v>
      </c>
      <c r="C950" s="3075">
        <v>186.22</v>
      </c>
      <c r="D950" s="3076">
        <v>177.53100000000001</v>
      </c>
      <c r="E950" s="3073">
        <v>8.69</v>
      </c>
      <c r="F950" s="1407">
        <f ca="1">ROUND(系统读取表!$E$15*面积清单!C950,0)</f>
        <v>2471326</v>
      </c>
    </row>
    <row r="951" spans="1:6" ht="16.5">
      <c r="A951" s="3073" t="s">
        <v>3893</v>
      </c>
      <c r="B951" s="3074" t="s">
        <v>4023</v>
      </c>
      <c r="C951" s="3075">
        <v>209.78</v>
      </c>
      <c r="D951" s="3076">
        <v>199.988</v>
      </c>
      <c r="E951" s="3073">
        <v>9.7880000000000003</v>
      </c>
      <c r="F951" s="1407">
        <f ca="1">ROUND(系统读取表!$E$15*面积清单!C951,0)</f>
        <v>2783990</v>
      </c>
    </row>
    <row r="952" spans="1:6" ht="16.5">
      <c r="A952" s="3073" t="s">
        <v>3893</v>
      </c>
      <c r="B952" s="3074" t="s">
        <v>4024</v>
      </c>
      <c r="C952" s="3075">
        <v>130.99</v>
      </c>
      <c r="D952" s="3076">
        <v>124.875</v>
      </c>
      <c r="E952" s="3073">
        <v>6.1120000000000001</v>
      </c>
      <c r="F952" s="1407">
        <f ca="1">ROUND(系统读取表!$E$15*面积清单!C952,0)</f>
        <v>1738368</v>
      </c>
    </row>
    <row r="953" spans="1:6" ht="16.5">
      <c r="A953" s="3073" t="s">
        <v>3893</v>
      </c>
      <c r="B953" s="3074" t="s">
        <v>4025</v>
      </c>
      <c r="C953" s="3075">
        <v>130.99</v>
      </c>
      <c r="D953" s="3076">
        <v>124.875</v>
      </c>
      <c r="E953" s="3073">
        <v>6.1120000000000001</v>
      </c>
      <c r="F953" s="1407">
        <f ca="1">ROUND(系统读取表!$E$15*面积清单!C953,0)</f>
        <v>1738368</v>
      </c>
    </row>
    <row r="954" spans="1:6" ht="16.5">
      <c r="A954" s="3073" t="s">
        <v>3893</v>
      </c>
      <c r="B954" s="3074" t="s">
        <v>4026</v>
      </c>
      <c r="C954" s="3075">
        <v>130.81</v>
      </c>
      <c r="D954" s="3076">
        <v>124.708</v>
      </c>
      <c r="E954" s="3073">
        <v>6.1040000000000001</v>
      </c>
      <c r="F954" s="1407">
        <f ca="1">ROUND(系统读取表!$E$15*面积清单!C954,0)</f>
        <v>1735980</v>
      </c>
    </row>
    <row r="955" spans="1:6" ht="16.5">
      <c r="A955" s="3073" t="s">
        <v>3893</v>
      </c>
      <c r="B955" s="3074" t="s">
        <v>4027</v>
      </c>
      <c r="C955" s="3075">
        <v>130.81</v>
      </c>
      <c r="D955" s="3076">
        <v>124.708</v>
      </c>
      <c r="E955" s="3073">
        <v>6.1040000000000001</v>
      </c>
      <c r="F955" s="1407">
        <f ca="1">ROUND(系统读取表!$E$15*面积清单!C955,0)</f>
        <v>1735980</v>
      </c>
    </row>
    <row r="956" spans="1:6" ht="16.5">
      <c r="A956" s="3073" t="s">
        <v>3893</v>
      </c>
      <c r="B956" s="3074" t="s">
        <v>4028</v>
      </c>
      <c r="C956" s="3075">
        <v>130.81</v>
      </c>
      <c r="D956" s="3076">
        <v>124.708</v>
      </c>
      <c r="E956" s="3073">
        <v>6.1040000000000001</v>
      </c>
      <c r="F956" s="1407">
        <f ca="1">ROUND(系统读取表!$E$15*面积清单!C956,0)</f>
        <v>1735980</v>
      </c>
    </row>
    <row r="957" spans="1:6" ht="16.5">
      <c r="A957" s="3073" t="s">
        <v>3893</v>
      </c>
      <c r="B957" s="3074" t="s">
        <v>4029</v>
      </c>
      <c r="C957" s="3075">
        <v>130.81</v>
      </c>
      <c r="D957" s="3076">
        <v>124.708</v>
      </c>
      <c r="E957" s="3073">
        <v>6.1040000000000001</v>
      </c>
      <c r="F957" s="1407">
        <f ca="1">ROUND(系统读取表!$E$15*面积清单!C957,0)</f>
        <v>1735980</v>
      </c>
    </row>
    <row r="958" spans="1:6" ht="16.5">
      <c r="A958" s="3073" t="s">
        <v>3893</v>
      </c>
      <c r="B958" s="3074" t="s">
        <v>4030</v>
      </c>
      <c r="C958" s="3075">
        <v>130.99</v>
      </c>
      <c r="D958" s="3076">
        <v>124.875</v>
      </c>
      <c r="E958" s="3073">
        <v>6.1120000000000001</v>
      </c>
      <c r="F958" s="1407">
        <f ca="1">ROUND(系统读取表!$E$15*面积清单!C958,0)</f>
        <v>1738368</v>
      </c>
    </row>
    <row r="959" spans="1:6" ht="16.5">
      <c r="A959" s="3073" t="s">
        <v>3893</v>
      </c>
      <c r="B959" s="3074" t="s">
        <v>4031</v>
      </c>
      <c r="C959" s="3075">
        <v>130.99</v>
      </c>
      <c r="D959" s="3076">
        <v>124.875</v>
      </c>
      <c r="E959" s="3073">
        <v>6.1120000000000001</v>
      </c>
      <c r="F959" s="1407">
        <f ca="1">ROUND(系统读取表!$E$15*面积清单!C959,0)</f>
        <v>1738368</v>
      </c>
    </row>
    <row r="960" spans="1:6" ht="16.5">
      <c r="A960" s="3073" t="s">
        <v>3893</v>
      </c>
      <c r="B960" s="3074" t="s">
        <v>4032</v>
      </c>
      <c r="C960" s="3075">
        <v>209.78</v>
      </c>
      <c r="D960" s="3076">
        <v>199.988</v>
      </c>
      <c r="E960" s="3073">
        <v>9.7880000000000003</v>
      </c>
      <c r="F960" s="1407">
        <f ca="1">ROUND(系统读取表!$E$15*面积清单!C960,0)</f>
        <v>2783990</v>
      </c>
    </row>
    <row r="961" spans="1:6" ht="16.5">
      <c r="A961" s="3073" t="s">
        <v>3893</v>
      </c>
      <c r="B961" s="3074" t="s">
        <v>4033</v>
      </c>
      <c r="C961" s="3075">
        <v>186.22</v>
      </c>
      <c r="D961" s="3076">
        <v>177.53100000000001</v>
      </c>
      <c r="E961" s="3073">
        <v>8.69</v>
      </c>
      <c r="F961" s="1407">
        <f ca="1">ROUND(系统读取表!$E$15*面积清单!C961,0)</f>
        <v>2471326</v>
      </c>
    </row>
    <row r="962" spans="1:6">
      <c r="C962" s="3082">
        <f>SUM(C2:C961)</f>
        <v>58402.819999999818</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80" t="s">
        <v>1817</v>
      </c>
      <c r="B2" s="3180"/>
      <c r="C2" s="3180"/>
      <c r="D2" s="904" t="s">
        <v>1793</v>
      </c>
      <c r="E2" s="1826" t="s">
        <v>1794</v>
      </c>
      <c r="F2" s="2888"/>
      <c r="G2" s="2879"/>
      <c r="H2" s="2880"/>
      <c r="I2" s="2550" t="s">
        <v>1818</v>
      </c>
      <c r="J2" s="2888"/>
      <c r="K2" s="2888"/>
      <c r="L2" s="2888"/>
      <c r="M2" s="2888"/>
      <c r="N2" s="2890"/>
      <c r="O2" s="2888"/>
      <c r="P2" s="2888"/>
    </row>
    <row r="3" spans="1:16" ht="15.75" thickBot="1">
      <c r="A3" s="3181" t="s">
        <v>1791</v>
      </c>
      <c r="B3" s="3181"/>
      <c r="C3" s="3181"/>
      <c r="D3" s="46">
        <f>'数据-基础表'!AY6</f>
        <v>38935.21</v>
      </c>
      <c r="E3" s="46">
        <f>'数据-基础表'!AZ5</f>
        <v>58402.819999999992</v>
      </c>
      <c r="F3" s="2888"/>
      <c r="G3" s="1307"/>
      <c r="H3" s="1157" t="s">
        <v>1792</v>
      </c>
      <c r="I3" s="964">
        <f>ROUND('数据-基础表'!B3/'数据-基础表'!A3,2)</f>
        <v>1.5</v>
      </c>
      <c r="J3" s="2888"/>
      <c r="K3" s="2888"/>
      <c r="L3" s="2888"/>
      <c r="M3" s="2888"/>
      <c r="N3" s="2890"/>
      <c r="O3" s="2888"/>
      <c r="P3" s="2888"/>
    </row>
    <row r="4" spans="1:16" ht="15">
      <c r="A4" s="3182"/>
      <c r="B4" s="3183"/>
      <c r="C4" s="3184"/>
      <c r="D4" s="1828" t="s">
        <v>1793</v>
      </c>
      <c r="E4" s="1829" t="s">
        <v>1794</v>
      </c>
      <c r="F4" s="2888"/>
      <c r="G4" s="2881" t="s">
        <v>1819</v>
      </c>
      <c r="H4" s="1157" t="s">
        <v>1799</v>
      </c>
      <c r="I4" s="964">
        <f>ROUND(SUMIF('数据-基础表'!I9:AS9,"地上",'数据-基础表'!I5:AS5)/'数据-基础表'!A3,2)</f>
        <v>1.5</v>
      </c>
      <c r="J4" s="2888"/>
      <c r="K4" s="2888"/>
      <c r="L4" s="2888"/>
      <c r="M4" s="2888"/>
      <c r="N4" s="2890"/>
      <c r="O4" s="2888"/>
      <c r="P4" s="2888"/>
    </row>
    <row r="5" spans="1:16">
      <c r="A5" s="47" t="s">
        <v>1795</v>
      </c>
      <c r="B5" s="3185" t="s">
        <v>1796</v>
      </c>
      <c r="C5" s="3185"/>
      <c r="D5" s="48">
        <f>ROUND($D$3*E5/$E$3,2)</f>
        <v>0</v>
      </c>
      <c r="E5" s="49">
        <f>SUMIF('数据-基础表'!$11:$11,"住宅",'数据-基础表'!$5:$5)</f>
        <v>0</v>
      </c>
      <c r="F5" s="2888"/>
      <c r="G5" s="1307"/>
      <c r="H5" s="1157" t="s">
        <v>1792</v>
      </c>
      <c r="I5" s="964">
        <f>ROUND(E31/D31,2)</f>
        <v>1.5</v>
      </c>
      <c r="J5" s="2888"/>
      <c r="K5" s="2888"/>
      <c r="L5" s="2888"/>
      <c r="M5" s="2888"/>
      <c r="N5" s="2888"/>
      <c r="O5" s="2888"/>
      <c r="P5" s="2888"/>
    </row>
    <row r="6" spans="1:16" ht="15" thickBot="1">
      <c r="A6" s="1831"/>
      <c r="B6" s="3185" t="s">
        <v>1797</v>
      </c>
      <c r="C6" s="3185"/>
      <c r="D6" s="48">
        <f>ROUND($D$3*E6/$E$3,2)</f>
        <v>38935.21</v>
      </c>
      <c r="E6" s="49">
        <f>E3-E5</f>
        <v>58402.819999999992</v>
      </c>
      <c r="F6" s="2888"/>
      <c r="G6" s="2882" t="s">
        <v>1798</v>
      </c>
      <c r="H6" s="1308" t="s">
        <v>1799</v>
      </c>
      <c r="I6" s="2883">
        <f>ROUND(F31/D31,2)</f>
        <v>1.5</v>
      </c>
      <c r="J6" s="2888"/>
      <c r="K6" s="2888"/>
      <c r="L6" s="2888"/>
      <c r="M6" s="2888"/>
      <c r="N6" s="2888"/>
      <c r="O6" s="2888"/>
      <c r="P6" s="2888"/>
    </row>
    <row r="7" spans="1:16" ht="15.75" thickBot="1">
      <c r="A7" s="3177"/>
      <c r="B7" s="3178"/>
      <c r="C7" s="3179"/>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38935.21</v>
      </c>
      <c r="E8" s="51">
        <f>SUMIF('数据-基础表'!BB10:BK10,"地上",'数据-基础表'!BB5:BK5)</f>
        <v>58402.819999999992</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38935.21</v>
      </c>
      <c r="E16" s="53">
        <f>SUM(E8:E15)</f>
        <v>58402.819999999992</v>
      </c>
      <c r="F16" s="2888"/>
      <c r="G16" s="2889"/>
      <c r="H16" s="1835" t="s">
        <v>1821</v>
      </c>
      <c r="I16" s="1836"/>
      <c r="J16" s="1301"/>
      <c r="K16" s="3174" t="s">
        <v>1821</v>
      </c>
      <c r="L16" s="3175"/>
      <c r="M16" s="3175"/>
      <c r="N16" s="3175"/>
      <c r="O16" s="3175"/>
      <c r="P16" s="3176"/>
    </row>
    <row r="17" spans="1:19" ht="15">
      <c r="A17" s="1837" t="s">
        <v>1822</v>
      </c>
      <c r="B17" s="1838" t="s">
        <v>1823</v>
      </c>
      <c r="C17" s="1839" t="s">
        <v>1824</v>
      </c>
      <c r="D17" s="1840" t="s">
        <v>1812</v>
      </c>
      <c r="E17" s="1841" t="s">
        <v>1813</v>
      </c>
      <c r="F17" s="1842"/>
      <c r="G17" s="1843"/>
      <c r="H17" s="1844" t="s">
        <v>1825</v>
      </c>
      <c r="I17" s="1845" t="s">
        <v>1810</v>
      </c>
      <c r="J17" s="1301"/>
      <c r="K17" s="3171" t="s">
        <v>1826</v>
      </c>
      <c r="L17" s="3172"/>
      <c r="M17" s="3173"/>
      <c r="N17" s="3171" t="s">
        <v>1827</v>
      </c>
      <c r="O17" s="3172"/>
      <c r="P17" s="3173"/>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1855" t="s">
        <v>4064</v>
      </c>
      <c r="D19" s="48">
        <f>ROUND($D$3*E19/$E$3,2)</f>
        <v>25077.279999999999</v>
      </c>
      <c r="E19" s="56">
        <f t="shared" ref="E19:E26" si="1">SUM(F19:G19)</f>
        <v>37615.929999999993</v>
      </c>
      <c r="F19" s="3028">
        <f>'数据-基础表'!I5</f>
        <v>37615.929999999993</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25077.279999999999</v>
      </c>
      <c r="S19" s="1158">
        <f t="shared" si="5"/>
        <v>37615.929999999993</v>
      </c>
    </row>
    <row r="20" spans="1:19">
      <c r="A20" s="1858"/>
      <c r="B20" s="50" t="s">
        <v>1839</v>
      </c>
      <c r="C20" s="3085" t="s">
        <v>4065</v>
      </c>
      <c r="D20" s="48">
        <f t="shared" ref="D20:D26" si="6">ROUND($D$3*E20/$E$3,2)</f>
        <v>13857.93</v>
      </c>
      <c r="E20" s="56">
        <f t="shared" si="1"/>
        <v>20786.89</v>
      </c>
      <c r="F20" s="3028">
        <f>'数据-基础表'!K5</f>
        <v>20786.89</v>
      </c>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13857.93</v>
      </c>
      <c r="S20" s="1158">
        <f t="shared" si="5"/>
        <v>20786.89</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38935.21</v>
      </c>
      <c r="E27" s="1303">
        <f>IF(SUM(E19:E26)='数据-基础表'!BA5,SUM(E19:E26),IF(F27="地上面积有误","面积有误","地下面积有误"))</f>
        <v>58402.819999999992</v>
      </c>
      <c r="F27" s="1302">
        <f>IF(SUM(F19:F26)=E8,SUM(F19:F26),"地上面积有误")</f>
        <v>58402.819999999992</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38935.21</v>
      </c>
      <c r="S27" s="1157">
        <f>IF(SUM(S19:S26)=$E$3,SUM(S19:S26),SUM(S19:S26)&amp;"误差"&amp;ROUND(SUM(S19:S26)-E3,2))</f>
        <v>58402.819999999992</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38935.21</v>
      </c>
      <c r="E31" s="685">
        <f>E27+E30</f>
        <v>58402.819999999992</v>
      </c>
      <c r="F31" s="686">
        <f>F27+F30</f>
        <v>58402.819999999992</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24"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44153</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4190</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LOFT公寓</v>
      </c>
      <c r="B6" s="1901" t="str">
        <f>IF(A6=0,"","经营性")</f>
        <v>经营性</v>
      </c>
      <c r="C6" s="1902" t="s">
        <v>1343</v>
      </c>
      <c r="D6" s="967">
        <f>SUMIF(项目基本情况!D$12:I$12,C6,项目基本情况!D$14:I$14)</f>
        <v>40</v>
      </c>
      <c r="E6" s="966">
        <f>IF(B6="","",SUMIF(项目基本情况!D$12:I$12,C6,项目基本情况!D$13:I$13))</f>
        <v>57980</v>
      </c>
      <c r="F6" s="68">
        <f>SUMIF(项目基本情况!D$12:I$12,C6,项目基本情况!D$15:I$15)</f>
        <v>37.880000000000003</v>
      </c>
      <c r="G6" s="69">
        <f>IF(ISERROR(ROUND(POWER(1+H6,D6-F6)*(POWER(1+H6,F6)-1)/(POWER(1+H6,D6)-1),3)),0,ROUND(POWER(1+H6,D6-F6)*(POWER(1+H6,F6)-1)/(POWER(1+H6,D6)-1),3))</f>
        <v>0.98199999999999998</v>
      </c>
      <c r="H6" s="741">
        <v>0.05</v>
      </c>
      <c r="I6" s="741">
        <v>5.5E-2</v>
      </c>
      <c r="J6" s="70">
        <v>8.5000000000000006E-2</v>
      </c>
      <c r="K6" s="1161">
        <f>SUMIF('数据-汇总表'!C$19:C$33,A6,'数据-汇总表'!E$19:E$33)</f>
        <v>37615.929999999993</v>
      </c>
      <c r="L6" s="742">
        <v>3500</v>
      </c>
      <c r="M6" s="71">
        <f t="shared" ref="M6:M14" si="0">ROUND(K6*L6/10000,0)</f>
        <v>13166</v>
      </c>
      <c r="N6" s="740">
        <v>1</v>
      </c>
      <c r="O6" s="71" t="str">
        <f>IF($N$5="成新度","——",ROUND(M6*N6,0))</f>
        <v>——</v>
      </c>
      <c r="P6" s="72" t="str">
        <f>IF($N$5="成新度","——",M6-O6)</f>
        <v>——</v>
      </c>
      <c r="Q6" s="743">
        <v>0.15</v>
      </c>
      <c r="R6" s="73">
        <f ca="1">SUMIF('数据-汇总表'!C$19:C$33,A6,'数据-汇总表'!R$19:R$27)</f>
        <v>25077.279999999999</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3"/>
      <c r="AO6" s="55" t="e">
        <f ca="1">SUMIF(INDIRECT("'"&amp;AN6&amp;"'"&amp;"!A:A"),"总价",INDIRECT("'"&amp;AN6&amp;"'"&amp;"!B:B"))</f>
        <v>#REF!</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合院</v>
      </c>
      <c r="B7" s="1901" t="str">
        <f t="shared" ref="B7:B13" si="1">IF(A7=0,"","经营性")</f>
        <v>经营性</v>
      </c>
      <c r="C7" s="1902" t="s">
        <v>1343</v>
      </c>
      <c r="D7" s="967">
        <f>SUMIF(项目基本情况!D$12:I$12,C7,项目基本情况!D$14:I$14)</f>
        <v>40</v>
      </c>
      <c r="E7" s="966">
        <f>IF(B7="","",SUMIF(项目基本情况!D$12:I$12,C7,项目基本情况!D$13:I$13))</f>
        <v>57980</v>
      </c>
      <c r="F7" s="68">
        <f>SUMIF(项目基本情况!D$12:I$12,C7,项目基本情况!D$15:I$15)</f>
        <v>37.880000000000003</v>
      </c>
      <c r="G7" s="69">
        <f t="shared" ref="G7:G11" si="2">IF(ISERROR(ROUND(POWER(1+H7,D7-F7)*(POWER(1+H7,F7)-1)/(POWER(1+H7,D7)-1),3)),0,ROUND(POWER(1+H7,D7-F7)*(POWER(1+H7,F7)-1)/(POWER(1+H7,D7)-1),3))</f>
        <v>0.98199999999999998</v>
      </c>
      <c r="H7" s="741">
        <f>H6</f>
        <v>0.05</v>
      </c>
      <c r="I7" s="741">
        <f>I6</f>
        <v>5.5E-2</v>
      </c>
      <c r="J7" s="70">
        <f>J6</f>
        <v>8.5000000000000006E-2</v>
      </c>
      <c r="K7" s="1161">
        <f>SUMIF('数据-汇总表'!C$19:C$33,A7,'数据-汇总表'!E$19:E$33)</f>
        <v>20786.89</v>
      </c>
      <c r="L7" s="742">
        <v>3500</v>
      </c>
      <c r="M7" s="71">
        <f t="shared" si="0"/>
        <v>7275</v>
      </c>
      <c r="N7" s="740">
        <v>1</v>
      </c>
      <c r="O7" s="71" t="str">
        <f t="shared" ref="O7:O14" si="3">IF($N$5="成新度","——",ROUND(M7*N7,0))</f>
        <v>——</v>
      </c>
      <c r="P7" s="72" t="str">
        <f t="shared" ref="P7:P14" si="4">IF($N$5="成新度","——",M7-O7)</f>
        <v>——</v>
      </c>
      <c r="Q7" s="743">
        <v>0.2</v>
      </c>
      <c r="R7" s="73">
        <f ca="1">SUMIF('数据-汇总表'!C$19:C$33,A7,'数据-汇总表'!R$19:R$27)</f>
        <v>13857.93</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0.98199999999999998</v>
      </c>
      <c r="H16" s="95">
        <f>ROUND(SUMPRODUCT(H6:H13,K6:K13)/SUMPRODUCT((H6:H13&gt;0)*(K6:K13)),3)</f>
        <v>0.05</v>
      </c>
      <c r="I16" s="96"/>
      <c r="J16" s="96"/>
      <c r="K16" s="97">
        <f>SUM(K6:K15)</f>
        <v>58402.819999999992</v>
      </c>
      <c r="L16" s="98">
        <f>ROUND(M16*10000/SUM(K6:K14),0)</f>
        <v>3500</v>
      </c>
      <c r="M16" s="98">
        <f>SUM(M6:M14)</f>
        <v>20441</v>
      </c>
      <c r="N16" s="99">
        <f>ROUND(SUMPRODUCT(M6:M14,N6:N14)/M16,3)</f>
        <v>1</v>
      </c>
      <c r="O16" s="98">
        <f>SUM(O6:O14)</f>
        <v>0</v>
      </c>
      <c r="P16" s="98">
        <f>SUM(P6:P14)</f>
        <v>0</v>
      </c>
      <c r="Q16" s="100">
        <f>ROUND(SUMPRODUCT(Q6:Q13,K6:K13)/SUMPRODUCT((Q6:Q13&gt;0)*(K6:K13)),2)</f>
        <v>0.17</v>
      </c>
      <c r="R16" s="1165">
        <f ca="1">SUM(R6:R13)</f>
        <v>38935.21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3051</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3</v>
      </c>
      <c r="C20" s="3033" t="s">
        <v>3049</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f>N16*B20</f>
        <v>3</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3</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3</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c r="C27" s="3034" t="s">
        <v>3053</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'成本法（公寓）'!C10</f>
        <v>0</v>
      </c>
      <c r="C29" s="3035" t="s">
        <v>3039</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0.05</v>
      </c>
      <c r="C33" s="3036" t="s">
        <v>3040</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3041</v>
      </c>
      <c r="D34" s="2915" t="s">
        <v>3050</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3042</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3043</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2.5000000000000001E-2</v>
      </c>
      <c r="C37" s="3036" t="s">
        <v>3044</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2.5000000000000001E-2</v>
      </c>
      <c r="C38" s="3036" t="s">
        <v>3044</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3045</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3046</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3047</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3055</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0.04</v>
      </c>
      <c r="C48" s="3035" t="s">
        <v>3046</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3048</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c r="C53" s="2890" t="s">
        <v>1933</v>
      </c>
      <c r="D53" s="3037" t="s">
        <v>3052</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86" t="s">
        <v>3031</v>
      </c>
      <c r="B1" s="3187"/>
      <c r="C1" s="3187"/>
      <c r="D1" s="3187"/>
      <c r="E1" s="3187"/>
      <c r="F1" s="3187"/>
      <c r="G1" s="3187"/>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2997</v>
      </c>
      <c r="C3" s="2692" t="s">
        <v>3029</v>
      </c>
      <c r="D3" s="2693"/>
      <c r="E3" s="2670" t="s">
        <v>3028</v>
      </c>
      <c r="F3" s="2694" t="s">
        <v>2998</v>
      </c>
      <c r="G3" s="2695" t="s">
        <v>3030</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2696"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2698" t="s">
        <v>3006</v>
      </c>
      <c r="D7" s="2699"/>
      <c r="E7" s="2700"/>
      <c r="F7" s="2701" t="s">
        <v>3010</v>
      </c>
      <c r="G7" s="2702" t="s">
        <v>3011</v>
      </c>
      <c r="H7" s="907"/>
      <c r="I7" s="907"/>
      <c r="J7" s="907"/>
      <c r="K7" s="907"/>
      <c r="L7" s="907"/>
      <c r="M7" s="907"/>
      <c r="N7" s="907"/>
      <c r="O7" s="907"/>
      <c r="P7" s="907"/>
      <c r="Q7" s="907"/>
      <c r="R7" s="907"/>
    </row>
    <row r="8" spans="1:29">
      <c r="A8" s="2670"/>
      <c r="B8" s="329" t="s">
        <v>3008</v>
      </c>
      <c r="C8" s="2698" t="s">
        <v>3009</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3032</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2997</v>
      </c>
      <c r="C15" s="2726" t="str">
        <f>C3</f>
        <v>估价对象周边居住用地比例、居住小区规模和社区发展完善程度，综合评价居住社区成熟度一般</v>
      </c>
      <c r="D15" s="2693"/>
      <c r="E15" s="2673" t="s">
        <v>3018</v>
      </c>
      <c r="F15" s="2725" t="s">
        <v>3019</v>
      </c>
      <c r="G15" s="2727" t="str">
        <f>G3</f>
        <v>估价对象位于XX开发区，园区建设成熟度XX，产业集聚程度XX</v>
      </c>
    </row>
    <row r="16" spans="1:29" ht="38.25">
      <c r="A16" s="2674"/>
      <c r="B16" s="2728" t="s">
        <v>2999</v>
      </c>
      <c r="C16" s="2729" t="str">
        <f>C4</f>
        <v>估价对象位于XX商圈，周边商业氛围成熟，人流量大，商业繁华度好</v>
      </c>
      <c r="D16" s="2693"/>
      <c r="E16" s="2675"/>
      <c r="F16" s="2730" t="s">
        <v>3001</v>
      </c>
      <c r="G16" s="2731" t="str">
        <f>G4</f>
        <v>估价对象周边道路状况、公共交通通达情况、停车便捷程度，综合评价交通便捷度较好</v>
      </c>
    </row>
    <row r="17" spans="1:18" ht="38.25">
      <c r="A17" s="2674"/>
      <c r="B17" s="2728" t="s">
        <v>3003</v>
      </c>
      <c r="C17" s="2729" t="str">
        <f>C5</f>
        <v>估价对象位于XX商圈，周边办公楼项目较多，入驻率高，办公集聚程度较好</v>
      </c>
      <c r="D17" s="2699"/>
      <c r="E17" s="2675"/>
      <c r="F17" s="2730" t="s">
        <v>3020</v>
      </c>
      <c r="G17" s="2732"/>
    </row>
    <row r="18" spans="1:18" ht="38.25">
      <c r="A18" s="2674"/>
      <c r="B18" s="2730" t="s">
        <v>3007</v>
      </c>
      <c r="C18" s="2731" t="str">
        <f>C6</f>
        <v>估价对象周边道路状况、公共交通通达情况、停车便捷程度，综合评价交通便捷度较好</v>
      </c>
      <c r="D18" s="2699"/>
      <c r="E18" s="2675"/>
      <c r="F18" s="2730" t="s">
        <v>3010</v>
      </c>
      <c r="G18" s="2731" t="str">
        <f>G7</f>
        <v>该园区内是否有污染型企业，绿化情况，卫生条件，整体环境状况判断</v>
      </c>
    </row>
    <row r="19" spans="1:18" ht="25.5">
      <c r="A19" s="2674"/>
      <c r="B19" s="2730" t="s">
        <v>3021</v>
      </c>
      <c r="C19" s="2732"/>
      <c r="D19" s="2693"/>
      <c r="E19" s="2675"/>
      <c r="F19" s="329" t="s">
        <v>3005</v>
      </c>
      <c r="G19" s="2731" t="str">
        <f>G5</f>
        <v>估价对象所在区域公共配套设施齐备情况</v>
      </c>
    </row>
    <row r="20" spans="1:18" ht="25.5">
      <c r="A20" s="2674"/>
      <c r="B20" s="2730" t="s">
        <v>3022</v>
      </c>
      <c r="C20" s="2729" t="str">
        <f>C9</f>
        <v>区域自然环境：；人文环境；综合评价环境状况一般</v>
      </c>
      <c r="D20" s="2699"/>
      <c r="E20" s="2675"/>
      <c r="F20" s="329" t="s">
        <v>3008</v>
      </c>
      <c r="G20" s="2731" t="str">
        <f>G6</f>
        <v>估价对象所在区域基础设施水平</v>
      </c>
    </row>
    <row r="21" spans="1:18" ht="25.5">
      <c r="A21" s="2674"/>
      <c r="B21" s="329" t="s">
        <v>3005</v>
      </c>
      <c r="C21" s="2731" t="str">
        <f>C7</f>
        <v>估价对象所在区域公共配套设施齐备情况</v>
      </c>
      <c r="D21" s="2693"/>
      <c r="E21" s="2675"/>
      <c r="F21" s="2730" t="s">
        <v>3023</v>
      </c>
      <c r="G21" s="2733"/>
    </row>
    <row r="22" spans="1:18" ht="13.5" customHeight="1">
      <c r="A22" s="2674"/>
      <c r="B22" s="329" t="s">
        <v>3008</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1" sqref="G31"/>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58402.819999999992</v>
      </c>
      <c r="C1" s="2917"/>
      <c r="D1" s="2917"/>
      <c r="E1" s="2917"/>
      <c r="F1" s="2917"/>
      <c r="G1" s="2918"/>
      <c r="H1" s="2919"/>
      <c r="I1" s="2919"/>
      <c r="J1" s="2919"/>
      <c r="K1" s="2919"/>
    </row>
    <row r="2" spans="1:11" ht="16.5">
      <c r="A2" s="2740" t="s">
        <v>1319</v>
      </c>
      <c r="B2" s="2740">
        <f>SUM(C14:C23)</f>
        <v>38935.21</v>
      </c>
      <c r="C2" s="2917"/>
      <c r="D2" s="2917"/>
      <c r="E2" s="2917"/>
      <c r="F2" s="2917"/>
      <c r="G2" s="2918"/>
      <c r="H2" s="2919"/>
      <c r="I2" s="2919"/>
      <c r="J2" s="2919"/>
      <c r="K2" s="2919"/>
    </row>
    <row r="3" spans="1:11" ht="16.5">
      <c r="A3" s="2740" t="s">
        <v>1328</v>
      </c>
      <c r="B3" s="2742">
        <f>项目基本情况!D3</f>
        <v>44153</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55064</v>
      </c>
      <c r="C5" s="2740">
        <f ca="1">ROUND(B5*10000/$B$1,0)</f>
        <v>9428</v>
      </c>
      <c r="D5" s="2740">
        <f ca="1">ROUND(B5*10000/$B$2,0)</f>
        <v>14142</v>
      </c>
      <c r="E5" s="2917"/>
      <c r="F5" s="2918"/>
      <c r="G5" s="2918"/>
      <c r="H5" s="2919"/>
      <c r="I5" s="2919"/>
      <c r="J5" s="2919"/>
      <c r="K5" s="2919"/>
    </row>
    <row r="6" spans="1:11" ht="16.5">
      <c r="A6" s="2740" t="s">
        <v>1322</v>
      </c>
      <c r="B6" s="2740">
        <f ca="1">SUM(G14:G23)</f>
        <v>55064</v>
      </c>
      <c r="C6" s="2740">
        <f ca="1">ROUND(B6*10000/$B$1,0)</f>
        <v>9428</v>
      </c>
      <c r="D6" s="2740">
        <f ca="1">ROUND(B6*10000/$B$2,0)</f>
        <v>14142</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'结果表(公寓)'!B118</f>
        <v>37615.929999999993</v>
      </c>
      <c r="C14" s="2746">
        <f>'结果表(公寓)'!C118</f>
        <v>25077.279999999999</v>
      </c>
      <c r="D14" s="2746">
        <f ca="1">'结果表(公寓)'!H118</f>
        <v>27478</v>
      </c>
      <c r="E14" s="2746">
        <f ca="1">ROUND(D14*10000/B14,0)</f>
        <v>7305</v>
      </c>
      <c r="F14" s="2746">
        <f ca="1">ROUND(D14*10000/C14,0)</f>
        <v>10957</v>
      </c>
      <c r="G14" s="2746">
        <f ca="1">'结果表(公寓)'!D122</f>
        <v>27478</v>
      </c>
      <c r="H14" s="2746" t="str">
        <f>'结果表(公寓)'!D124</f>
        <v>——</v>
      </c>
      <c r="I14" s="2746" t="str">
        <f>'结果表(公寓)'!D126</f>
        <v>——</v>
      </c>
      <c r="J14" s="2918" t="s">
        <v>4200</v>
      </c>
      <c r="K14" s="2919"/>
    </row>
    <row r="15" spans="1:11" ht="16.5">
      <c r="A15" s="2745" t="s">
        <v>1315</v>
      </c>
      <c r="B15" s="2747">
        <f>'结果表(合院)'!B118</f>
        <v>20786.89</v>
      </c>
      <c r="C15" s="2747">
        <f>'结果表(合院)'!C118</f>
        <v>13857.93</v>
      </c>
      <c r="D15" s="2747">
        <f ca="1">'结果表(合院)'!H118</f>
        <v>27586</v>
      </c>
      <c r="E15" s="2746">
        <f t="shared" ref="E15:E23" ca="1" si="0">ROUND(D15*10000/B15,0)</f>
        <v>13271</v>
      </c>
      <c r="F15" s="2746">
        <f t="shared" ref="F15:F23" ca="1" si="1">ROUND(D15*10000/C15,0)</f>
        <v>19906</v>
      </c>
      <c r="G15" s="1502">
        <f ca="1">'结果表(合院)'!D122</f>
        <v>27586</v>
      </c>
      <c r="H15" s="1502" t="str">
        <f>'结果表(合院)'!D124</f>
        <v>——</v>
      </c>
      <c r="I15" s="2747" t="str">
        <f>'结果表(合院)'!D126</f>
        <v>——</v>
      </c>
      <c r="J15" s="2918" t="s">
        <v>4201</v>
      </c>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222" t="str">
        <f>项目基本情况!S2</f>
        <v>房地产</v>
      </c>
      <c r="B2" s="3223"/>
      <c r="C2" s="3223"/>
      <c r="D2" s="3223"/>
      <c r="E2" s="3223"/>
      <c r="F2" s="3223"/>
      <c r="G2" s="3223"/>
      <c r="H2" s="3223"/>
      <c r="I2" s="3224"/>
    </row>
    <row r="3" spans="1:12" ht="12.75">
      <c r="A3" s="3226" t="s">
        <v>1951</v>
      </c>
      <c r="B3" s="3227"/>
      <c r="C3" s="3227"/>
      <c r="D3" s="3227"/>
      <c r="E3" s="3227"/>
      <c r="F3" s="3227"/>
      <c r="G3" s="3227"/>
      <c r="H3" s="3227"/>
      <c r="I3" s="3227"/>
    </row>
    <row r="4" spans="1:12" ht="14.25">
      <c r="A4" s="1942" t="s">
        <v>1952</v>
      </c>
      <c r="B4" s="1943" t="s">
        <v>1953</v>
      </c>
      <c r="C4" s="1944"/>
      <c r="D4" s="1944"/>
      <c r="E4" s="3228" t="s">
        <v>1954</v>
      </c>
      <c r="F4" s="3229"/>
      <c r="G4" s="3229"/>
      <c r="H4" s="3229"/>
      <c r="I4" s="323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02" t="s">
        <v>1955</v>
      </c>
      <c r="B5" s="3189">
        <v>25</v>
      </c>
      <c r="C5" s="3205"/>
      <c r="D5" s="3225"/>
      <c r="E5" s="136" t="s">
        <v>1956</v>
      </c>
      <c r="F5" s="1945"/>
      <c r="G5" s="1945"/>
      <c r="H5" s="1945"/>
      <c r="I5" s="1559"/>
    </row>
    <row r="6" spans="1:12" ht="12.75">
      <c r="A6" s="3202"/>
      <c r="B6" s="3189"/>
      <c r="C6" s="3206"/>
      <c r="D6" s="3225"/>
      <c r="E6" s="136" t="s">
        <v>1957</v>
      </c>
      <c r="F6" s="1945"/>
      <c r="G6" s="1945"/>
      <c r="H6" s="1945"/>
      <c r="I6" s="1559"/>
    </row>
    <row r="7" spans="1:12" ht="12.75">
      <c r="A7" s="3202"/>
      <c r="B7" s="3189"/>
      <c r="C7" s="3207"/>
      <c r="D7" s="3225"/>
      <c r="E7" s="136" t="s">
        <v>1958</v>
      </c>
      <c r="F7" s="1945"/>
      <c r="G7" s="1945"/>
      <c r="H7" s="1945"/>
      <c r="I7" s="1559"/>
    </row>
    <row r="8" spans="1:12" ht="12.75">
      <c r="A8" s="3202" t="s">
        <v>1959</v>
      </c>
      <c r="B8" s="3189">
        <v>15</v>
      </c>
      <c r="C8" s="3205"/>
      <c r="D8" s="3225"/>
      <c r="E8" s="136" t="s">
        <v>1960</v>
      </c>
      <c r="F8" s="1945"/>
      <c r="G8" s="1945"/>
      <c r="H8" s="1945"/>
      <c r="I8" s="1559"/>
    </row>
    <row r="9" spans="1:12" ht="12.75">
      <c r="A9" s="3202"/>
      <c r="B9" s="3189"/>
      <c r="C9" s="3207"/>
      <c r="D9" s="3225"/>
      <c r="E9" s="136" t="s">
        <v>1961</v>
      </c>
      <c r="F9" s="1945"/>
      <c r="G9" s="1945"/>
      <c r="H9" s="1945"/>
      <c r="I9" s="1559"/>
    </row>
    <row r="10" spans="1:12" ht="12.75">
      <c r="A10" s="3202" t="s">
        <v>1962</v>
      </c>
      <c r="B10" s="3189">
        <v>15</v>
      </c>
      <c r="C10" s="3205"/>
      <c r="D10" s="3225"/>
      <c r="E10" s="136" t="s">
        <v>1963</v>
      </c>
      <c r="F10" s="1945"/>
      <c r="G10" s="1945"/>
      <c r="H10" s="1945"/>
      <c r="I10" s="1559"/>
    </row>
    <row r="11" spans="1:12" ht="12.75">
      <c r="A11" s="3202"/>
      <c r="B11" s="3189"/>
      <c r="C11" s="3207"/>
      <c r="D11" s="3225"/>
      <c r="E11" s="136" t="s">
        <v>1964</v>
      </c>
      <c r="F11" s="1945"/>
      <c r="G11" s="1945"/>
      <c r="H11" s="1945"/>
      <c r="I11" s="1559"/>
    </row>
    <row r="12" spans="1:12" ht="12.75">
      <c r="A12" s="3202" t="s">
        <v>1965</v>
      </c>
      <c r="B12" s="3189">
        <v>15</v>
      </c>
      <c r="C12" s="3205"/>
      <c r="D12" s="3225"/>
      <c r="E12" s="136" t="s">
        <v>1966</v>
      </c>
      <c r="F12" s="1945"/>
      <c r="G12" s="1945"/>
      <c r="H12" s="1945"/>
      <c r="I12" s="1559"/>
    </row>
    <row r="13" spans="1:12" ht="12.75">
      <c r="A13" s="3202"/>
      <c r="B13" s="3189"/>
      <c r="C13" s="3207"/>
      <c r="D13" s="3225"/>
      <c r="E13" s="136" t="s">
        <v>1967</v>
      </c>
      <c r="F13" s="1945"/>
      <c r="G13" s="1945"/>
      <c r="H13" s="1945"/>
      <c r="I13" s="1559"/>
    </row>
    <row r="14" spans="1:12" ht="12.75">
      <c r="A14" s="3202" t="s">
        <v>1968</v>
      </c>
      <c r="B14" s="3189">
        <v>30</v>
      </c>
      <c r="C14" s="3205">
        <v>4</v>
      </c>
      <c r="D14" s="3225">
        <v>6</v>
      </c>
      <c r="E14" s="136" t="s">
        <v>1969</v>
      </c>
      <c r="F14" s="1945"/>
      <c r="G14" s="1945"/>
      <c r="H14" s="1945"/>
      <c r="I14" s="1559"/>
    </row>
    <row r="15" spans="1:12" ht="12.75">
      <c r="A15" s="3202"/>
      <c r="B15" s="3189"/>
      <c r="C15" s="3206"/>
      <c r="D15" s="3225"/>
      <c r="E15" s="136" t="s">
        <v>1970</v>
      </c>
      <c r="F15" s="1945"/>
      <c r="G15" s="1945"/>
      <c r="H15" s="1945"/>
      <c r="I15" s="1559"/>
    </row>
    <row r="16" spans="1:12" ht="12.75">
      <c r="A16" s="3202"/>
      <c r="B16" s="3189"/>
      <c r="C16" s="3207"/>
      <c r="D16" s="3225"/>
      <c r="E16" s="136" t="s">
        <v>1971</v>
      </c>
      <c r="F16" s="1945"/>
      <c r="G16" s="1945"/>
      <c r="H16" s="1945"/>
      <c r="I16" s="1559"/>
    </row>
    <row r="17" spans="1:36" ht="15">
      <c r="A17" s="1946" t="s">
        <v>1972</v>
      </c>
      <c r="B17" s="60"/>
      <c r="C17" s="137">
        <f>SUM(C5:C16)</f>
        <v>4</v>
      </c>
      <c r="D17" s="137">
        <f>SUM(D5:D16)</f>
        <v>6</v>
      </c>
      <c r="E17" s="134"/>
      <c r="F17" s="134"/>
      <c r="G17" s="134"/>
      <c r="H17" s="134"/>
      <c r="I17" s="134"/>
      <c r="K17" s="308"/>
      <c r="L17" s="308" t="s">
        <v>1973</v>
      </c>
      <c r="M17" s="308" t="s">
        <v>1974</v>
      </c>
    </row>
    <row r="18" spans="1:36" ht="31.9" customHeight="1" thickBot="1">
      <c r="A18" s="1947" t="s">
        <v>1975</v>
      </c>
      <c r="B18" s="1948"/>
      <c r="C18" s="138">
        <f>ROUND(C17/SUM(C17:D17),2)</f>
        <v>0.4</v>
      </c>
      <c r="D18" s="138">
        <f>1-C18</f>
        <v>0.6</v>
      </c>
      <c r="E18" s="3212" t="s">
        <v>2872</v>
      </c>
      <c r="F18" s="3213"/>
      <c r="G18" s="3213"/>
      <c r="H18" s="3213"/>
      <c r="I18" s="3213"/>
      <c r="K18" s="308" t="s">
        <v>1976</v>
      </c>
      <c r="L18" s="308">
        <f>IF(C1="",'数据-汇总表'!E3,SUMIF(项目类型,C1,'数据-汇总表'!E17:E26)+SUMIF(项目类型,C1,'数据-汇总表'!I17:I26))</f>
        <v>58402.819999999992</v>
      </c>
      <c r="M18" s="308">
        <f>IF(C1="",'数据-汇总表'!E3,SUMIF(项目类型,C1,'数据-汇总表'!E17:E26))</f>
        <v>58402.819999999992</v>
      </c>
    </row>
    <row r="19" spans="1:36" ht="15">
      <c r="A19" s="1949" t="s">
        <v>1977</v>
      </c>
      <c r="B19" s="1950" t="s">
        <v>1978</v>
      </c>
      <c r="C19" s="139" t="e">
        <f ca="1">SUMIF(INDIRECT("'"&amp;C4&amp;"'"&amp;"!A:A"),结果表!B19,INDIRECT("'"&amp;C4&amp;"'"&amp;"!B:B"))</f>
        <v>#REF!</v>
      </c>
      <c r="D19" s="140" t="e">
        <f ca="1">SUMIF(INDIRECT("'"&amp;D4&amp;"'"&amp;"!A:A"),结果表!B19,INDIRECT("'"&amp;D4&amp;"'"&amp;"!B:B"))</f>
        <v>#REF!</v>
      </c>
      <c r="E19" s="1949" t="s">
        <v>1979</v>
      </c>
      <c r="F19" s="1950" t="s">
        <v>1978</v>
      </c>
      <c r="G19" s="141" t="e">
        <f ca="1">ROUND(C19*$C$18+D19*$D$18,0)</f>
        <v>#REF!</v>
      </c>
      <c r="H19" s="1951" t="s">
        <v>1980</v>
      </c>
      <c r="I19" s="134"/>
      <c r="K19" s="308" t="s">
        <v>1981</v>
      </c>
      <c r="L19" s="308">
        <f>IF(C1="",'数据-汇总表'!D3,SUMIF(项目类型,C1,'数据-汇总表'!D17:D26)+SUMIF(项目类型,C1,'数据-汇总表'!H17:H27))</f>
        <v>38935.21</v>
      </c>
      <c r="M19" s="308">
        <f>IF(C1="",'数据-汇总表'!D3,SUMIF(项目类型,C1,'数据-汇总表'!D17:D26))</f>
        <v>38935.21</v>
      </c>
    </row>
    <row r="20" spans="1:36" ht="15">
      <c r="A20" s="1952"/>
      <c r="B20" s="1157" t="s">
        <v>1982</v>
      </c>
      <c r="C20" s="142" t="e">
        <f ca="1">SUMIF(INDIRECT("'"&amp;C4&amp;"'"&amp;"!A:A"),结果表!B20,INDIRECT("'"&amp;C4&amp;"'"&amp;"!B:B"))</f>
        <v>#REF!</v>
      </c>
      <c r="D20" s="143" t="e">
        <f ca="1">SUMIF(INDIRECT("'"&amp;D4&amp;"'"&amp;"!A:A"),结果表!B20,INDIRECT("'"&amp;D4&amp;"'"&amp;"!B:B"))</f>
        <v>#REF!</v>
      </c>
      <c r="E20" s="1952"/>
      <c r="F20" s="1157" t="s">
        <v>1982</v>
      </c>
      <c r="G20" s="144" t="e">
        <f ca="1">ROUND(C20*$C$18+D20*$D$18,0)</f>
        <v>#REF!</v>
      </c>
      <c r="H20" s="917" t="s">
        <v>1983</v>
      </c>
      <c r="I20" s="134"/>
    </row>
    <row r="21" spans="1:36" ht="15" customHeight="1" thickBot="1">
      <c r="A21" s="937"/>
      <c r="B21" s="1953" t="s">
        <v>1984</v>
      </c>
      <c r="C21" s="728" t="e">
        <f ca="1">ROUND(C19*10000/L19,0)</f>
        <v>#REF!</v>
      </c>
      <c r="D21" s="729" t="e">
        <f ca="1">ROUND(D19*10000/L19,0)</f>
        <v>#REF!</v>
      </c>
      <c r="E21" s="937"/>
      <c r="F21" s="1953" t="s">
        <v>1984</v>
      </c>
      <c r="G21" s="145" t="e">
        <f ca="1">ROUND(G19*10000/L19,0)</f>
        <v>#REF!</v>
      </c>
      <c r="H21" s="1954" t="s">
        <v>1983</v>
      </c>
      <c r="I21" s="134"/>
    </row>
    <row r="22" spans="1:36" ht="15" thickBot="1">
      <c r="A22" s="1876" t="s">
        <v>1985</v>
      </c>
      <c r="B22" s="1955"/>
      <c r="C22" s="1956"/>
      <c r="D22" s="730" t="e">
        <f ca="1">IF(C19&lt;D19,D19/C19-1,C19/D19-1)</f>
        <v>#REF!</v>
      </c>
      <c r="E22" s="134"/>
      <c r="F22" s="134"/>
      <c r="G22" s="134"/>
      <c r="H22" s="134"/>
      <c r="I22" s="134"/>
    </row>
    <row r="23" spans="1:36" ht="13.5" thickBot="1">
      <c r="A23" s="1935"/>
      <c r="B23" s="1935"/>
      <c r="C23" s="1935"/>
      <c r="D23" s="1935"/>
      <c r="E23" s="134"/>
      <c r="F23" s="134"/>
      <c r="G23" s="134"/>
      <c r="H23" s="134"/>
      <c r="I23" s="134"/>
    </row>
    <row r="24" spans="1:36" ht="14.25">
      <c r="A24" s="3196" t="s">
        <v>1986</v>
      </c>
      <c r="B24" s="1950" t="s">
        <v>1978</v>
      </c>
      <c r="C24" s="141">
        <f>IF(B30=0,0,D30)</f>
        <v>0</v>
      </c>
      <c r="D24" s="1957"/>
      <c r="E24" s="134"/>
      <c r="F24" s="134"/>
      <c r="G24" s="134"/>
      <c r="H24" s="134"/>
      <c r="I24" s="134"/>
    </row>
    <row r="25" spans="1:36" ht="14.25">
      <c r="A25" s="3197"/>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t="e">
        <f ca="1">IF(D32="总价",G19-C24,G20-C25)</f>
        <v>#REF!</v>
      </c>
      <c r="D32" s="1963"/>
      <c r="E32" s="134"/>
      <c r="F32" s="134"/>
      <c r="G32" s="134"/>
      <c r="H32" s="134"/>
      <c r="I32" s="134"/>
    </row>
    <row r="33" spans="1:15" ht="15">
      <c r="A33" s="894" t="s">
        <v>1993</v>
      </c>
      <c r="B33" s="1964"/>
      <c r="C33" s="1965"/>
      <c r="D33" s="1966"/>
      <c r="E33" s="1967" t="s">
        <v>1994</v>
      </c>
      <c r="F33" s="1968" t="str">
        <f>IF(D32="楼面单价","取值（单价）","取值（总价）")</f>
        <v>取值（总价）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16" t="s">
        <v>1999</v>
      </c>
      <c r="B36" s="1975" t="s">
        <v>2000</v>
      </c>
      <c r="C36" s="150"/>
      <c r="D36" s="1976"/>
      <c r="E36" s="1977"/>
      <c r="F36" s="1978"/>
      <c r="G36" s="134"/>
      <c r="H36" s="134"/>
      <c r="I36" s="134"/>
    </row>
    <row r="37" spans="1:15" ht="15.75" thickBot="1">
      <c r="A37" s="3217"/>
      <c r="B37" s="1862" t="s">
        <v>2001</v>
      </c>
      <c r="C37" s="152"/>
      <c r="D37" s="1301"/>
      <c r="E37" s="1301"/>
      <c r="F37" s="1978"/>
      <c r="G37" s="134"/>
      <c r="H37" s="134"/>
      <c r="I37" s="134"/>
    </row>
    <row r="38" spans="1:15" ht="15.75" thickBot="1">
      <c r="A38" s="3218"/>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93" t="s">
        <v>2013</v>
      </c>
      <c r="B45" s="3194"/>
      <c r="C45" s="3195"/>
      <c r="D45" s="160" t="e">
        <f ca="1">ROUND(H101*F45,0)</f>
        <v>#REF!</v>
      </c>
      <c r="E45" s="161" t="s">
        <v>2014</v>
      </c>
      <c r="F45" s="162">
        <v>1</v>
      </c>
      <c r="G45" s="163" t="s">
        <v>2015</v>
      </c>
      <c r="H45" s="134"/>
      <c r="I45" s="134"/>
      <c r="J45" s="3274" t="s">
        <v>2016</v>
      </c>
      <c r="K45" s="3274"/>
      <c r="L45" s="3274"/>
      <c r="M45" s="3274"/>
      <c r="N45" s="3274"/>
      <c r="O45" s="3274"/>
    </row>
    <row r="46" spans="1:15" ht="14.25" customHeight="1">
      <c r="A46" s="3190" t="s">
        <v>2017</v>
      </c>
      <c r="B46" s="3191"/>
      <c r="C46" s="3191"/>
      <c r="D46" s="3191"/>
      <c r="E46" s="3191"/>
      <c r="F46" s="3191"/>
      <c r="G46" s="3192"/>
      <c r="H46" s="1994"/>
      <c r="I46" s="164"/>
      <c r="J46" s="2751">
        <v>1</v>
      </c>
      <c r="K46" s="3255" t="s">
        <v>2018</v>
      </c>
      <c r="L46" s="3255"/>
      <c r="M46" s="3275"/>
      <c r="N46" s="3275"/>
      <c r="O46" s="3275"/>
    </row>
    <row r="47" spans="1:15" ht="12" customHeight="1">
      <c r="A47" s="165" t="s">
        <v>2019</v>
      </c>
      <c r="B47" s="166"/>
      <c r="C47" s="167"/>
      <c r="D47" s="1247" t="s">
        <v>2020</v>
      </c>
      <c r="E47" s="308" t="s">
        <v>2021</v>
      </c>
      <c r="F47" s="168" t="s">
        <v>2022</v>
      </c>
      <c r="G47" s="2774" t="s">
        <v>2023</v>
      </c>
      <c r="H47" s="2775"/>
      <c r="I47" s="164"/>
      <c r="J47" s="2751">
        <v>2</v>
      </c>
      <c r="K47" s="3255" t="s">
        <v>2024</v>
      </c>
      <c r="L47" s="3255"/>
      <c r="M47" s="3276">
        <f>'数据-取费表'!B2</f>
        <v>44153</v>
      </c>
      <c r="N47" s="3276"/>
      <c r="O47" s="3276"/>
    </row>
    <row r="48" spans="1:15" ht="25.5">
      <c r="A48" s="3221" t="s">
        <v>2025</v>
      </c>
      <c r="B48" s="3204"/>
      <c r="C48" s="3204"/>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255" t="s">
        <v>2027</v>
      </c>
      <c r="L48" s="3255"/>
      <c r="M48" s="3277" t="e">
        <f ca="1">H101</f>
        <v>#REF!</v>
      </c>
      <c r="N48" s="3277"/>
      <c r="O48" s="3277"/>
    </row>
    <row r="49" spans="1:35" ht="25.5" customHeight="1">
      <c r="A49" s="2558" t="s">
        <v>2028</v>
      </c>
      <c r="B49" s="3188" t="s">
        <v>2029</v>
      </c>
      <c r="C49" s="3188"/>
      <c r="D49" s="1777">
        <v>0</v>
      </c>
      <c r="E49" s="330" t="s">
        <v>2030</v>
      </c>
      <c r="F49" s="2652" t="s">
        <v>34</v>
      </c>
      <c r="G49" s="3261"/>
      <c r="H49" s="2530" t="s">
        <v>2875</v>
      </c>
      <c r="I49" s="2531"/>
      <c r="J49" s="2751">
        <v>4</v>
      </c>
      <c r="K49" s="3255" t="str">
        <f>IF(项目基本情况!E8="房地产抵押价值","房地产抵押价值","抵押担保权已注销时的房地产抵押价值")</f>
        <v>抵押担保权已注销时的房地产抵押价值</v>
      </c>
      <c r="L49" s="3255"/>
      <c r="M49" s="3277" t="str">
        <f>IF(项目基本情况!E8="房地产抵押价值",H107,H109)</f>
        <v>——</v>
      </c>
      <c r="N49" s="3277"/>
      <c r="O49" s="3277"/>
    </row>
    <row r="50" spans="1:35" ht="25.5" customHeight="1">
      <c r="A50" s="2779"/>
      <c r="B50" s="3188" t="s">
        <v>2031</v>
      </c>
      <c r="C50" s="3188"/>
      <c r="D50" s="2780"/>
      <c r="E50" s="338"/>
      <c r="F50" s="2652"/>
      <c r="G50" s="3262"/>
      <c r="H50" s="2532" t="s">
        <v>2876</v>
      </c>
      <c r="I50" s="2531"/>
      <c r="J50" s="3274" t="s">
        <v>2032</v>
      </c>
      <c r="K50" s="3274"/>
      <c r="L50" s="3274"/>
      <c r="M50" s="3274"/>
      <c r="N50" s="3274"/>
      <c r="O50" s="3274"/>
    </row>
    <row r="51" spans="1:35" ht="20.45" customHeight="1">
      <c r="A51" s="2781"/>
      <c r="B51" s="3188" t="s">
        <v>2033</v>
      </c>
      <c r="C51" s="3188"/>
      <c r="D51" s="1247"/>
      <c r="E51" s="333"/>
      <c r="F51" s="2652"/>
      <c r="G51" s="3263"/>
      <c r="H51" s="2532" t="s">
        <v>2877</v>
      </c>
      <c r="I51" s="2531"/>
      <c r="J51" s="2752" t="s">
        <v>2034</v>
      </c>
      <c r="K51" s="3255" t="s">
        <v>2035</v>
      </c>
      <c r="L51" s="3255"/>
      <c r="M51" s="2752" t="s">
        <v>2036</v>
      </c>
      <c r="N51" s="2752" t="s">
        <v>2037</v>
      </c>
      <c r="O51" s="2752" t="s">
        <v>2038</v>
      </c>
    </row>
    <row r="52" spans="1:35" ht="24" customHeight="1">
      <c r="A52" s="2560" t="s">
        <v>2039</v>
      </c>
      <c r="B52" s="3188" t="s">
        <v>2040</v>
      </c>
      <c r="C52" s="3188"/>
      <c r="D52" s="1247" t="e">
        <f ca="1">ROUND(D45*'数据-取费表'!B41/(1+'数据-取费表'!C42),0)</f>
        <v>#REF!</v>
      </c>
      <c r="E52" s="2559" t="s">
        <v>2041</v>
      </c>
      <c r="F52" s="2782">
        <f>'数据-取费表'!B41</f>
        <v>5.5000000000000007E-2</v>
      </c>
      <c r="G52" s="2783"/>
      <c r="H52" s="2772"/>
      <c r="I52" s="1995"/>
      <c r="J52" s="2751">
        <v>1</v>
      </c>
      <c r="K52" s="3256" t="s">
        <v>2042</v>
      </c>
      <c r="L52" s="3256"/>
      <c r="M52" s="2753" t="b">
        <f>D48</f>
        <v>0</v>
      </c>
      <c r="N52" s="2751" t="str">
        <f>E48</f>
        <v>销售额×税（费）率</v>
      </c>
      <c r="O52" s="2754">
        <f>F48</f>
        <v>5.5000000000000007E-2</v>
      </c>
    </row>
    <row r="53" spans="1:35" ht="12" customHeight="1">
      <c r="A53" s="2560" t="s">
        <v>2043</v>
      </c>
      <c r="B53" s="3214" t="s">
        <v>3036</v>
      </c>
      <c r="C53" s="3215"/>
      <c r="D53" s="1247" t="e">
        <f ca="1">ROUND(D45*'数据-取费表'!B41/(1+'数据-取费表'!C42),0)</f>
        <v>#REF!</v>
      </c>
      <c r="E53" s="2559" t="s">
        <v>2041</v>
      </c>
      <c r="F53" s="2782">
        <f>'数据-取费表'!B41</f>
        <v>5.5000000000000007E-2</v>
      </c>
      <c r="G53" s="2783"/>
      <c r="H53" s="2772"/>
      <c r="I53" s="1995"/>
      <c r="J53" s="2751">
        <v>2</v>
      </c>
      <c r="K53" s="3256" t="s">
        <v>2044</v>
      </c>
      <c r="L53" s="3256"/>
      <c r="M53" s="2753" t="e">
        <f t="shared" ref="M53:O54" ca="1" si="0">D55</f>
        <v>#REF!</v>
      </c>
      <c r="N53" s="2751" t="str">
        <f t="shared" si="0"/>
        <v>销售额×税（费）率</v>
      </c>
      <c r="O53" s="2754" t="str">
        <f t="shared" si="0"/>
        <v>免征</v>
      </c>
    </row>
    <row r="54" spans="1:35" ht="12" customHeight="1">
      <c r="A54" s="2560" t="s">
        <v>2045</v>
      </c>
      <c r="B54" s="3214" t="s">
        <v>3037</v>
      </c>
      <c r="C54" s="3215"/>
      <c r="D54" s="1247" t="e">
        <f ca="1">C68</f>
        <v>#REF!</v>
      </c>
      <c r="E54" s="333" t="s">
        <v>2046</v>
      </c>
      <c r="F54" s="2782">
        <f>'数据-取费表'!B41</f>
        <v>5.5000000000000007E-2</v>
      </c>
      <c r="G54" s="2783"/>
      <c r="H54" s="2784"/>
      <c r="I54" s="1995"/>
      <c r="J54" s="2751">
        <v>3</v>
      </c>
      <c r="K54" s="3256" t="s">
        <v>2047</v>
      </c>
      <c r="L54" s="3256"/>
      <c r="M54" s="2753" t="e">
        <f t="shared" ca="1" si="0"/>
        <v>#REF!</v>
      </c>
      <c r="N54" s="2751" t="str">
        <f t="shared" si="0"/>
        <v>增值额×税（费）率</v>
      </c>
      <c r="O54" s="2755" t="str">
        <f t="shared" si="0"/>
        <v>免征</v>
      </c>
    </row>
    <row r="55" spans="1:35" ht="24" customHeight="1">
      <c r="A55" s="3203" t="s">
        <v>2048</v>
      </c>
      <c r="B55" s="3204"/>
      <c r="C55" s="3204"/>
      <c r="D55" s="2549" t="e">
        <f ca="1">IF(H55="个人住宅",0,ROUND(D45*I55,0))</f>
        <v>#REF!</v>
      </c>
      <c r="E55" s="2559" t="s">
        <v>2049</v>
      </c>
      <c r="F55" s="2782" t="str">
        <f>IF(H55="正常",I55,"免征")</f>
        <v>免征</v>
      </c>
      <c r="G55" s="2783"/>
      <c r="H55" s="2778"/>
      <c r="I55" s="170">
        <f>'数据-取费表'!B49</f>
        <v>5.0000000000000001E-4</v>
      </c>
      <c r="J55" s="2751">
        <f>IF(H59="非个人房产","",4)</f>
        <v>4</v>
      </c>
      <c r="K55" s="3256" t="str">
        <f>IF(H59="非个人房产","——","个人所得税")</f>
        <v>个人所得税</v>
      </c>
      <c r="L55" s="3256"/>
      <c r="M55" s="2756" t="e">
        <f ca="1">D59</f>
        <v>#REF!</v>
      </c>
      <c r="N55" s="2230" t="str">
        <f>E59</f>
        <v>差额计税</v>
      </c>
      <c r="O55" s="2757">
        <f>F59</f>
        <v>0.01</v>
      </c>
    </row>
    <row r="56" spans="1:35" ht="24.75">
      <c r="A56" s="3203" t="s">
        <v>2050</v>
      </c>
      <c r="B56" s="3204"/>
      <c r="C56" s="3204"/>
      <c r="D56" s="2549" t="e">
        <f ca="1">IF(H56="个人住宅",D57,D58)</f>
        <v>#REF!</v>
      </c>
      <c r="E56" s="2559" t="s">
        <v>2051</v>
      </c>
      <c r="F56" s="2782" t="str">
        <f>IF(H56="正常",F58,"免征")</f>
        <v>免征</v>
      </c>
      <c r="G56" s="2785" t="s">
        <v>2052</v>
      </c>
      <c r="H56" s="2786"/>
      <c r="I56" s="1996"/>
      <c r="J56" s="2751" t="str">
        <f>IF(项目基本情况!K6="上海银行",IF(J55="",4,J55+1),"")</f>
        <v/>
      </c>
      <c r="K56" s="3279" t="str">
        <f>IF(项目基本情况!K6="上海银行","其他处置费用","")</f>
        <v/>
      </c>
      <c r="L56" s="3280"/>
      <c r="M56" s="2753" t="str">
        <f>IF(项目基本情况!K6="上海银行",M69,"")</f>
        <v/>
      </c>
      <c r="N56" s="3279" t="str">
        <f>IF(项目基本情况!K6="上海银行","包含处置中涉及的律师、诉讼、拍卖、评估等费用","")</f>
        <v/>
      </c>
      <c r="O56" s="3282"/>
    </row>
    <row r="57" spans="1:35" ht="12.75">
      <c r="A57" s="2560" t="s">
        <v>2028</v>
      </c>
      <c r="B57" s="3214" t="s">
        <v>2053</v>
      </c>
      <c r="C57" s="3215"/>
      <c r="D57" s="1777">
        <v>0</v>
      </c>
      <c r="E57" s="330" t="s">
        <v>2030</v>
      </c>
      <c r="F57" s="308"/>
      <c r="G57" s="2783"/>
      <c r="H57" s="2787"/>
      <c r="I57" s="1996"/>
      <c r="J57" s="3256">
        <f>IF(AND(J55="",J56=""),4,IF(项目基本情况!K6="上海银行",结果表!J56+1,结果表!J55+1))</f>
        <v>5</v>
      </c>
      <c r="K57" s="3256" t="s">
        <v>2054</v>
      </c>
      <c r="L57" s="2758" t="s">
        <v>2055</v>
      </c>
      <c r="M57" s="2759"/>
      <c r="N57" s="2760">
        <f ca="1">SUMIF(M52:M56,"&lt;9e307")</f>
        <v>0</v>
      </c>
      <c r="O57" s="2761"/>
      <c r="P57" s="2921" t="e">
        <f ca="1">N57/M49</f>
        <v>#VALUE!</v>
      </c>
    </row>
    <row r="58" spans="1:35" ht="24.75">
      <c r="A58" s="2560" t="s">
        <v>2039</v>
      </c>
      <c r="B58" s="3214" t="s">
        <v>2056</v>
      </c>
      <c r="C58" s="3188"/>
      <c r="D58" s="2549" t="e">
        <f ca="1">IF(H58="转让取得",C81,C97)</f>
        <v>#REF!</v>
      </c>
      <c r="E58" s="2559" t="s">
        <v>2051</v>
      </c>
      <c r="F58" s="308" t="s">
        <v>34</v>
      </c>
      <c r="G58" s="2783"/>
      <c r="H58" s="2786"/>
      <c r="I58" s="1996"/>
      <c r="J58" s="3256"/>
      <c r="K58" s="3256"/>
      <c r="L58" s="2758" t="s">
        <v>2057</v>
      </c>
      <c r="M58" s="2762"/>
      <c r="N58" s="2763" t="str">
        <f ca="1">NUMBERSTRING(INT(N57*10000),2)&amp;"元整"</f>
        <v>零元整</v>
      </c>
      <c r="O58" s="2764"/>
    </row>
    <row r="59" spans="1:35" ht="24.75" thickBot="1">
      <c r="A59" s="3259" t="s">
        <v>2058</v>
      </c>
      <c r="B59" s="3260"/>
      <c r="C59" s="3260"/>
      <c r="D59" s="2788" t="e">
        <f ca="1">IF(H59="非个人房产","——",IF(H59="个人住宅（满五唯一有凭证）",0,IF(H59="个人其他（无凭证）",ROUND(D45*F59,0),ROUND(C67*F59,0))))</f>
        <v>#REF!</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2878</v>
      </c>
      <c r="J59" s="3257">
        <f>J57+1</f>
        <v>6</v>
      </c>
      <c r="K59" s="3256" t="s">
        <v>2059</v>
      </c>
      <c r="L59" s="2751" t="s">
        <v>2055</v>
      </c>
      <c r="M59" s="2765"/>
      <c r="N59" s="2766" t="e">
        <f ca="1">M49-N57</f>
        <v>#VALUE!</v>
      </c>
      <c r="O59" s="2767"/>
    </row>
    <row r="60" spans="1:35" ht="12" customHeight="1">
      <c r="A60" s="1997"/>
      <c r="B60" s="1935"/>
      <c r="C60" s="1935"/>
      <c r="D60" s="1935"/>
      <c r="E60" s="1765"/>
      <c r="F60" s="1996"/>
      <c r="G60" s="1996"/>
      <c r="H60" s="1998"/>
      <c r="I60" s="134"/>
      <c r="J60" s="3258"/>
      <c r="K60" s="3256"/>
      <c r="L60" s="2758" t="s">
        <v>2057</v>
      </c>
      <c r="M60" s="2762"/>
      <c r="N60" s="2763" t="e">
        <f ca="1">NUMBERSTRING(INT(N59*10000),2)&amp;"元整"</f>
        <v>#VALUE!</v>
      </c>
      <c r="O60" s="2764"/>
    </row>
    <row r="61" spans="1:35" ht="13.5" thickBot="1">
      <c r="A61" s="3201" t="s">
        <v>2060</v>
      </c>
      <c r="B61" s="3201"/>
      <c r="C61" s="3201"/>
      <c r="D61" s="3201"/>
      <c r="E61" s="3201"/>
      <c r="F61" s="1996"/>
      <c r="G61" s="1996"/>
      <c r="H61" s="1998"/>
      <c r="I61" s="134"/>
      <c r="J61" s="2751">
        <f>J59+1</f>
        <v>7</v>
      </c>
      <c r="K61" s="3256" t="s">
        <v>2061</v>
      </c>
      <c r="L61" s="3256"/>
      <c r="M61" s="2768"/>
      <c r="N61" s="2769" t="e">
        <f ca="1">ROUND(N59*10000/'数据-汇总表'!E3,0)</f>
        <v>#VALUE!</v>
      </c>
      <c r="O61" s="2770"/>
    </row>
    <row r="62" spans="1:35" ht="12.75">
      <c r="A62" s="3219" t="s">
        <v>2062</v>
      </c>
      <c r="B62" s="3220"/>
      <c r="C62" s="2211"/>
      <c r="D62" s="2211" t="s">
        <v>2063</v>
      </c>
      <c r="E62" s="171" t="s">
        <v>2064</v>
      </c>
      <c r="F62" s="1996"/>
      <c r="G62" s="1996"/>
      <c r="H62" s="1998"/>
      <c r="I62" s="134"/>
    </row>
    <row r="63" spans="1:35" ht="12.75">
      <c r="A63" s="178" t="s">
        <v>775</v>
      </c>
      <c r="B63" s="172" t="s">
        <v>2065</v>
      </c>
      <c r="C63" s="2792" t="e">
        <f ca="1">ROUND((C64+C65)/(1+'数据-取费表'!C42),0)</f>
        <v>#REF!</v>
      </c>
      <c r="D63" s="172"/>
      <c r="E63" s="173"/>
      <c r="F63" s="1996"/>
      <c r="G63" s="1996"/>
      <c r="H63" s="1998"/>
      <c r="I63" s="134"/>
      <c r="J63" s="3281"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t="e">
        <f ca="1">D45</f>
        <v>#REF!</v>
      </c>
      <c r="D64" s="175" t="s">
        <v>32</v>
      </c>
      <c r="E64" s="177"/>
      <c r="F64" s="1996"/>
      <c r="G64" s="1996"/>
      <c r="H64" s="1998"/>
      <c r="I64" s="134"/>
      <c r="J64" s="3281"/>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281"/>
      <c r="K65" s="1503" t="s">
        <v>2072</v>
      </c>
      <c r="L65" s="1503"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281"/>
      <c r="K66" s="1503" t="s">
        <v>2074</v>
      </c>
      <c r="L66" s="1503" t="e">
        <f>M49*0.5%</f>
        <v>#VALUE!</v>
      </c>
      <c r="M66" s="308" t="e">
        <f>IF(L66&gt;0.5,0.5,ROUND(L66,0))</f>
        <v>#VALUE!</v>
      </c>
      <c r="N66" s="2772" t="s">
        <v>2075</v>
      </c>
      <c r="Z66" s="1940"/>
      <c r="AI66" s="1941"/>
    </row>
    <row r="67" spans="1:35" ht="14.25" customHeight="1">
      <c r="A67" s="178" t="s">
        <v>773</v>
      </c>
      <c r="B67" s="179" t="s">
        <v>2076</v>
      </c>
      <c r="C67" s="2796" t="e">
        <f ca="1">C63-C66</f>
        <v>#REF!</v>
      </c>
      <c r="D67" s="175" t="s">
        <v>32</v>
      </c>
      <c r="E67" s="177"/>
      <c r="F67" s="1996"/>
      <c r="G67" s="1996"/>
      <c r="H67" s="1998"/>
      <c r="I67" s="134"/>
      <c r="J67" s="3281"/>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t="e">
        <f ca="1">IF(C67&lt;=0,0,ROUND(C67*D68,0))</f>
        <v>#REF!</v>
      </c>
      <c r="D68" s="2798">
        <f>'数据-取费表'!B41</f>
        <v>5.5000000000000007E-2</v>
      </c>
      <c r="E68" s="184"/>
      <c r="F68" s="1996"/>
      <c r="G68" s="1996"/>
      <c r="H68" s="1998"/>
      <c r="I68" s="134"/>
      <c r="J68" s="3281"/>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281"/>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40" t="s">
        <v>2081</v>
      </c>
      <c r="B70" s="3241"/>
      <c r="C70" s="3241"/>
      <c r="D70" s="3241"/>
      <c r="E70" s="3241"/>
      <c r="F70" s="3241"/>
      <c r="G70" s="3241"/>
      <c r="H70" s="3241"/>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9" t="s">
        <v>2062</v>
      </c>
      <c r="B71" s="3220"/>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t="e">
        <f ca="1">ROUND(D45/(1+'数据-取费表'!C42),0)</f>
        <v>#REF!</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14" t="s">
        <v>2089</v>
      </c>
      <c r="F76" s="3188"/>
      <c r="G76" s="3188"/>
      <c r="H76" s="3239"/>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4.0500000000000001E-2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t="e">
        <f ca="1">ROUND(D45*D78/(1+'数据-取费表'!C42),0)</f>
        <v>#REF!</v>
      </c>
      <c r="D78" s="2805">
        <f>'数据-取费表'!B43</f>
        <v>5.000000000000001E-3</v>
      </c>
      <c r="E78" s="3198" t="s">
        <v>2093</v>
      </c>
      <c r="F78" s="3199"/>
      <c r="G78" s="3199"/>
      <c r="H78" s="3208"/>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t="e">
        <f ca="1">ROUND(IF(C79&lt;=0,0,IF(C80&gt;=200%,C79*60%-C73*35%,IF(C80&gt;=100%,C79*50%-C73*15%,IF(C80&gt;=50%,C79*40%-C73*5%,IF(C80&lt;50%,C79*30%,0))))),0)</f>
        <v>#REF!</v>
      </c>
      <c r="D81" s="280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40" t="s">
        <v>2097</v>
      </c>
      <c r="B83" s="3241"/>
      <c r="C83" s="3241"/>
      <c r="D83" s="3241"/>
      <c r="E83" s="3241"/>
      <c r="F83" s="3241"/>
      <c r="G83" s="3241"/>
      <c r="H83" s="3241"/>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9" t="s">
        <v>2062</v>
      </c>
      <c r="B84" s="3220"/>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t="e">
        <f ca="1">IF(H88="仅含出让金",C87+C90+C91+C92+C93+C94,C87+C91+C92+C93+C94)</f>
        <v>#REF!</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4.0500000000000001E-2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83" t="s">
        <v>2870</v>
      </c>
      <c r="H90" s="3284"/>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IF(H91="——",'成本法（公寓）'!C33,I91)</f>
        <v>0</v>
      </c>
      <c r="D91" s="2805"/>
      <c r="E91" s="3198" t="s">
        <v>2106</v>
      </c>
      <c r="F91" s="3199"/>
      <c r="G91" s="3199"/>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98" t="s">
        <v>2109</v>
      </c>
      <c r="F92" s="3199"/>
      <c r="G92" s="3199"/>
      <c r="H92" s="3208"/>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t="e">
        <f ca="1">ROUND(D45*D93/(1+'数据-取费表'!C42),0)</f>
        <v>#REF!</v>
      </c>
      <c r="D93" s="2805">
        <f>'数据-取费表'!B43</f>
        <v>5.000000000000001E-3</v>
      </c>
      <c r="E93" s="3198" t="s">
        <v>2093</v>
      </c>
      <c r="F93" s="3199"/>
      <c r="G93" s="3199"/>
      <c r="H93" s="3208"/>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09" t="s">
        <v>2113</v>
      </c>
      <c r="F94" s="3210"/>
      <c r="G94" s="3210"/>
      <c r="H94" s="3211"/>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t="e">
        <f ca="1">ROUND(IF(C95&lt;=0,0,IF(C96&gt;=200%,C95*60%-C86*35%,IF(C96&gt;=100%,C95*50%-C86*15%,IF(C96&gt;=50%,C95*40%-C86*5%,IF(C96&lt;50%,C95*30%,0))))),0)</f>
        <v>#REF!</v>
      </c>
      <c r="D97" s="280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82" t="s">
        <v>2115</v>
      </c>
      <c r="B100" s="3183"/>
      <c r="C100" s="3183"/>
      <c r="D100" s="3200"/>
      <c r="E100" s="3183" t="s">
        <v>2116</v>
      </c>
      <c r="F100" s="3183"/>
      <c r="G100" s="3183"/>
      <c r="H100" s="3200"/>
      <c r="I100" s="134"/>
    </row>
    <row r="101" spans="1:35" ht="18.75" customHeight="1">
      <c r="A101" s="3264" t="s">
        <v>2117</v>
      </c>
      <c r="B101" s="3265"/>
      <c r="C101" s="2813">
        <f>C4</f>
        <v>0</v>
      </c>
      <c r="D101" s="2814">
        <f>D4</f>
        <v>0</v>
      </c>
      <c r="E101" s="3278" t="s">
        <v>2118</v>
      </c>
      <c r="F101" s="3232"/>
      <c r="G101" s="2015" t="s">
        <v>2119</v>
      </c>
      <c r="H101" s="2823" t="e">
        <f ca="1">H118</f>
        <v>#REF!</v>
      </c>
      <c r="I101" s="134"/>
    </row>
    <row r="102" spans="1:35" ht="18.75" customHeight="1">
      <c r="A102" s="3234" t="s">
        <v>2120</v>
      </c>
      <c r="B102" s="2812" t="s">
        <v>2119</v>
      </c>
      <c r="C102" s="2813" t="e">
        <f ca="1">C19</f>
        <v>#REF!</v>
      </c>
      <c r="D102" s="2814" t="e">
        <f ca="1">D19</f>
        <v>#REF!</v>
      </c>
      <c r="E102" s="3278"/>
      <c r="F102" s="3232"/>
      <c r="G102" s="2015" t="s">
        <v>2121</v>
      </c>
      <c r="H102" s="2783" t="e">
        <f ca="1">I118</f>
        <v>#REF!</v>
      </c>
      <c r="I102" s="134"/>
    </row>
    <row r="103" spans="1:35" ht="42.75" customHeight="1">
      <c r="A103" s="3234"/>
      <c r="B103" s="2812" t="s">
        <v>2121</v>
      </c>
      <c r="C103" s="2815" t="e">
        <f ca="1">C20</f>
        <v>#REF!</v>
      </c>
      <c r="D103" s="2816" t="e">
        <f ca="1">D20</f>
        <v>#REF!</v>
      </c>
      <c r="E103" s="3272" t="s">
        <v>2122</v>
      </c>
      <c r="F103" s="3273"/>
      <c r="G103" s="2016" t="s">
        <v>2123</v>
      </c>
      <c r="H103" s="2823">
        <f>IF(D36="正常操作",H104+H105+H106,H105+H106)</f>
        <v>0</v>
      </c>
      <c r="I103" s="134"/>
    </row>
    <row r="104" spans="1:35" ht="18.75" customHeight="1">
      <c r="A104" s="3234" t="s">
        <v>2124</v>
      </c>
      <c r="B104" s="2817" t="s">
        <v>2119</v>
      </c>
      <c r="C104" s="2818" t="e">
        <f ca="1">H118</f>
        <v>#REF!</v>
      </c>
      <c r="D104" s="2819"/>
      <c r="E104" s="1862" t="s">
        <v>2125</v>
      </c>
      <c r="F104" s="1853"/>
      <c r="G104" s="2016" t="s">
        <v>2123</v>
      </c>
      <c r="H104" s="2824">
        <f>IF(D36="同一抵押权人同一抵押物续贷",C36&amp;"（续贷，未扣减，详见特别提示）",C36)</f>
        <v>0</v>
      </c>
      <c r="I104" s="134"/>
    </row>
    <row r="105" spans="1:35" ht="18.75" customHeight="1" thickBot="1">
      <c r="A105" s="3235"/>
      <c r="B105" s="2820" t="s">
        <v>2121</v>
      </c>
      <c r="C105" s="2821" t="e">
        <f ca="1">I118</f>
        <v>#REF!</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31" t="str">
        <f>IF(项目基本情况!E8="已注销","——","3.房地产抵押价值")</f>
        <v>3.房地产抵押价值</v>
      </c>
      <c r="F107" s="3232"/>
      <c r="G107" s="2015" t="s">
        <v>2119</v>
      </c>
      <c r="H107" s="2823" t="e">
        <f ca="1">IF(E107="——","——",H101-H103)</f>
        <v>#REF!</v>
      </c>
      <c r="I107" s="134"/>
    </row>
    <row r="108" spans="1:35" ht="18.75" customHeight="1">
      <c r="A108" s="134"/>
      <c r="B108" s="134"/>
      <c r="C108" s="134"/>
      <c r="D108" s="134"/>
      <c r="E108" s="3231"/>
      <c r="F108" s="3232"/>
      <c r="G108" s="2015" t="s">
        <v>2121</v>
      </c>
      <c r="H108" s="2783" t="e">
        <f ca="1">ROUND(H107*10000/'数据-汇总表'!E3,0)</f>
        <v>#REF!</v>
      </c>
      <c r="I108" s="134"/>
    </row>
    <row r="109" spans="1:35" ht="18.75" customHeight="1">
      <c r="A109" s="134"/>
      <c r="B109" s="134"/>
      <c r="C109" s="134"/>
      <c r="D109" s="134"/>
      <c r="E109" s="3231" t="str">
        <f>IF(项目基本情况!E8="已注销及未注销","4.抵押担保权已注销时的房地产抵押价值",IF(项目基本情况!E8="已注销","3.抵押担保权已注销时的房地产抵押价值","——"))</f>
        <v>——</v>
      </c>
      <c r="F109" s="3232"/>
      <c r="G109" s="2015" t="s">
        <v>2119</v>
      </c>
      <c r="H109" s="2826" t="str">
        <f>IF(E109="——","——",H101-H105-H106)</f>
        <v>——</v>
      </c>
      <c r="I109" s="134"/>
    </row>
    <row r="110" spans="1:35" ht="18.75" customHeight="1">
      <c r="A110" s="134"/>
      <c r="B110" s="134"/>
      <c r="C110" s="134"/>
      <c r="D110" s="134"/>
      <c r="E110" s="3231"/>
      <c r="F110" s="3232"/>
      <c r="G110" s="2015" t="s">
        <v>2121</v>
      </c>
      <c r="H110" s="2783" t="str">
        <f>IF(H109="——","——",ROUND(H109*10000/'数据-汇总表'!E3,0))</f>
        <v>——</v>
      </c>
      <c r="I110" s="134"/>
    </row>
    <row r="111" spans="1:35" ht="18.75" customHeight="1">
      <c r="A111" s="134"/>
      <c r="B111" s="134"/>
      <c r="C111" s="134"/>
      <c r="D111" s="134"/>
      <c r="E111" s="3266" t="str">
        <f>IF(项目基本情况!E9="抵押净值",IF(OR(项目基本情况!E8="已注销",项目基本情况!E8="房地产抵押价值"),"4.抵押净值","5.抵押净值"),"——")</f>
        <v>——</v>
      </c>
      <c r="F111" s="3233"/>
      <c r="G111" s="2015" t="s">
        <v>2119</v>
      </c>
      <c r="H111" s="2823" t="str">
        <f>IF(E111="——","——",N59)</f>
        <v>——</v>
      </c>
      <c r="I111" s="134"/>
    </row>
    <row r="112" spans="1:35" ht="18.75" customHeight="1" thickBot="1">
      <c r="A112" s="134"/>
      <c r="B112" s="134"/>
      <c r="C112" s="134"/>
      <c r="D112" s="134"/>
      <c r="E112" s="3267"/>
      <c r="F112" s="3268"/>
      <c r="G112" s="2018" t="s">
        <v>2121</v>
      </c>
      <c r="H112" s="2827" t="str">
        <f>IF(E111="——","——",N61)</f>
        <v>——</v>
      </c>
      <c r="I112" s="134"/>
    </row>
    <row r="113" spans="1:27" ht="18.75" customHeight="1">
      <c r="A113" s="134"/>
      <c r="B113" s="134"/>
      <c r="C113" s="134"/>
      <c r="D113" s="134"/>
      <c r="E113" s="3236" t="s">
        <v>2127</v>
      </c>
      <c r="F113" s="3236"/>
      <c r="G113" s="3236"/>
      <c r="H113" s="3236"/>
      <c r="I113" s="134"/>
    </row>
    <row r="114" spans="1:27" ht="3.75" customHeight="1">
      <c r="A114" s="1935"/>
      <c r="B114" s="1935"/>
      <c r="C114" s="1935"/>
      <c r="D114" s="1935"/>
      <c r="E114" s="1997"/>
      <c r="F114" s="1997"/>
      <c r="G114" s="1997"/>
      <c r="H114" s="1997"/>
      <c r="I114" s="1935"/>
    </row>
    <row r="115" spans="1:27" ht="18.75" customHeight="1">
      <c r="A115" s="3249" t="s">
        <v>2129</v>
      </c>
      <c r="B115" s="3250"/>
      <c r="C115" s="3250"/>
      <c r="D115" s="3250"/>
      <c r="E115" s="3250"/>
      <c r="F115" s="3250"/>
      <c r="G115" s="3250"/>
      <c r="H115" s="3250"/>
      <c r="I115" s="3251"/>
    </row>
    <row r="116" spans="1:27" ht="27" customHeight="1">
      <c r="A116" s="3202" t="s">
        <v>2130</v>
      </c>
      <c r="B116" s="3237" t="s">
        <v>2131</v>
      </c>
      <c r="C116" s="3237" t="s">
        <v>2132</v>
      </c>
      <c r="D116" s="3253" t="s">
        <v>2133</v>
      </c>
      <c r="E116" s="3254"/>
      <c r="F116" s="3245" t="s">
        <v>2134</v>
      </c>
      <c r="G116" s="3245"/>
      <c r="H116" s="3202" t="s">
        <v>2135</v>
      </c>
      <c r="I116" s="3202"/>
    </row>
    <row r="117" spans="1:27" ht="18.75" customHeight="1">
      <c r="A117" s="3202"/>
      <c r="B117" s="3238"/>
      <c r="C117" s="3238"/>
      <c r="D117" s="2554" t="s">
        <v>2136</v>
      </c>
      <c r="E117" s="2554" t="s">
        <v>2137</v>
      </c>
      <c r="F117" s="2554" t="s">
        <v>2136</v>
      </c>
      <c r="G117" s="2554" t="s">
        <v>2138</v>
      </c>
      <c r="H117" s="2554" t="s">
        <v>2136</v>
      </c>
      <c r="I117" s="2554" t="s">
        <v>2138</v>
      </c>
    </row>
    <row r="118" spans="1:27" ht="24.75" customHeight="1">
      <c r="A118" s="2828" t="str">
        <f>项目基本情况!S2</f>
        <v>房地产</v>
      </c>
      <c r="B118" s="2554">
        <f>M18</f>
        <v>58402.819999999992</v>
      </c>
      <c r="C118" s="2554">
        <f>M19</f>
        <v>38935.21</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c r="A119" s="3202" t="s">
        <v>2139</v>
      </c>
      <c r="B119" s="3202"/>
      <c r="C119" s="3202"/>
      <c r="D119" s="3242" t="e">
        <f ca="1">NUMBERSTRING(INT(D118*10000),2)&amp;"元整"</f>
        <v>#REF!</v>
      </c>
      <c r="E119" s="3244"/>
      <c r="F119" s="3242" t="e">
        <f ca="1">NUMBERSTRING(INT(F118*10000),2)&amp;"元整"</f>
        <v>#REF!</v>
      </c>
      <c r="G119" s="3244"/>
      <c r="H119" s="3242" t="e">
        <f ca="1">NUMBERSTRING(INT(H118*10000),2)&amp;"元整"</f>
        <v>#REF!</v>
      </c>
      <c r="I119" s="3244"/>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46" t="s">
        <v>2139</v>
      </c>
      <c r="B121" s="3247"/>
      <c r="C121" s="3248"/>
      <c r="D121" s="3242" t="str">
        <f>IF(D120=0,"零元整",NUMBERSTRING(INT(D120*10000),2)&amp;"元整")</f>
        <v>零元整</v>
      </c>
      <c r="E121" s="3243"/>
      <c r="F121" s="3243"/>
      <c r="G121" s="3243"/>
      <c r="H121" s="3243"/>
      <c r="I121" s="3244"/>
      <c r="AA121" s="734"/>
    </row>
    <row r="122" spans="1:27" ht="18.75" customHeight="1">
      <c r="A122" s="3233" t="str">
        <f>IF(项目基本情况!B9="房地产市场价值","",MID(E107,3,LEN(E107)-2))</f>
        <v>房地产抵押价值</v>
      </c>
      <c r="B122" s="3233"/>
      <c r="C122" s="3233"/>
      <c r="D122" s="3269" t="e">
        <f ca="1">H107</f>
        <v>#REF!</v>
      </c>
      <c r="E122" s="3270"/>
      <c r="F122" s="3270"/>
      <c r="G122" s="3270"/>
      <c r="H122" s="3270"/>
      <c r="I122" s="3271"/>
      <c r="AA122" s="734"/>
    </row>
    <row r="123" spans="1:27" ht="18.75" customHeight="1">
      <c r="A123" s="3202" t="s">
        <v>2139</v>
      </c>
      <c r="B123" s="3202"/>
      <c r="C123" s="3202"/>
      <c r="D123" s="3242" t="e">
        <f ca="1">NUMBERSTRING(INT(D122*10000),2)&amp;"元整"</f>
        <v>#REF!</v>
      </c>
      <c r="E123" s="3243"/>
      <c r="F123" s="3243"/>
      <c r="G123" s="3243"/>
      <c r="H123" s="3243"/>
      <c r="I123" s="3244"/>
      <c r="AA123" s="734"/>
    </row>
    <row r="124" spans="1:27" ht="18.75" customHeight="1">
      <c r="A124" s="3233" t="str">
        <f>IF(项目基本情况!B9="房地产市场价值","",MID(E109,3,LEN(E109)-2))</f>
        <v/>
      </c>
      <c r="B124" s="3233"/>
      <c r="C124" s="3233"/>
      <c r="D124" s="3269" t="str">
        <f>H109</f>
        <v>——</v>
      </c>
      <c r="E124" s="3270"/>
      <c r="F124" s="3270"/>
      <c r="G124" s="3270"/>
      <c r="H124" s="3270"/>
      <c r="I124" s="3271"/>
      <c r="AA124" s="734"/>
    </row>
    <row r="125" spans="1:27" ht="18.75" customHeight="1">
      <c r="A125" s="3202" t="s">
        <v>2139</v>
      </c>
      <c r="B125" s="3202"/>
      <c r="C125" s="3202"/>
      <c r="D125" s="3242" t="e">
        <f>NUMBERSTRING(INT(D124*10000),2)&amp;"元整"</f>
        <v>#VALUE!</v>
      </c>
      <c r="E125" s="3243"/>
      <c r="F125" s="3243"/>
      <c r="G125" s="3243"/>
      <c r="H125" s="3243"/>
      <c r="I125" s="3244"/>
      <c r="AA125" s="734"/>
    </row>
    <row r="126" spans="1:27" ht="18.75" customHeight="1">
      <c r="A126" s="3233" t="str">
        <f>IF(项目基本情况!B9="房地产市场价值","",MID(E111,3,LEN(E111)-2))</f>
        <v/>
      </c>
      <c r="B126" s="3233"/>
      <c r="C126" s="3233"/>
      <c r="D126" s="3269" t="str">
        <f>H111</f>
        <v>——</v>
      </c>
      <c r="E126" s="3270"/>
      <c r="F126" s="3270"/>
      <c r="G126" s="3270"/>
      <c r="H126" s="3270"/>
      <c r="I126" s="3271"/>
      <c r="AA126" s="734"/>
    </row>
    <row r="127" spans="1:27" ht="18.75" customHeight="1">
      <c r="A127" s="3202" t="s">
        <v>2139</v>
      </c>
      <c r="B127" s="3202"/>
      <c r="C127" s="3202"/>
      <c r="D127" s="3242" t="e">
        <f>NUMBERSTRING(INT(D126*10000),2)&amp;"元整"</f>
        <v>#VALUE!</v>
      </c>
      <c r="E127" s="3243"/>
      <c r="F127" s="3243"/>
      <c r="G127" s="3243"/>
      <c r="H127" s="3243"/>
      <c r="I127" s="3244"/>
      <c r="AA127" s="734"/>
    </row>
    <row r="128" spans="1:27" ht="21.75" customHeight="1">
      <c r="A128" s="3252" t="s">
        <v>2140</v>
      </c>
      <c r="B128" s="3252"/>
      <c r="C128" s="3252"/>
      <c r="D128" s="3252"/>
      <c r="E128" s="3252"/>
      <c r="F128" s="3252"/>
      <c r="G128" s="3252"/>
      <c r="H128" s="3252"/>
      <c r="I128" s="3252"/>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6" t="str">
        <f>项目基本情况!B1</f>
        <v>预评估</v>
      </c>
      <c r="C37" s="3096"/>
      <c r="D37" s="3096"/>
      <c r="E37" s="3096"/>
      <c r="F37" s="3096"/>
      <c r="G37" s="3096"/>
      <c r="H37" s="3096"/>
      <c r="I37" s="3096"/>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E1" zoomScaleNormal="100" zoomScaleSheetLayoutView="100" zoomScalePageLayoutView="80" workbookViewId="0">
      <selection activeCell="G20" sqref="G2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4144</v>
      </c>
      <c r="D1" s="1935"/>
      <c r="E1" s="1935"/>
      <c r="F1" s="1937" t="s">
        <v>1950</v>
      </c>
      <c r="G1" s="1748"/>
      <c r="H1" s="1938" t="str">
        <f>IF(G1="现房","——","估价对象范围")</f>
        <v>估价对象范围</v>
      </c>
      <c r="I1" s="1939"/>
    </row>
    <row r="2" spans="1:12" ht="21.75" customHeight="1" thickBot="1">
      <c r="A2" s="3222" t="str">
        <f>项目基本情况!S2</f>
        <v>房地产</v>
      </c>
      <c r="B2" s="3223"/>
      <c r="C2" s="3223"/>
      <c r="D2" s="3223"/>
      <c r="E2" s="3223"/>
      <c r="F2" s="3223"/>
      <c r="G2" s="3223"/>
      <c r="H2" s="3223"/>
      <c r="I2" s="3224"/>
    </row>
    <row r="3" spans="1:12" ht="12.75">
      <c r="A3" s="3226" t="s">
        <v>1951</v>
      </c>
      <c r="B3" s="3227"/>
      <c r="C3" s="3227"/>
      <c r="D3" s="3227"/>
      <c r="E3" s="3227"/>
      <c r="F3" s="3227"/>
      <c r="G3" s="3227"/>
      <c r="H3" s="3227"/>
      <c r="I3" s="3227"/>
    </row>
    <row r="4" spans="1:12" ht="14.25">
      <c r="A4" s="1942" t="s">
        <v>1952</v>
      </c>
      <c r="B4" s="1943" t="s">
        <v>1953</v>
      </c>
      <c r="C4" s="1944" t="s">
        <v>4169</v>
      </c>
      <c r="D4" s="1944" t="s">
        <v>4173</v>
      </c>
      <c r="E4" s="3228" t="s">
        <v>1954</v>
      </c>
      <c r="F4" s="3229"/>
      <c r="G4" s="3229"/>
      <c r="H4" s="3229"/>
      <c r="I4" s="3230"/>
      <c r="K4" s="151" t="str">
        <f>IF(ISNUMBER(FIND("比较法",'结果表(公寓)'!C4)),"比较法",IF(ISNUMBER(FIND("成本法",'结果表(公寓)'!C4)),"成本法",IF(ISNUMBER(FIND("假设开发法",'结果表(公寓)'!C4)),"假设开发法",IF(ISNUMBER(FIND("收益法",'结果表(公寓)'!C4)),"收益法","基准地价系数修正法"))))</f>
        <v>比较法</v>
      </c>
      <c r="L4" s="151" t="str">
        <f>IF(ISNUMBER(FIND("比较法",'结果表(公寓)'!D4)),"比较法",IF(ISNUMBER(FIND("成本法",'结果表(公寓)'!D4)),"成本法",IF(ISNUMBER(FIND("假设开发法",'结果表(公寓)'!D4)),"假设开发法",IF(ISNUMBER(FIND("收益法",'结果表(公寓)'!D4)),"收益法","基准地价系数修正法"))))</f>
        <v>成本法</v>
      </c>
    </row>
    <row r="5" spans="1:12" ht="12.75">
      <c r="A5" s="3202" t="s">
        <v>1955</v>
      </c>
      <c r="B5" s="3189">
        <v>25</v>
      </c>
      <c r="C5" s="3205"/>
      <c r="D5" s="3225"/>
      <c r="E5" s="136" t="s">
        <v>1956</v>
      </c>
      <c r="F5" s="1945"/>
      <c r="G5" s="1945"/>
      <c r="H5" s="1945"/>
      <c r="I5" s="1559"/>
    </row>
    <row r="6" spans="1:12" ht="12.75">
      <c r="A6" s="3202"/>
      <c r="B6" s="3189"/>
      <c r="C6" s="3206"/>
      <c r="D6" s="3225"/>
      <c r="E6" s="136" t="s">
        <v>1957</v>
      </c>
      <c r="F6" s="1945"/>
      <c r="G6" s="1945"/>
      <c r="H6" s="1945"/>
      <c r="I6" s="1559"/>
    </row>
    <row r="7" spans="1:12" ht="12.75">
      <c r="A7" s="3202"/>
      <c r="B7" s="3189"/>
      <c r="C7" s="3207"/>
      <c r="D7" s="3225"/>
      <c r="E7" s="136" t="s">
        <v>1958</v>
      </c>
      <c r="F7" s="1945"/>
      <c r="G7" s="1945"/>
      <c r="H7" s="1945"/>
      <c r="I7" s="1559"/>
    </row>
    <row r="8" spans="1:12" ht="12.75">
      <c r="A8" s="3202" t="s">
        <v>1959</v>
      </c>
      <c r="B8" s="3189">
        <v>15</v>
      </c>
      <c r="C8" s="3205"/>
      <c r="D8" s="3225"/>
      <c r="E8" s="136" t="s">
        <v>1960</v>
      </c>
      <c r="F8" s="1945"/>
      <c r="G8" s="1945"/>
      <c r="H8" s="1945"/>
      <c r="I8" s="1559"/>
    </row>
    <row r="9" spans="1:12" ht="12.75">
      <c r="A9" s="3202"/>
      <c r="B9" s="3189"/>
      <c r="C9" s="3207"/>
      <c r="D9" s="3225"/>
      <c r="E9" s="136" t="s">
        <v>1961</v>
      </c>
      <c r="F9" s="1945"/>
      <c r="G9" s="1945"/>
      <c r="H9" s="1945"/>
      <c r="I9" s="1559"/>
    </row>
    <row r="10" spans="1:12" ht="12.75">
      <c r="A10" s="3202" t="s">
        <v>1962</v>
      </c>
      <c r="B10" s="3189">
        <v>15</v>
      </c>
      <c r="C10" s="3205"/>
      <c r="D10" s="3225"/>
      <c r="E10" s="136" t="s">
        <v>1963</v>
      </c>
      <c r="F10" s="1945"/>
      <c r="G10" s="1945"/>
      <c r="H10" s="1945"/>
      <c r="I10" s="1559"/>
    </row>
    <row r="11" spans="1:12" ht="12.75">
      <c r="A11" s="3202"/>
      <c r="B11" s="3189"/>
      <c r="C11" s="3207"/>
      <c r="D11" s="3225"/>
      <c r="E11" s="136" t="s">
        <v>1964</v>
      </c>
      <c r="F11" s="1945"/>
      <c r="G11" s="1945"/>
      <c r="H11" s="1945"/>
      <c r="I11" s="1559"/>
    </row>
    <row r="12" spans="1:12" ht="12.75">
      <c r="A12" s="3202" t="s">
        <v>1965</v>
      </c>
      <c r="B12" s="3189">
        <v>15</v>
      </c>
      <c r="C12" s="3205"/>
      <c r="D12" s="3225"/>
      <c r="E12" s="136" t="s">
        <v>1966</v>
      </c>
      <c r="F12" s="1945"/>
      <c r="G12" s="1945"/>
      <c r="H12" s="1945"/>
      <c r="I12" s="1559"/>
    </row>
    <row r="13" spans="1:12" ht="12.75">
      <c r="A13" s="3202"/>
      <c r="B13" s="3189"/>
      <c r="C13" s="3207"/>
      <c r="D13" s="3225"/>
      <c r="E13" s="136" t="s">
        <v>1967</v>
      </c>
      <c r="F13" s="1945"/>
      <c r="G13" s="1945"/>
      <c r="H13" s="1945"/>
      <c r="I13" s="1559"/>
    </row>
    <row r="14" spans="1:12" ht="12.75">
      <c r="A14" s="3202" t="s">
        <v>1968</v>
      </c>
      <c r="B14" s="3189">
        <v>30</v>
      </c>
      <c r="C14" s="3205">
        <v>5</v>
      </c>
      <c r="D14" s="3225">
        <v>5</v>
      </c>
      <c r="E14" s="136" t="s">
        <v>1969</v>
      </c>
      <c r="F14" s="1945"/>
      <c r="G14" s="1945"/>
      <c r="H14" s="1945"/>
      <c r="I14" s="1559"/>
    </row>
    <row r="15" spans="1:12" ht="12.75">
      <c r="A15" s="3202"/>
      <c r="B15" s="3189"/>
      <c r="C15" s="3206"/>
      <c r="D15" s="3225"/>
      <c r="E15" s="136" t="s">
        <v>1970</v>
      </c>
      <c r="F15" s="1945"/>
      <c r="G15" s="1945"/>
      <c r="H15" s="1945"/>
      <c r="I15" s="1559"/>
    </row>
    <row r="16" spans="1:12" ht="12.75">
      <c r="A16" s="3202"/>
      <c r="B16" s="3189"/>
      <c r="C16" s="3207"/>
      <c r="D16" s="3225"/>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12" t="s">
        <v>2872</v>
      </c>
      <c r="F18" s="3213"/>
      <c r="G18" s="3213"/>
      <c r="H18" s="3213"/>
      <c r="I18" s="3213"/>
      <c r="K18" s="308" t="s">
        <v>1976</v>
      </c>
      <c r="L18" s="308">
        <f>IF(C1="",'数据-汇总表'!E3,SUMIF(项目类型,C1,'数据-汇总表'!E17:E26)+SUMIF(项目类型,C1,'数据-汇总表'!I17:I26))</f>
        <v>37615.929999999993</v>
      </c>
      <c r="M18" s="308">
        <f>IF(C1="",'数据-汇总表'!E3,SUMIF(项目类型,C1,'数据-汇总表'!E17:E26))</f>
        <v>37615.929999999993</v>
      </c>
    </row>
    <row r="19" spans="1:36" ht="15">
      <c r="A19" s="1949" t="s">
        <v>1977</v>
      </c>
      <c r="B19" s="1950" t="s">
        <v>1978</v>
      </c>
      <c r="C19" s="139">
        <f ca="1">SUMIF(INDIRECT("'"&amp;C4&amp;"'"&amp;"!A:A"),'结果表(公寓)'!B19,INDIRECT("'"&amp;C4&amp;"'"&amp;"!B:B"))</f>
        <v>28769</v>
      </c>
      <c r="D19" s="140">
        <f ca="1">SUMIF(INDIRECT("'"&amp;D4&amp;"'"&amp;"!A:A"),'结果表(公寓)'!B19,INDIRECT("'"&amp;D4&amp;"'"&amp;"!B:B"))</f>
        <v>26186</v>
      </c>
      <c r="E19" s="1949" t="s">
        <v>1979</v>
      </c>
      <c r="F19" s="1950" t="s">
        <v>1978</v>
      </c>
      <c r="G19" s="141">
        <f ca="1">ROUND(C19*$C$18+D19*$D$18,0)</f>
        <v>27478</v>
      </c>
      <c r="H19" s="1951" t="s">
        <v>1980</v>
      </c>
      <c r="I19" s="134"/>
      <c r="K19" s="308" t="s">
        <v>1981</v>
      </c>
      <c r="L19" s="308">
        <f>IF(C1="",'数据-汇总表'!D3,SUMIF(项目类型,C1,'数据-汇总表'!D17:D26)+SUMIF(项目类型,C1,'数据-汇总表'!H17:H27))</f>
        <v>25077.279999999999</v>
      </c>
      <c r="M19" s="308">
        <f>IF(C1="",'数据-汇总表'!D3,SUMIF(项目类型,C1,'数据-汇总表'!D17:D26))</f>
        <v>25077.279999999999</v>
      </c>
    </row>
    <row r="20" spans="1:36" ht="15">
      <c r="A20" s="1952"/>
      <c r="B20" s="1157" t="s">
        <v>1982</v>
      </c>
      <c r="C20" s="142">
        <f ca="1">SUMIF(INDIRECT("'"&amp;C4&amp;"'"&amp;"!A:A"),'结果表(公寓)'!B20,INDIRECT("'"&amp;C4&amp;"'"&amp;"!B:B"))</f>
        <v>7648</v>
      </c>
      <c r="D20" s="143">
        <f ca="1">SUMIF(INDIRECT("'"&amp;D4&amp;"'"&amp;"!A:A"),'结果表(公寓)'!B20,INDIRECT("'"&amp;D4&amp;"'"&amp;"!B:B"))</f>
        <v>6961</v>
      </c>
      <c r="E20" s="1952"/>
      <c r="F20" s="1157" t="s">
        <v>1982</v>
      </c>
      <c r="G20" s="144">
        <f ca="1">ROUND(C20*$C$18+D20*$D$18,0)</f>
        <v>7305</v>
      </c>
      <c r="H20" s="917" t="s">
        <v>1983</v>
      </c>
      <c r="I20" s="134"/>
    </row>
    <row r="21" spans="1:36" ht="15" customHeight="1" thickBot="1">
      <c r="A21" s="937"/>
      <c r="B21" s="1953" t="s">
        <v>1984</v>
      </c>
      <c r="C21" s="728">
        <f ca="1">ROUND(C19*10000/L19,0)</f>
        <v>11472</v>
      </c>
      <c r="D21" s="729">
        <f ca="1">ROUND(D19*10000/L19,0)</f>
        <v>10442</v>
      </c>
      <c r="E21" s="937"/>
      <c r="F21" s="1953" t="s">
        <v>1984</v>
      </c>
      <c r="G21" s="145">
        <f ca="1">ROUND(G19*10000/L19,0)</f>
        <v>10957</v>
      </c>
      <c r="H21" s="1954" t="s">
        <v>1983</v>
      </c>
      <c r="I21" s="134"/>
    </row>
    <row r="22" spans="1:36" ht="15" thickBot="1">
      <c r="A22" s="1876" t="s">
        <v>1985</v>
      </c>
      <c r="B22" s="1955"/>
      <c r="C22" s="1956"/>
      <c r="D22" s="730">
        <f ca="1">IF(C19&lt;D19,D19/C19-1,C19/D19-1)</f>
        <v>9.8640494920950061E-2</v>
      </c>
      <c r="E22" s="134"/>
      <c r="F22" s="134"/>
      <c r="G22" s="134"/>
      <c r="H22" s="134"/>
      <c r="I22" s="134"/>
    </row>
    <row r="23" spans="1:36" ht="13.5" thickBot="1">
      <c r="A23" s="1935"/>
      <c r="B23" s="1935"/>
      <c r="C23" s="1935"/>
      <c r="D23" s="1935"/>
      <c r="E23" s="134"/>
      <c r="F23" s="134"/>
      <c r="G23" s="134"/>
      <c r="H23" s="134"/>
      <c r="I23" s="134"/>
    </row>
    <row r="24" spans="1:36" ht="14.25">
      <c r="A24" s="3196" t="s">
        <v>1986</v>
      </c>
      <c r="B24" s="1950" t="s">
        <v>1978</v>
      </c>
      <c r="C24" s="141">
        <f>IF(B30=0,0,D30)</f>
        <v>0</v>
      </c>
      <c r="D24" s="1957"/>
      <c r="E24" s="134"/>
      <c r="F24" s="134"/>
      <c r="G24" s="134"/>
      <c r="H24" s="134"/>
      <c r="I24" s="134"/>
    </row>
    <row r="25" spans="1:36" ht="14.25">
      <c r="A25" s="3197"/>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27478</v>
      </c>
      <c r="D32" s="1963" t="s">
        <v>4199</v>
      </c>
      <c r="E32" s="134"/>
      <c r="F32" s="134"/>
      <c r="G32" s="134"/>
      <c r="H32" s="134"/>
      <c r="I32" s="134"/>
    </row>
    <row r="33" spans="1:15" ht="15">
      <c r="A33" s="894" t="s">
        <v>1993</v>
      </c>
      <c r="B33" s="1964"/>
      <c r="C33" s="1965" t="s">
        <v>4198</v>
      </c>
      <c r="D33" s="1966" t="s">
        <v>4173</v>
      </c>
      <c r="E33" s="1967" t="s">
        <v>1994</v>
      </c>
      <c r="F33" s="1968" t="str">
        <f>IF(D32="楼面单价","取值（单价）","取值（总价）")</f>
        <v>取值（总价）</v>
      </c>
      <c r="G33" s="134"/>
      <c r="H33" s="134"/>
      <c r="I33" s="134"/>
    </row>
    <row r="34" spans="1:15" ht="15">
      <c r="A34" s="1969"/>
      <c r="B34" s="1970" t="s">
        <v>1995</v>
      </c>
      <c r="C34" s="153">
        <f ca="1">IF(C33="自定义",F34,C32-C35)</f>
        <v>6292</v>
      </c>
      <c r="D34" s="970">
        <f ca="1">IF(C33="自定义",ROUND(C34/C32,3),IF(C33="收益比率",SUMIF(INDIRECT("'"&amp;D33&amp;"'"&amp;"!b:b"),"土地收益比率",INDIRECT("'"&amp;D33&amp;"'"&amp;"!c:c")),SUMIF(INDIRECT("'"&amp;D33&amp;"'"&amp;"!b:b"),"土地成本比率",INDIRECT("'"&amp;D33&amp;"'"&amp;"!c:c"))))</f>
        <v>0.22899999999999998</v>
      </c>
      <c r="E34" s="1971" t="s">
        <v>1996</v>
      </c>
      <c r="F34" s="1500"/>
      <c r="G34" s="134"/>
      <c r="H34" s="134"/>
      <c r="I34" s="134"/>
    </row>
    <row r="35" spans="1:15" ht="15.75" thickBot="1">
      <c r="A35" s="1972"/>
      <c r="B35" s="1973" t="s">
        <v>1997</v>
      </c>
      <c r="C35" s="1332">
        <f ca="1">IF(C33="自定义",F35,ROUND(C32*D35,0))</f>
        <v>21186</v>
      </c>
      <c r="D35" s="1333">
        <f ca="1">IF(C33="自定义",ROUND(C35/C32,3),IF(C33="收益比率",SUMIF(INDIRECT("'"&amp;D33&amp;"'"&amp;"!b:b"),"建筑物收益比率",INDIRECT("'"&amp;D33&amp;"'"&amp;"!c:c")),SUMIF(INDIRECT("'"&amp;D33&amp;"'"&amp;"!b:b"),"建筑物成本比率",INDIRECT("'"&amp;D33&amp;"'"&amp;"!c:c"))))</f>
        <v>0.77100000000000002</v>
      </c>
      <c r="E35" s="1974" t="s">
        <v>1998</v>
      </c>
      <c r="F35" s="159"/>
      <c r="G35" s="134"/>
      <c r="H35" s="134"/>
      <c r="I35" s="134"/>
    </row>
    <row r="36" spans="1:15" ht="15.75" thickBot="1">
      <c r="A36" s="3216" t="s">
        <v>1999</v>
      </c>
      <c r="B36" s="1975" t="s">
        <v>2000</v>
      </c>
      <c r="C36" s="150"/>
      <c r="D36" s="1976"/>
      <c r="E36" s="1977"/>
      <c r="F36" s="1978"/>
      <c r="G36" s="134"/>
      <c r="H36" s="134"/>
      <c r="I36" s="134"/>
    </row>
    <row r="37" spans="1:15" ht="15.75" thickBot="1">
      <c r="A37" s="3217"/>
      <c r="B37" s="1862" t="s">
        <v>2001</v>
      </c>
      <c r="C37" s="152"/>
      <c r="D37" s="1301"/>
      <c r="E37" s="1301"/>
      <c r="F37" s="1978"/>
      <c r="G37" s="134"/>
      <c r="H37" s="134"/>
      <c r="I37" s="134"/>
    </row>
    <row r="38" spans="1:15" ht="15.75" thickBot="1">
      <c r="A38" s="3218"/>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93" t="s">
        <v>2013</v>
      </c>
      <c r="B45" s="3194"/>
      <c r="C45" s="3195"/>
      <c r="D45" s="160">
        <f ca="1">ROUND(H101*F45,0)</f>
        <v>27478</v>
      </c>
      <c r="E45" s="161" t="s">
        <v>2014</v>
      </c>
      <c r="F45" s="162">
        <v>1</v>
      </c>
      <c r="G45" s="163" t="s">
        <v>2015</v>
      </c>
      <c r="H45" s="134"/>
      <c r="I45" s="134"/>
      <c r="J45" s="3274" t="s">
        <v>2016</v>
      </c>
      <c r="K45" s="3274"/>
      <c r="L45" s="3274"/>
      <c r="M45" s="3274"/>
      <c r="N45" s="3274"/>
      <c r="O45" s="3274"/>
    </row>
    <row r="46" spans="1:15" ht="14.25" customHeight="1">
      <c r="A46" s="3190" t="s">
        <v>2017</v>
      </c>
      <c r="B46" s="3191"/>
      <c r="C46" s="3191"/>
      <c r="D46" s="3191"/>
      <c r="E46" s="3191"/>
      <c r="F46" s="3191"/>
      <c r="G46" s="3192"/>
      <c r="H46" s="1994"/>
      <c r="I46" s="164"/>
      <c r="J46" s="3051">
        <v>1</v>
      </c>
      <c r="K46" s="3255" t="s">
        <v>2018</v>
      </c>
      <c r="L46" s="3255"/>
      <c r="M46" s="3275"/>
      <c r="N46" s="3275"/>
      <c r="O46" s="3275"/>
    </row>
    <row r="47" spans="1:15" ht="12" customHeight="1">
      <c r="A47" s="165" t="s">
        <v>2019</v>
      </c>
      <c r="B47" s="166"/>
      <c r="C47" s="167"/>
      <c r="D47" s="1247" t="s">
        <v>2020</v>
      </c>
      <c r="E47" s="308" t="s">
        <v>2021</v>
      </c>
      <c r="F47" s="168" t="s">
        <v>2022</v>
      </c>
      <c r="G47" s="2774" t="s">
        <v>2023</v>
      </c>
      <c r="H47" s="2775"/>
      <c r="I47" s="164"/>
      <c r="J47" s="3051">
        <v>2</v>
      </c>
      <c r="K47" s="3255" t="s">
        <v>2024</v>
      </c>
      <c r="L47" s="3255"/>
      <c r="M47" s="3276">
        <f>'数据-取费表'!B2</f>
        <v>44153</v>
      </c>
      <c r="N47" s="3276"/>
      <c r="O47" s="3276"/>
    </row>
    <row r="48" spans="1:15" ht="25.5">
      <c r="A48" s="3221" t="s">
        <v>2025</v>
      </c>
      <c r="B48" s="3204"/>
      <c r="C48" s="3204"/>
      <c r="D48" s="3048" t="b">
        <f>IF(H48="情况1",0,IF(H48="情况2",D52,IF(H48="情况3",D53,IF(H48="情况4",D54))))</f>
        <v>0</v>
      </c>
      <c r="E48" s="3061" t="str">
        <f>IF(H48="情况4","(销售额-原购置价)×税（费）率","销售额×税（费）率")</f>
        <v>销售额×税（费）率</v>
      </c>
      <c r="F48" s="2776">
        <f>IF(H48="情况1","免征",'数据-取费表'!B41)</f>
        <v>5.5000000000000007E-2</v>
      </c>
      <c r="G48" s="2777" t="s">
        <v>2026</v>
      </c>
      <c r="H48" s="2778"/>
      <c r="I48" s="1994"/>
      <c r="J48" s="3051">
        <v>3</v>
      </c>
      <c r="K48" s="3255" t="s">
        <v>2027</v>
      </c>
      <c r="L48" s="3255"/>
      <c r="M48" s="3277">
        <f ca="1">H101</f>
        <v>27478</v>
      </c>
      <c r="N48" s="3277"/>
      <c r="O48" s="3277"/>
    </row>
    <row r="49" spans="1:35" ht="25.5" customHeight="1">
      <c r="A49" s="3060" t="s">
        <v>2028</v>
      </c>
      <c r="B49" s="3188" t="s">
        <v>2029</v>
      </c>
      <c r="C49" s="3188"/>
      <c r="D49" s="1777">
        <v>0</v>
      </c>
      <c r="E49" s="330" t="s">
        <v>2030</v>
      </c>
      <c r="F49" s="3045" t="s">
        <v>34</v>
      </c>
      <c r="G49" s="3261"/>
      <c r="H49" s="2530" t="s">
        <v>2875</v>
      </c>
      <c r="I49" s="2531"/>
      <c r="J49" s="3051">
        <v>4</v>
      </c>
      <c r="K49" s="3255" t="str">
        <f>IF(项目基本情况!E8="房地产抵押价值","房地产抵押价值","抵押担保权已注销时的房地产抵押价值")</f>
        <v>抵押担保权已注销时的房地产抵押价值</v>
      </c>
      <c r="L49" s="3255"/>
      <c r="M49" s="3277" t="str">
        <f>IF(项目基本情况!E8="房地产抵押价值",H107,H109)</f>
        <v>——</v>
      </c>
      <c r="N49" s="3277"/>
      <c r="O49" s="3277"/>
    </row>
    <row r="50" spans="1:35" ht="25.5" customHeight="1">
      <c r="A50" s="2779"/>
      <c r="B50" s="3188" t="s">
        <v>2031</v>
      </c>
      <c r="C50" s="3188"/>
      <c r="D50" s="2780"/>
      <c r="E50" s="338"/>
      <c r="F50" s="3045"/>
      <c r="G50" s="3262"/>
      <c r="H50" s="2532" t="s">
        <v>2876</v>
      </c>
      <c r="I50" s="2531"/>
      <c r="J50" s="3274" t="s">
        <v>2032</v>
      </c>
      <c r="K50" s="3274"/>
      <c r="L50" s="3274"/>
      <c r="M50" s="3274"/>
      <c r="N50" s="3274"/>
      <c r="O50" s="3274"/>
    </row>
    <row r="51" spans="1:35" ht="20.45" customHeight="1">
      <c r="A51" s="2781"/>
      <c r="B51" s="3188" t="s">
        <v>2033</v>
      </c>
      <c r="C51" s="3188"/>
      <c r="D51" s="1247"/>
      <c r="E51" s="333"/>
      <c r="F51" s="3045"/>
      <c r="G51" s="3263"/>
      <c r="H51" s="2532" t="s">
        <v>2877</v>
      </c>
      <c r="I51" s="2531"/>
      <c r="J51" s="3047" t="s">
        <v>2034</v>
      </c>
      <c r="K51" s="3255" t="s">
        <v>2035</v>
      </c>
      <c r="L51" s="3255"/>
      <c r="M51" s="3047" t="s">
        <v>2036</v>
      </c>
      <c r="N51" s="3047" t="s">
        <v>2037</v>
      </c>
      <c r="O51" s="3047" t="s">
        <v>2038</v>
      </c>
    </row>
    <row r="52" spans="1:35" ht="24" customHeight="1">
      <c r="A52" s="3063" t="s">
        <v>2039</v>
      </c>
      <c r="B52" s="3188" t="s">
        <v>2040</v>
      </c>
      <c r="C52" s="3188"/>
      <c r="D52" s="1247">
        <f ca="1">ROUND(D45*'数据-取费表'!B41/(1+'数据-取费表'!C42),0)</f>
        <v>1439</v>
      </c>
      <c r="E52" s="3061" t="s">
        <v>2041</v>
      </c>
      <c r="F52" s="2782">
        <f>'数据-取费表'!B41</f>
        <v>5.5000000000000007E-2</v>
      </c>
      <c r="G52" s="2783"/>
      <c r="H52" s="2772"/>
      <c r="I52" s="1995"/>
      <c r="J52" s="3051">
        <v>1</v>
      </c>
      <c r="K52" s="3256" t="s">
        <v>2042</v>
      </c>
      <c r="L52" s="3256"/>
      <c r="M52" s="2753" t="b">
        <f>D48</f>
        <v>0</v>
      </c>
      <c r="N52" s="3051" t="str">
        <f>E48</f>
        <v>销售额×税（费）率</v>
      </c>
      <c r="O52" s="2754">
        <f>F48</f>
        <v>5.5000000000000007E-2</v>
      </c>
    </row>
    <row r="53" spans="1:35" ht="12" customHeight="1">
      <c r="A53" s="3063" t="s">
        <v>2043</v>
      </c>
      <c r="B53" s="3214" t="s">
        <v>3036</v>
      </c>
      <c r="C53" s="3215"/>
      <c r="D53" s="1247">
        <f ca="1">ROUND(D45*'数据-取费表'!B41/(1+'数据-取费表'!C42),0)</f>
        <v>1439</v>
      </c>
      <c r="E53" s="3061" t="s">
        <v>2041</v>
      </c>
      <c r="F53" s="2782">
        <f>'数据-取费表'!B41</f>
        <v>5.5000000000000007E-2</v>
      </c>
      <c r="G53" s="2783"/>
      <c r="H53" s="2772"/>
      <c r="I53" s="1995"/>
      <c r="J53" s="3051">
        <v>2</v>
      </c>
      <c r="K53" s="3256" t="s">
        <v>2044</v>
      </c>
      <c r="L53" s="3256"/>
      <c r="M53" s="2753">
        <f t="shared" ref="M53:O54" ca="1" si="0">D55</f>
        <v>14</v>
      </c>
      <c r="N53" s="3051" t="str">
        <f t="shared" si="0"/>
        <v>销售额×税（费）率</v>
      </c>
      <c r="O53" s="2754" t="str">
        <f t="shared" si="0"/>
        <v>免征</v>
      </c>
    </row>
    <row r="54" spans="1:35" ht="12" customHeight="1">
      <c r="A54" s="3063" t="s">
        <v>2045</v>
      </c>
      <c r="B54" s="3214" t="s">
        <v>3037</v>
      </c>
      <c r="C54" s="3215"/>
      <c r="D54" s="1247">
        <f ca="1">C68</f>
        <v>1439</v>
      </c>
      <c r="E54" s="333" t="s">
        <v>2046</v>
      </c>
      <c r="F54" s="2782">
        <f>'数据-取费表'!B41</f>
        <v>5.5000000000000007E-2</v>
      </c>
      <c r="G54" s="2783"/>
      <c r="H54" s="2784"/>
      <c r="I54" s="1995"/>
      <c r="J54" s="3051">
        <v>3</v>
      </c>
      <c r="K54" s="3256" t="s">
        <v>2047</v>
      </c>
      <c r="L54" s="3256"/>
      <c r="M54" s="2753">
        <f t="shared" ca="1" si="0"/>
        <v>15578</v>
      </c>
      <c r="N54" s="3051" t="str">
        <f t="shared" si="0"/>
        <v>增值额×税（费）率</v>
      </c>
      <c r="O54" s="2755" t="str">
        <f t="shared" si="0"/>
        <v>免征</v>
      </c>
    </row>
    <row r="55" spans="1:35" ht="24" customHeight="1">
      <c r="A55" s="3203" t="s">
        <v>2048</v>
      </c>
      <c r="B55" s="3204"/>
      <c r="C55" s="3204"/>
      <c r="D55" s="3048">
        <f ca="1">IF(H55="个人住宅",0,ROUND(D45*I55,0))</f>
        <v>14</v>
      </c>
      <c r="E55" s="3061" t="s">
        <v>2049</v>
      </c>
      <c r="F55" s="2782" t="str">
        <f>IF(H55="正常",I55,"免征")</f>
        <v>免征</v>
      </c>
      <c r="G55" s="2783"/>
      <c r="H55" s="2778"/>
      <c r="I55" s="170">
        <f>'数据-取费表'!B49</f>
        <v>5.0000000000000001E-4</v>
      </c>
      <c r="J55" s="3051">
        <f>IF(H59="非个人房产","",4)</f>
        <v>4</v>
      </c>
      <c r="K55" s="3256" t="str">
        <f>IF(H59="非个人房产","——","个人所得税")</f>
        <v>个人所得税</v>
      </c>
      <c r="L55" s="3256"/>
      <c r="M55" s="2756">
        <f ca="1">D59</f>
        <v>262</v>
      </c>
      <c r="N55" s="3052" t="str">
        <f>E59</f>
        <v>差额计税</v>
      </c>
      <c r="O55" s="2757">
        <f>F59</f>
        <v>0.01</v>
      </c>
    </row>
    <row r="56" spans="1:35" ht="24.75">
      <c r="A56" s="3203" t="s">
        <v>2050</v>
      </c>
      <c r="B56" s="3204"/>
      <c r="C56" s="3204"/>
      <c r="D56" s="3048">
        <f ca="1">IF(H56="个人住宅",D57,D58)</f>
        <v>15578</v>
      </c>
      <c r="E56" s="3061" t="s">
        <v>2051</v>
      </c>
      <c r="F56" s="2782" t="str">
        <f>IF(H56="正常",F58,"免征")</f>
        <v>免征</v>
      </c>
      <c r="G56" s="2785" t="s">
        <v>2052</v>
      </c>
      <c r="H56" s="2786"/>
      <c r="I56" s="1996"/>
      <c r="J56" s="3051" t="str">
        <f>IF(项目基本情况!K6="上海银行",IF(J55="",4,J55+1),"")</f>
        <v/>
      </c>
      <c r="K56" s="3279" t="str">
        <f>IF(项目基本情况!K6="上海银行","其他处置费用","")</f>
        <v/>
      </c>
      <c r="L56" s="3280"/>
      <c r="M56" s="2753" t="str">
        <f>IF(项目基本情况!K6="上海银行",M69,"")</f>
        <v/>
      </c>
      <c r="N56" s="3279" t="str">
        <f>IF(项目基本情况!K6="上海银行","包含处置中涉及的律师、诉讼、拍卖、评估等费用","")</f>
        <v/>
      </c>
      <c r="O56" s="3282"/>
    </row>
    <row r="57" spans="1:35" ht="12.75">
      <c r="A57" s="3063" t="s">
        <v>2028</v>
      </c>
      <c r="B57" s="3214" t="s">
        <v>2053</v>
      </c>
      <c r="C57" s="3215"/>
      <c r="D57" s="1777">
        <v>0</v>
      </c>
      <c r="E57" s="330" t="s">
        <v>2030</v>
      </c>
      <c r="F57" s="308"/>
      <c r="G57" s="2783"/>
      <c r="H57" s="2787"/>
      <c r="I57" s="1996"/>
      <c r="J57" s="3256">
        <f>IF(AND(J55="",J56=""),4,IF(项目基本情况!K6="上海银行",'结果表(公寓)'!J56+1,'结果表(公寓)'!J55+1))</f>
        <v>5</v>
      </c>
      <c r="K57" s="3256" t="s">
        <v>2054</v>
      </c>
      <c r="L57" s="2758" t="s">
        <v>2055</v>
      </c>
      <c r="M57" s="2759"/>
      <c r="N57" s="2760">
        <f ca="1">SUMIF(M52:M56,"&lt;9e307")</f>
        <v>15854</v>
      </c>
      <c r="O57" s="2761"/>
      <c r="P57" s="2921" t="e">
        <f ca="1">N57/M49</f>
        <v>#VALUE!</v>
      </c>
    </row>
    <row r="58" spans="1:35" ht="24.75">
      <c r="A58" s="3063" t="s">
        <v>2039</v>
      </c>
      <c r="B58" s="3214" t="s">
        <v>2056</v>
      </c>
      <c r="C58" s="3188"/>
      <c r="D58" s="3048">
        <f ca="1">IF(H58="转让取得",C81,C97)</f>
        <v>15578</v>
      </c>
      <c r="E58" s="3061" t="s">
        <v>2051</v>
      </c>
      <c r="F58" s="308" t="s">
        <v>34</v>
      </c>
      <c r="G58" s="2783"/>
      <c r="H58" s="2786"/>
      <c r="I58" s="1996"/>
      <c r="J58" s="3256"/>
      <c r="K58" s="3256"/>
      <c r="L58" s="2758" t="s">
        <v>2057</v>
      </c>
      <c r="M58" s="2762"/>
      <c r="N58" s="2763" t="str">
        <f ca="1">NUMBERSTRING(INT(N57*10000),2)&amp;"元整"</f>
        <v>壹亿伍仟捌佰伍拾肆万元整</v>
      </c>
      <c r="O58" s="2764"/>
    </row>
    <row r="59" spans="1:35" ht="24.75" thickBot="1">
      <c r="A59" s="3259" t="s">
        <v>2058</v>
      </c>
      <c r="B59" s="3260"/>
      <c r="C59" s="3260"/>
      <c r="D59" s="2788">
        <f ca="1">IF(H59="非个人房产","——",IF(H59="个人住宅（满五唯一有凭证）",0,IF(H59="个人其他（无凭证）",ROUND(D45*F59,0),ROUND(C67*F59,0))))</f>
        <v>262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2878</v>
      </c>
      <c r="J59" s="3257">
        <f>J57+1</f>
        <v>6</v>
      </c>
      <c r="K59" s="3256" t="s">
        <v>2059</v>
      </c>
      <c r="L59" s="3051" t="s">
        <v>2055</v>
      </c>
      <c r="M59" s="2765"/>
      <c r="N59" s="2766" t="e">
        <f ca="1">M49-N57</f>
        <v>#VALUE!</v>
      </c>
      <c r="O59" s="2767"/>
    </row>
    <row r="60" spans="1:35" ht="12" customHeight="1">
      <c r="A60" s="1997"/>
      <c r="B60" s="1935"/>
      <c r="C60" s="1935"/>
      <c r="D60" s="1935"/>
      <c r="E60" s="1765"/>
      <c r="F60" s="1996"/>
      <c r="G60" s="1996"/>
      <c r="H60" s="1998"/>
      <c r="I60" s="134"/>
      <c r="J60" s="3258"/>
      <c r="K60" s="3256"/>
      <c r="L60" s="2758" t="s">
        <v>2057</v>
      </c>
      <c r="M60" s="2762"/>
      <c r="N60" s="2763" t="e">
        <f ca="1">NUMBERSTRING(INT(N59*10000),2)&amp;"元整"</f>
        <v>#VALUE!</v>
      </c>
      <c r="O60" s="2764"/>
    </row>
    <row r="61" spans="1:35" ht="13.5" thickBot="1">
      <c r="A61" s="3201" t="s">
        <v>2060</v>
      </c>
      <c r="B61" s="3201"/>
      <c r="C61" s="3201"/>
      <c r="D61" s="3201"/>
      <c r="E61" s="3201"/>
      <c r="F61" s="1996"/>
      <c r="G61" s="1996"/>
      <c r="H61" s="1998"/>
      <c r="I61" s="134"/>
      <c r="J61" s="3051">
        <f>J59+1</f>
        <v>7</v>
      </c>
      <c r="K61" s="3256" t="s">
        <v>2061</v>
      </c>
      <c r="L61" s="3256"/>
      <c r="M61" s="2768"/>
      <c r="N61" s="2769" t="e">
        <f ca="1">ROUND(N59*10000/'数据-汇总表'!E3,0)</f>
        <v>#VALUE!</v>
      </c>
      <c r="O61" s="2770"/>
    </row>
    <row r="62" spans="1:35" ht="12.75">
      <c r="A62" s="3219" t="s">
        <v>2062</v>
      </c>
      <c r="B62" s="3220"/>
      <c r="C62" s="3056"/>
      <c r="D62" s="3056" t="s">
        <v>2063</v>
      </c>
      <c r="E62" s="171" t="s">
        <v>2064</v>
      </c>
      <c r="F62" s="1996"/>
      <c r="G62" s="1996"/>
      <c r="H62" s="1998"/>
      <c r="I62" s="134"/>
    </row>
    <row r="63" spans="1:35" ht="12.75">
      <c r="A63" s="178" t="s">
        <v>775</v>
      </c>
      <c r="B63" s="172" t="s">
        <v>2065</v>
      </c>
      <c r="C63" s="2792">
        <f ca="1">ROUND((C64+C65)/(1+'数据-取费表'!C42),0)</f>
        <v>26170</v>
      </c>
      <c r="D63" s="172"/>
      <c r="E63" s="173"/>
      <c r="F63" s="1996"/>
      <c r="G63" s="1996"/>
      <c r="H63" s="1998"/>
      <c r="I63" s="134"/>
      <c r="J63" s="3281" t="s">
        <v>2066</v>
      </c>
      <c r="K63" s="3049" t="s">
        <v>2067</v>
      </c>
      <c r="L63" s="3049"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f ca="1">D45</f>
        <v>27478</v>
      </c>
      <c r="D64" s="175" t="s">
        <v>32</v>
      </c>
      <c r="E64" s="177"/>
      <c r="F64" s="1996"/>
      <c r="G64" s="1996"/>
      <c r="H64" s="1998"/>
      <c r="I64" s="134"/>
      <c r="J64" s="3281"/>
      <c r="K64" s="3049" t="s">
        <v>2069</v>
      </c>
      <c r="L64" s="3049"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281"/>
      <c r="K65" s="3049" t="s">
        <v>2072</v>
      </c>
      <c r="L65" s="3049"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281"/>
      <c r="K66" s="3049" t="s">
        <v>2074</v>
      </c>
      <c r="L66" s="3049" t="e">
        <f>M49*0.5%</f>
        <v>#VALUE!</v>
      </c>
      <c r="M66" s="308" t="e">
        <f>IF(L66&gt;0.5,0.5,ROUND(L66,0))</f>
        <v>#VALUE!</v>
      </c>
      <c r="N66" s="2772" t="s">
        <v>2075</v>
      </c>
      <c r="Z66" s="1940"/>
      <c r="AI66" s="1941"/>
    </row>
    <row r="67" spans="1:35" ht="14.25" customHeight="1">
      <c r="A67" s="178" t="s">
        <v>773</v>
      </c>
      <c r="B67" s="179" t="s">
        <v>2076</v>
      </c>
      <c r="C67" s="2796">
        <f ca="1">C63-C66</f>
        <v>26170</v>
      </c>
      <c r="D67" s="175" t="s">
        <v>32</v>
      </c>
      <c r="E67" s="177"/>
      <c r="F67" s="1996"/>
      <c r="G67" s="1996"/>
      <c r="H67" s="1998"/>
      <c r="I67" s="134"/>
      <c r="J67" s="3281"/>
      <c r="K67" s="3049" t="s">
        <v>2077</v>
      </c>
      <c r="L67" s="3049"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f ca="1">IF(C67&lt;=0,0,ROUND(C67*D68,0))</f>
        <v>1439</v>
      </c>
      <c r="D68" s="2798">
        <f>'数据-取费表'!B41</f>
        <v>5.5000000000000007E-2</v>
      </c>
      <c r="E68" s="184"/>
      <c r="F68" s="1996"/>
      <c r="G68" s="1996"/>
      <c r="H68" s="1998"/>
      <c r="I68" s="134"/>
      <c r="J68" s="3281"/>
      <c r="K68" s="3049" t="s">
        <v>2079</v>
      </c>
      <c r="L68" s="3049"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281"/>
      <c r="K69" s="3049" t="s">
        <v>2080</v>
      </c>
      <c r="L69" s="3049"/>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40" t="s">
        <v>2081</v>
      </c>
      <c r="B70" s="3241"/>
      <c r="C70" s="3241"/>
      <c r="D70" s="3241"/>
      <c r="E70" s="3241"/>
      <c r="F70" s="3241"/>
      <c r="G70" s="3241"/>
      <c r="H70" s="3241"/>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9" t="s">
        <v>2062</v>
      </c>
      <c r="B71" s="3220"/>
      <c r="C71" s="3056"/>
      <c r="D71" s="3056"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26170</v>
      </c>
      <c r="D72" s="175" t="s">
        <v>32</v>
      </c>
      <c r="E72" s="3058"/>
      <c r="F72" s="3057"/>
      <c r="G72" s="3057"/>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131</v>
      </c>
      <c r="D73" s="175" t="s">
        <v>32</v>
      </c>
      <c r="E73" s="3058"/>
      <c r="F73" s="3057"/>
      <c r="G73" s="3057"/>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3058"/>
      <c r="F74" s="3057"/>
      <c r="G74" s="3057"/>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14" t="s">
        <v>2089</v>
      </c>
      <c r="F76" s="3188"/>
      <c r="G76" s="3188"/>
      <c r="H76" s="3239"/>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4.0500000000000001E-2</v>
      </c>
      <c r="E77" s="3048" t="s">
        <v>2091</v>
      </c>
      <c r="F77" s="192"/>
      <c r="G77" s="2010"/>
      <c r="H77" s="3059"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131</v>
      </c>
      <c r="D78" s="2805">
        <f>'数据-取费表'!B43</f>
        <v>5.000000000000001E-3</v>
      </c>
      <c r="E78" s="3198" t="s">
        <v>2093</v>
      </c>
      <c r="F78" s="3199"/>
      <c r="G78" s="3199"/>
      <c r="H78" s="3208"/>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6">
        <f ca="1">C72-C73</f>
        <v>26039</v>
      </c>
      <c r="D79" s="175" t="s">
        <v>32</v>
      </c>
      <c r="E79" s="3058"/>
      <c r="F79" s="3057"/>
      <c r="G79" s="3057"/>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198.7709923664122</v>
      </c>
      <c r="D80" s="175" t="s">
        <v>32</v>
      </c>
      <c r="E80" s="3048"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15578</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40" t="s">
        <v>2097</v>
      </c>
      <c r="B83" s="3241"/>
      <c r="C83" s="3241"/>
      <c r="D83" s="3241"/>
      <c r="E83" s="3241"/>
      <c r="F83" s="3241"/>
      <c r="G83" s="3241"/>
      <c r="H83" s="3241"/>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9" t="s">
        <v>2062</v>
      </c>
      <c r="B84" s="3220"/>
      <c r="C84" s="3056"/>
      <c r="D84" s="3056"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26170</v>
      </c>
      <c r="D85" s="175" t="s">
        <v>32</v>
      </c>
      <c r="E85" s="3058"/>
      <c r="F85" s="3057"/>
      <c r="G85" s="3057"/>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131</v>
      </c>
      <c r="D86" s="2809"/>
      <c r="E86" s="3058"/>
      <c r="F86" s="3057"/>
      <c r="G86" s="3057"/>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3053"/>
      <c r="F87" s="3054"/>
      <c r="G87" s="3054"/>
      <c r="H87" s="3055"/>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3054"/>
      <c r="G88" s="200" t="s">
        <v>2101</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4.0500000000000001E-2</v>
      </c>
      <c r="E89" s="199" t="s">
        <v>2102</v>
      </c>
      <c r="F89" s="3054"/>
      <c r="G89" s="3054"/>
      <c r="H89" s="3055"/>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3054"/>
      <c r="G90" s="3283" t="s">
        <v>2870</v>
      </c>
      <c r="H90" s="3284"/>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IF(H91="——",'成本法（公寓）'!C33,I91)</f>
        <v>0</v>
      </c>
      <c r="D91" s="2805"/>
      <c r="E91" s="3198" t="s">
        <v>2106</v>
      </c>
      <c r="F91" s="3199"/>
      <c r="G91" s="3199"/>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98" t="s">
        <v>2109</v>
      </c>
      <c r="F92" s="3199"/>
      <c r="G92" s="3199"/>
      <c r="H92" s="3208"/>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131</v>
      </c>
      <c r="D93" s="2805">
        <f>'数据-取费表'!B43</f>
        <v>5.000000000000001E-3</v>
      </c>
      <c r="E93" s="3198" t="s">
        <v>2093</v>
      </c>
      <c r="F93" s="3199"/>
      <c r="G93" s="3199"/>
      <c r="H93" s="3208"/>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09" t="s">
        <v>2113</v>
      </c>
      <c r="F94" s="3210"/>
      <c r="G94" s="3210"/>
      <c r="H94" s="3211"/>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6">
        <f ca="1">ROUND(C85-C86,0)</f>
        <v>26039</v>
      </c>
      <c r="D95" s="175" t="s">
        <v>32</v>
      </c>
      <c r="E95" s="3058"/>
      <c r="F95" s="3057"/>
      <c r="G95" s="3057"/>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198.7709923664122</v>
      </c>
      <c r="D96" s="175" t="s">
        <v>32</v>
      </c>
      <c r="E96" s="3048" t="str">
        <f ca="1">IF(C96&gt;=200%,"增值额超过扣除项目金额200%",IF(C96&gt;=100%,"增值额超过扣除项目金额100%，未超过200%",IF(C96&gt;=50%,"增值额超过扣除项目金额50%，未超过100%",IF(C96&lt;50%,"增值额未超过扣除项目金额50%"))))</f>
        <v>增值额超过扣除项目金额200%</v>
      </c>
      <c r="F96" s="3057"/>
      <c r="G96" s="3057"/>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15578</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82" t="s">
        <v>2115</v>
      </c>
      <c r="B100" s="3183"/>
      <c r="C100" s="3183"/>
      <c r="D100" s="3200"/>
      <c r="E100" s="3183" t="s">
        <v>2116</v>
      </c>
      <c r="F100" s="3183"/>
      <c r="G100" s="3183"/>
      <c r="H100" s="3200"/>
      <c r="I100" s="134"/>
    </row>
    <row r="101" spans="1:35" ht="18.75" customHeight="1">
      <c r="A101" s="3264" t="s">
        <v>2117</v>
      </c>
      <c r="B101" s="3265"/>
      <c r="C101" s="2813" t="str">
        <f>C4</f>
        <v>比较法-商业（公寓）</v>
      </c>
      <c r="D101" s="2814" t="str">
        <f>D4</f>
        <v>成本法（公寓）</v>
      </c>
      <c r="E101" s="3278" t="s">
        <v>2118</v>
      </c>
      <c r="F101" s="3232"/>
      <c r="G101" s="2015" t="s">
        <v>2119</v>
      </c>
      <c r="H101" s="2823">
        <f ca="1">H118</f>
        <v>27478</v>
      </c>
      <c r="I101" s="134"/>
    </row>
    <row r="102" spans="1:35" ht="18.75" customHeight="1">
      <c r="A102" s="3234" t="s">
        <v>2120</v>
      </c>
      <c r="B102" s="2812" t="s">
        <v>2119</v>
      </c>
      <c r="C102" s="2813">
        <f ca="1">C19</f>
        <v>28769</v>
      </c>
      <c r="D102" s="2814">
        <f ca="1">D19</f>
        <v>26186</v>
      </c>
      <c r="E102" s="3278"/>
      <c r="F102" s="3232"/>
      <c r="G102" s="2015" t="s">
        <v>2121</v>
      </c>
      <c r="H102" s="2783">
        <f ca="1">I118</f>
        <v>7305</v>
      </c>
      <c r="I102" s="134"/>
    </row>
    <row r="103" spans="1:35" ht="42.75" customHeight="1">
      <c r="A103" s="3234"/>
      <c r="B103" s="2812" t="s">
        <v>2121</v>
      </c>
      <c r="C103" s="2815">
        <f ca="1">C20</f>
        <v>7648</v>
      </c>
      <c r="D103" s="2816">
        <f ca="1">D20</f>
        <v>6961</v>
      </c>
      <c r="E103" s="3272" t="s">
        <v>2122</v>
      </c>
      <c r="F103" s="3273"/>
      <c r="G103" s="2016" t="s">
        <v>2123</v>
      </c>
      <c r="H103" s="2823">
        <f>IF(D36="正常操作",H104+H105+H106,H105+H106)</f>
        <v>0</v>
      </c>
      <c r="I103" s="134"/>
    </row>
    <row r="104" spans="1:35" ht="18.75" customHeight="1">
      <c r="A104" s="3234" t="s">
        <v>2124</v>
      </c>
      <c r="B104" s="2817" t="s">
        <v>2119</v>
      </c>
      <c r="C104" s="2818">
        <f ca="1">H118</f>
        <v>27478</v>
      </c>
      <c r="D104" s="2819"/>
      <c r="E104" s="1862" t="s">
        <v>2125</v>
      </c>
      <c r="F104" s="1853"/>
      <c r="G104" s="2016" t="s">
        <v>2123</v>
      </c>
      <c r="H104" s="2824">
        <f>IF(D36="同一抵押权人同一抵押物续贷",C36&amp;"（续贷，未扣减，详见特别提示）",C36)</f>
        <v>0</v>
      </c>
      <c r="I104" s="134"/>
    </row>
    <row r="105" spans="1:35" ht="18.75" customHeight="1" thickBot="1">
      <c r="A105" s="3235"/>
      <c r="B105" s="2820" t="s">
        <v>2121</v>
      </c>
      <c r="C105" s="2821">
        <f ca="1">I118</f>
        <v>7305</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31" t="str">
        <f>IF(项目基本情况!E8="已注销","——","3.房地产抵押价值")</f>
        <v>3.房地产抵押价值</v>
      </c>
      <c r="F107" s="3232"/>
      <c r="G107" s="2015" t="s">
        <v>2119</v>
      </c>
      <c r="H107" s="2823">
        <f ca="1">IF(E107="——","——",H101-H103)</f>
        <v>27478</v>
      </c>
      <c r="I107" s="134"/>
    </row>
    <row r="108" spans="1:35" ht="18.75" customHeight="1">
      <c r="A108" s="134"/>
      <c r="B108" s="134"/>
      <c r="C108" s="134"/>
      <c r="D108" s="134"/>
      <c r="E108" s="3231"/>
      <c r="F108" s="3232"/>
      <c r="G108" s="2015" t="s">
        <v>2121</v>
      </c>
      <c r="H108" s="2783">
        <f ca="1">ROUND(H107*10000/'数据-汇总表'!E3,0)</f>
        <v>4705</v>
      </c>
      <c r="I108" s="134"/>
    </row>
    <row r="109" spans="1:35" ht="18.75" customHeight="1">
      <c r="A109" s="134"/>
      <c r="B109" s="134"/>
      <c r="C109" s="134"/>
      <c r="D109" s="134"/>
      <c r="E109" s="3231" t="str">
        <f>IF(项目基本情况!E8="已注销及未注销","4.抵押担保权已注销时的房地产抵押价值",IF(项目基本情况!E8="已注销","3.抵押担保权已注销时的房地产抵押价值","——"))</f>
        <v>——</v>
      </c>
      <c r="F109" s="3232"/>
      <c r="G109" s="2015" t="s">
        <v>2119</v>
      </c>
      <c r="H109" s="2826" t="str">
        <f>IF(E109="——","——",H101-H105-H106)</f>
        <v>——</v>
      </c>
      <c r="I109" s="134"/>
    </row>
    <row r="110" spans="1:35" ht="18.75" customHeight="1">
      <c r="A110" s="134"/>
      <c r="B110" s="134"/>
      <c r="C110" s="134"/>
      <c r="D110" s="134"/>
      <c r="E110" s="3231"/>
      <c r="F110" s="3232"/>
      <c r="G110" s="2015" t="s">
        <v>2121</v>
      </c>
      <c r="H110" s="2783" t="str">
        <f>IF(H109="——","——",ROUND(H109*10000/'数据-汇总表'!E3,0))</f>
        <v>——</v>
      </c>
      <c r="I110" s="134"/>
    </row>
    <row r="111" spans="1:35" ht="18.75" customHeight="1">
      <c r="A111" s="134"/>
      <c r="B111" s="134"/>
      <c r="C111" s="134"/>
      <c r="D111" s="134"/>
      <c r="E111" s="3266" t="str">
        <f>IF(项目基本情况!E9="抵押净值",IF(OR(项目基本情况!E8="已注销",项目基本情况!E8="房地产抵押价值"),"4.抵押净值","5.抵押净值"),"——")</f>
        <v>——</v>
      </c>
      <c r="F111" s="3233"/>
      <c r="G111" s="2015" t="s">
        <v>2119</v>
      </c>
      <c r="H111" s="2823" t="str">
        <f>IF(E111="——","——",N59)</f>
        <v>——</v>
      </c>
      <c r="I111" s="134"/>
    </row>
    <row r="112" spans="1:35" ht="18.75" customHeight="1" thickBot="1">
      <c r="A112" s="134"/>
      <c r="B112" s="134"/>
      <c r="C112" s="134"/>
      <c r="D112" s="134"/>
      <c r="E112" s="3267"/>
      <c r="F112" s="3268"/>
      <c r="G112" s="2018" t="s">
        <v>2121</v>
      </c>
      <c r="H112" s="2827" t="str">
        <f>IF(E111="——","——",N61)</f>
        <v>——</v>
      </c>
      <c r="I112" s="134"/>
    </row>
    <row r="113" spans="1:27" ht="18.75" customHeight="1">
      <c r="A113" s="134"/>
      <c r="B113" s="134"/>
      <c r="C113" s="134"/>
      <c r="D113" s="134"/>
      <c r="E113" s="3236" t="s">
        <v>2127</v>
      </c>
      <c r="F113" s="3236"/>
      <c r="G113" s="3236"/>
      <c r="H113" s="3236"/>
      <c r="I113" s="134"/>
    </row>
    <row r="114" spans="1:27" ht="3.75" customHeight="1">
      <c r="A114" s="1935"/>
      <c r="B114" s="1935"/>
      <c r="C114" s="1935"/>
      <c r="D114" s="1935"/>
      <c r="E114" s="1997"/>
      <c r="F114" s="1997"/>
      <c r="G114" s="1997"/>
      <c r="H114" s="1997"/>
      <c r="I114" s="1935"/>
    </row>
    <row r="115" spans="1:27" ht="18.75" customHeight="1">
      <c r="A115" s="3249" t="s">
        <v>2129</v>
      </c>
      <c r="B115" s="3250"/>
      <c r="C115" s="3250"/>
      <c r="D115" s="3250"/>
      <c r="E115" s="3250"/>
      <c r="F115" s="3250"/>
      <c r="G115" s="3250"/>
      <c r="H115" s="3250"/>
      <c r="I115" s="3251"/>
    </row>
    <row r="116" spans="1:27" ht="27" customHeight="1">
      <c r="A116" s="3202" t="s">
        <v>2130</v>
      </c>
      <c r="B116" s="3237" t="s">
        <v>2131</v>
      </c>
      <c r="C116" s="3237" t="s">
        <v>2132</v>
      </c>
      <c r="D116" s="3253" t="s">
        <v>2133</v>
      </c>
      <c r="E116" s="3254"/>
      <c r="F116" s="3245" t="s">
        <v>2134</v>
      </c>
      <c r="G116" s="3245"/>
      <c r="H116" s="3202" t="s">
        <v>2135</v>
      </c>
      <c r="I116" s="3202"/>
    </row>
    <row r="117" spans="1:27" ht="18.75" customHeight="1">
      <c r="A117" s="3202"/>
      <c r="B117" s="3238"/>
      <c r="C117" s="3238"/>
      <c r="D117" s="3050" t="s">
        <v>2136</v>
      </c>
      <c r="E117" s="3050" t="s">
        <v>2137</v>
      </c>
      <c r="F117" s="3050" t="s">
        <v>2136</v>
      </c>
      <c r="G117" s="3050" t="s">
        <v>2138</v>
      </c>
      <c r="H117" s="3050" t="s">
        <v>2136</v>
      </c>
      <c r="I117" s="3050" t="s">
        <v>2138</v>
      </c>
    </row>
    <row r="118" spans="1:27" ht="24.75" customHeight="1">
      <c r="A118" s="2828" t="str">
        <f>项目基本情况!S2</f>
        <v>房地产</v>
      </c>
      <c r="B118" s="3050">
        <f>M18</f>
        <v>37615.929999999993</v>
      </c>
      <c r="C118" s="3050">
        <f>M19</f>
        <v>25077.279999999999</v>
      </c>
      <c r="D118" s="3050">
        <f ca="1">ROUND(IF(D32="总价",C34,E118*B118/10000),0)</f>
        <v>6292</v>
      </c>
      <c r="E118" s="3050">
        <f ca="1">ROUND(IF(C33="自定义",IF(D32="楼面单价",C34,D118*10000/B118),I118-G118),0)</f>
        <v>1673</v>
      </c>
      <c r="F118" s="3050">
        <f ca="1">ROUND(IF(D32="总价",C35,G118*B118/10000),0)</f>
        <v>21186</v>
      </c>
      <c r="G118" s="3050">
        <f ca="1">ROUND(IF(D32="楼面单价",C35,F118*10000/B118),0)</f>
        <v>5632</v>
      </c>
      <c r="H118" s="3050">
        <f ca="1">ROUND(IF(D32="总价",C32,I118*B118/10000),0)</f>
        <v>27478</v>
      </c>
      <c r="I118" s="3050">
        <f ca="1">ROUND(IF(D32="楼面单价",C32,H118*10000/B118),0)</f>
        <v>7305</v>
      </c>
    </row>
    <row r="119" spans="1:27" ht="18.75" customHeight="1">
      <c r="A119" s="3202" t="s">
        <v>2139</v>
      </c>
      <c r="B119" s="3202"/>
      <c r="C119" s="3202"/>
      <c r="D119" s="3242" t="str">
        <f ca="1">NUMBERSTRING(INT(D118*10000),2)&amp;"元整"</f>
        <v>陆仟贰佰玖拾贰万元整</v>
      </c>
      <c r="E119" s="3244"/>
      <c r="F119" s="3242" t="str">
        <f ca="1">NUMBERSTRING(INT(F118*10000),2)&amp;"元整"</f>
        <v>贰亿壹仟壹佰捌拾陆万元整</v>
      </c>
      <c r="G119" s="3244"/>
      <c r="H119" s="3242" t="str">
        <f ca="1">NUMBERSTRING(INT(H118*10000),2)&amp;"元整"</f>
        <v>贰亿柒仟肆佰柒拾捌万元整</v>
      </c>
      <c r="I119" s="3244"/>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46" t="s">
        <v>2139</v>
      </c>
      <c r="B121" s="3247"/>
      <c r="C121" s="3248"/>
      <c r="D121" s="3242" t="str">
        <f>IF(D120=0,"零元整",NUMBERSTRING(INT(D120*10000),2)&amp;"元整")</f>
        <v>零元整</v>
      </c>
      <c r="E121" s="3243"/>
      <c r="F121" s="3243"/>
      <c r="G121" s="3243"/>
      <c r="H121" s="3243"/>
      <c r="I121" s="3244"/>
      <c r="AA121" s="734"/>
    </row>
    <row r="122" spans="1:27" ht="18.75" customHeight="1">
      <c r="A122" s="3233" t="str">
        <f>IF(项目基本情况!B9="房地产市场价值","",MID(E107,3,LEN(E107)-2))</f>
        <v>房地产抵押价值</v>
      </c>
      <c r="B122" s="3233"/>
      <c r="C122" s="3233"/>
      <c r="D122" s="3269">
        <f ca="1">H107</f>
        <v>27478</v>
      </c>
      <c r="E122" s="3270"/>
      <c r="F122" s="3270"/>
      <c r="G122" s="3270"/>
      <c r="H122" s="3270"/>
      <c r="I122" s="3271"/>
      <c r="AA122" s="734"/>
    </row>
    <row r="123" spans="1:27" ht="18.75" customHeight="1">
      <c r="A123" s="3202" t="s">
        <v>2139</v>
      </c>
      <c r="B123" s="3202"/>
      <c r="C123" s="3202"/>
      <c r="D123" s="3242" t="str">
        <f ca="1">NUMBERSTRING(INT(D122*10000),2)&amp;"元整"</f>
        <v>贰亿柒仟肆佰柒拾捌万元整</v>
      </c>
      <c r="E123" s="3243"/>
      <c r="F123" s="3243"/>
      <c r="G123" s="3243"/>
      <c r="H123" s="3243"/>
      <c r="I123" s="3244"/>
      <c r="AA123" s="734"/>
    </row>
    <row r="124" spans="1:27" ht="18.75" customHeight="1">
      <c r="A124" s="3233" t="str">
        <f>IF(项目基本情况!B9="房地产市场价值","",MID(E109,3,LEN(E109)-2))</f>
        <v/>
      </c>
      <c r="B124" s="3233"/>
      <c r="C124" s="3233"/>
      <c r="D124" s="3269" t="str">
        <f>H109</f>
        <v>——</v>
      </c>
      <c r="E124" s="3270"/>
      <c r="F124" s="3270"/>
      <c r="G124" s="3270"/>
      <c r="H124" s="3270"/>
      <c r="I124" s="3271"/>
      <c r="AA124" s="734"/>
    </row>
    <row r="125" spans="1:27" ht="18.75" customHeight="1">
      <c r="A125" s="3202" t="s">
        <v>2139</v>
      </c>
      <c r="B125" s="3202"/>
      <c r="C125" s="3202"/>
      <c r="D125" s="3242" t="e">
        <f>NUMBERSTRING(INT(D124*10000),2)&amp;"元整"</f>
        <v>#VALUE!</v>
      </c>
      <c r="E125" s="3243"/>
      <c r="F125" s="3243"/>
      <c r="G125" s="3243"/>
      <c r="H125" s="3243"/>
      <c r="I125" s="3244"/>
      <c r="AA125" s="734"/>
    </row>
    <row r="126" spans="1:27" ht="18.75" customHeight="1">
      <c r="A126" s="3233" t="str">
        <f>IF(项目基本情况!B9="房地产市场价值","",MID(E111,3,LEN(E111)-2))</f>
        <v/>
      </c>
      <c r="B126" s="3233"/>
      <c r="C126" s="3233"/>
      <c r="D126" s="3269" t="str">
        <f>H111</f>
        <v>——</v>
      </c>
      <c r="E126" s="3270"/>
      <c r="F126" s="3270"/>
      <c r="G126" s="3270"/>
      <c r="H126" s="3270"/>
      <c r="I126" s="3271"/>
      <c r="AA126" s="734"/>
    </row>
    <row r="127" spans="1:27" ht="18.75" customHeight="1">
      <c r="A127" s="3202" t="s">
        <v>2139</v>
      </c>
      <c r="B127" s="3202"/>
      <c r="C127" s="3202"/>
      <c r="D127" s="3242" t="e">
        <f>NUMBERSTRING(INT(D126*10000),2)&amp;"元整"</f>
        <v>#VALUE!</v>
      </c>
      <c r="E127" s="3243"/>
      <c r="F127" s="3243"/>
      <c r="G127" s="3243"/>
      <c r="H127" s="3243"/>
      <c r="I127" s="3244"/>
      <c r="AA127" s="734"/>
    </row>
    <row r="128" spans="1:27" ht="21.75" customHeight="1">
      <c r="A128" s="3252" t="s">
        <v>2140</v>
      </c>
      <c r="B128" s="3252"/>
      <c r="C128" s="3252"/>
      <c r="D128" s="3252"/>
      <c r="E128" s="3252"/>
      <c r="F128" s="3252"/>
      <c r="G128" s="3252"/>
      <c r="H128" s="3252"/>
      <c r="I128" s="3252"/>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205" priority="10" stopIfTrue="1" operator="equal">
      <formula>25</formula>
    </cfRule>
  </conditionalFormatting>
  <conditionalFormatting sqref="C8:C9">
    <cfRule type="cellIs" dxfId="204" priority="9" stopIfTrue="1" operator="equal">
      <formula>15</formula>
    </cfRule>
  </conditionalFormatting>
  <conditionalFormatting sqref="C14:C16">
    <cfRule type="cellIs" dxfId="203" priority="8" stopIfTrue="1" operator="equal">
      <formula>30</formula>
    </cfRule>
  </conditionalFormatting>
  <conditionalFormatting sqref="D5:D7">
    <cfRule type="cellIs" dxfId="202" priority="7" stopIfTrue="1" operator="equal">
      <formula>25</formula>
    </cfRule>
  </conditionalFormatting>
  <conditionalFormatting sqref="D8:D9">
    <cfRule type="cellIs" dxfId="201" priority="6" stopIfTrue="1" operator="equal">
      <formula>15</formula>
    </cfRule>
  </conditionalFormatting>
  <conditionalFormatting sqref="C10:D13">
    <cfRule type="cellIs" dxfId="200" priority="5" stopIfTrue="1" operator="equal">
      <formula>15</formula>
    </cfRule>
  </conditionalFormatting>
  <conditionalFormatting sqref="D14:D16">
    <cfRule type="cellIs" dxfId="199" priority="4"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D1" zoomScaleNormal="100" zoomScaleSheetLayoutView="100" zoomScalePageLayoutView="80" workbookViewId="0">
      <selection activeCell="G20" sqref="G2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4036</v>
      </c>
      <c r="D1" s="1935"/>
      <c r="E1" s="1935"/>
      <c r="F1" s="1937" t="s">
        <v>1950</v>
      </c>
      <c r="G1" s="1748"/>
      <c r="H1" s="1938" t="str">
        <f>IF(G1="现房","——","估价对象范围")</f>
        <v>估价对象范围</v>
      </c>
      <c r="I1" s="1939"/>
    </row>
    <row r="2" spans="1:12" ht="21.75" customHeight="1" thickBot="1">
      <c r="A2" s="3222" t="str">
        <f>项目基本情况!S2</f>
        <v>房地产</v>
      </c>
      <c r="B2" s="3223"/>
      <c r="C2" s="3223"/>
      <c r="D2" s="3223"/>
      <c r="E2" s="3223"/>
      <c r="F2" s="3223"/>
      <c r="G2" s="3223"/>
      <c r="H2" s="3223"/>
      <c r="I2" s="3224"/>
    </row>
    <row r="3" spans="1:12" ht="12.75">
      <c r="A3" s="3226" t="s">
        <v>1951</v>
      </c>
      <c r="B3" s="3227"/>
      <c r="C3" s="3227"/>
      <c r="D3" s="3227"/>
      <c r="E3" s="3227"/>
      <c r="F3" s="3227"/>
      <c r="G3" s="3227"/>
      <c r="H3" s="3227"/>
      <c r="I3" s="3227"/>
    </row>
    <row r="4" spans="1:12" ht="14.25">
      <c r="A4" s="1942" t="s">
        <v>1952</v>
      </c>
      <c r="B4" s="1943" t="s">
        <v>1953</v>
      </c>
      <c r="C4" s="1944" t="s">
        <v>4171</v>
      </c>
      <c r="D4" s="1944" t="s">
        <v>4175</v>
      </c>
      <c r="E4" s="3228" t="s">
        <v>1954</v>
      </c>
      <c r="F4" s="3229"/>
      <c r="G4" s="3229"/>
      <c r="H4" s="3229"/>
      <c r="I4" s="3230"/>
      <c r="K4" s="151" t="str">
        <f>IF(ISNUMBER(FIND("比较法",'结果表(合院)'!C4)),"比较法",IF(ISNUMBER(FIND("成本法",'结果表(合院)'!C4)),"成本法",IF(ISNUMBER(FIND("假设开发法",'结果表(合院)'!C4)),"假设开发法",IF(ISNUMBER(FIND("收益法",'结果表(合院)'!C4)),"收益法","基准地价系数修正法"))))</f>
        <v>比较法</v>
      </c>
      <c r="L4" s="151" t="str">
        <f>IF(ISNUMBER(FIND("比较法",'结果表(合院)'!D4)),"比较法",IF(ISNUMBER(FIND("成本法",'结果表(合院)'!D4)),"成本法",IF(ISNUMBER(FIND("假设开发法",'结果表(合院)'!D4)),"假设开发法",IF(ISNUMBER(FIND("收益法",'结果表(合院)'!D4)),"收益法","基准地价系数修正法"))))</f>
        <v>成本法</v>
      </c>
    </row>
    <row r="5" spans="1:12" ht="12.75">
      <c r="A5" s="3202" t="s">
        <v>1955</v>
      </c>
      <c r="B5" s="3189">
        <v>25</v>
      </c>
      <c r="C5" s="3205"/>
      <c r="D5" s="3225"/>
      <c r="E5" s="136" t="s">
        <v>1956</v>
      </c>
      <c r="F5" s="1945"/>
      <c r="G5" s="1945"/>
      <c r="H5" s="1945"/>
      <c r="I5" s="1559"/>
    </row>
    <row r="6" spans="1:12" ht="12.75">
      <c r="A6" s="3202"/>
      <c r="B6" s="3189"/>
      <c r="C6" s="3206"/>
      <c r="D6" s="3225"/>
      <c r="E6" s="136" t="s">
        <v>1957</v>
      </c>
      <c r="F6" s="1945"/>
      <c r="G6" s="1945"/>
      <c r="H6" s="1945"/>
      <c r="I6" s="1559"/>
    </row>
    <row r="7" spans="1:12" ht="12.75">
      <c r="A7" s="3202"/>
      <c r="B7" s="3189"/>
      <c r="C7" s="3207"/>
      <c r="D7" s="3225"/>
      <c r="E7" s="136" t="s">
        <v>1958</v>
      </c>
      <c r="F7" s="1945"/>
      <c r="G7" s="1945"/>
      <c r="H7" s="1945"/>
      <c r="I7" s="1559"/>
    </row>
    <row r="8" spans="1:12" ht="12.75">
      <c r="A8" s="3202" t="s">
        <v>1959</v>
      </c>
      <c r="B8" s="3189">
        <v>15</v>
      </c>
      <c r="C8" s="3205"/>
      <c r="D8" s="3225"/>
      <c r="E8" s="136" t="s">
        <v>1960</v>
      </c>
      <c r="F8" s="1945"/>
      <c r="G8" s="1945"/>
      <c r="H8" s="1945"/>
      <c r="I8" s="1559"/>
    </row>
    <row r="9" spans="1:12" ht="12.75">
      <c r="A9" s="3202"/>
      <c r="B9" s="3189"/>
      <c r="C9" s="3207"/>
      <c r="D9" s="3225"/>
      <c r="E9" s="136" t="s">
        <v>1961</v>
      </c>
      <c r="F9" s="1945"/>
      <c r="G9" s="1945"/>
      <c r="H9" s="1945"/>
      <c r="I9" s="1559"/>
    </row>
    <row r="10" spans="1:12" ht="12.75">
      <c r="A10" s="3202" t="s">
        <v>1962</v>
      </c>
      <c r="B10" s="3189">
        <v>15</v>
      </c>
      <c r="C10" s="3205"/>
      <c r="D10" s="3225"/>
      <c r="E10" s="136" t="s">
        <v>1963</v>
      </c>
      <c r="F10" s="1945"/>
      <c r="G10" s="1945"/>
      <c r="H10" s="1945"/>
      <c r="I10" s="1559"/>
    </row>
    <row r="11" spans="1:12" ht="12.75">
      <c r="A11" s="3202"/>
      <c r="B11" s="3189"/>
      <c r="C11" s="3207"/>
      <c r="D11" s="3225"/>
      <c r="E11" s="136" t="s">
        <v>1964</v>
      </c>
      <c r="F11" s="1945"/>
      <c r="G11" s="1945"/>
      <c r="H11" s="1945"/>
      <c r="I11" s="1559"/>
    </row>
    <row r="12" spans="1:12" ht="12.75">
      <c r="A12" s="3202" t="s">
        <v>1965</v>
      </c>
      <c r="B12" s="3189">
        <v>15</v>
      </c>
      <c r="C12" s="3205"/>
      <c r="D12" s="3225"/>
      <c r="E12" s="136" t="s">
        <v>1966</v>
      </c>
      <c r="F12" s="1945"/>
      <c r="G12" s="1945"/>
      <c r="H12" s="1945"/>
      <c r="I12" s="1559"/>
    </row>
    <row r="13" spans="1:12" ht="12.75">
      <c r="A13" s="3202"/>
      <c r="B13" s="3189"/>
      <c r="C13" s="3207"/>
      <c r="D13" s="3225"/>
      <c r="E13" s="136" t="s">
        <v>1967</v>
      </c>
      <c r="F13" s="1945"/>
      <c r="G13" s="1945"/>
      <c r="H13" s="1945"/>
      <c r="I13" s="1559"/>
    </row>
    <row r="14" spans="1:12" ht="12.75">
      <c r="A14" s="3202" t="s">
        <v>1968</v>
      </c>
      <c r="B14" s="3189">
        <v>30</v>
      </c>
      <c r="C14" s="3205">
        <v>7</v>
      </c>
      <c r="D14" s="3225">
        <v>3</v>
      </c>
      <c r="E14" s="136" t="s">
        <v>1969</v>
      </c>
      <c r="F14" s="1945"/>
      <c r="G14" s="1945"/>
      <c r="H14" s="1945"/>
      <c r="I14" s="1559"/>
    </row>
    <row r="15" spans="1:12" ht="12.75">
      <c r="A15" s="3202"/>
      <c r="B15" s="3189"/>
      <c r="C15" s="3206"/>
      <c r="D15" s="3225"/>
      <c r="E15" s="136" t="s">
        <v>1970</v>
      </c>
      <c r="F15" s="1945"/>
      <c r="G15" s="1945"/>
      <c r="H15" s="1945"/>
      <c r="I15" s="1559"/>
    </row>
    <row r="16" spans="1:12" ht="12.75">
      <c r="A16" s="3202"/>
      <c r="B16" s="3189"/>
      <c r="C16" s="3207"/>
      <c r="D16" s="3225"/>
      <c r="E16" s="136" t="s">
        <v>1971</v>
      </c>
      <c r="F16" s="1945"/>
      <c r="G16" s="1945"/>
      <c r="H16" s="1945"/>
      <c r="I16" s="1559"/>
    </row>
    <row r="17" spans="1:36" ht="15">
      <c r="A17" s="1946" t="s">
        <v>1972</v>
      </c>
      <c r="B17" s="60"/>
      <c r="C17" s="137">
        <f>SUM(C5:C16)</f>
        <v>7</v>
      </c>
      <c r="D17" s="137">
        <f>SUM(D5:D16)</f>
        <v>3</v>
      </c>
      <c r="E17" s="134"/>
      <c r="F17" s="134"/>
      <c r="G17" s="134"/>
      <c r="H17" s="134"/>
      <c r="I17" s="134"/>
      <c r="K17" s="308"/>
      <c r="L17" s="308" t="s">
        <v>1973</v>
      </c>
      <c r="M17" s="308" t="s">
        <v>1974</v>
      </c>
    </row>
    <row r="18" spans="1:36" ht="31.9" customHeight="1" thickBot="1">
      <c r="A18" s="1947" t="s">
        <v>1975</v>
      </c>
      <c r="B18" s="1948"/>
      <c r="C18" s="138">
        <f>ROUND(C17/SUM(C17:D17),2)</f>
        <v>0.7</v>
      </c>
      <c r="D18" s="138">
        <f>1-C18</f>
        <v>0.30000000000000004</v>
      </c>
      <c r="E18" s="3212" t="s">
        <v>2872</v>
      </c>
      <c r="F18" s="3213"/>
      <c r="G18" s="3213"/>
      <c r="H18" s="3213"/>
      <c r="I18" s="3213"/>
      <c r="K18" s="308" t="s">
        <v>1976</v>
      </c>
      <c r="L18" s="308">
        <f>IF(C1="",'数据-汇总表'!E3,SUMIF(项目类型,C1,'数据-汇总表'!E17:E26)+SUMIF(项目类型,C1,'数据-汇总表'!I17:I26))</f>
        <v>20786.89</v>
      </c>
      <c r="M18" s="308">
        <f>IF(C1="",'数据-汇总表'!E3,SUMIF(项目类型,C1,'数据-汇总表'!E17:E26))</f>
        <v>20786.89</v>
      </c>
    </row>
    <row r="19" spans="1:36" ht="15">
      <c r="A19" s="1949" t="s">
        <v>1977</v>
      </c>
      <c r="B19" s="1950" t="s">
        <v>1978</v>
      </c>
      <c r="C19" s="139">
        <f ca="1">SUMIF(INDIRECT("'"&amp;C4&amp;"'"&amp;"!A:A"),'结果表(合院)'!B19,INDIRECT("'"&amp;C4&amp;"'"&amp;"!B:B"))</f>
        <v>32947</v>
      </c>
      <c r="D19" s="140">
        <f ca="1">SUMIF(INDIRECT("'"&amp;D4&amp;"'"&amp;"!A:A"),'结果表(合院)'!B19,INDIRECT("'"&amp;D4&amp;"'"&amp;"!B:B"))</f>
        <v>15076</v>
      </c>
      <c r="E19" s="1949" t="s">
        <v>1979</v>
      </c>
      <c r="F19" s="1950" t="s">
        <v>1978</v>
      </c>
      <c r="G19" s="141">
        <f ca="1">ROUND(C19*$C$18+D19*$D$18,0)</f>
        <v>27586</v>
      </c>
      <c r="H19" s="1951" t="s">
        <v>1980</v>
      </c>
      <c r="I19" s="134"/>
      <c r="K19" s="308" t="s">
        <v>1981</v>
      </c>
      <c r="L19" s="308">
        <f>IF(C1="",'数据-汇总表'!D3,SUMIF(项目类型,C1,'数据-汇总表'!D17:D26)+SUMIF(项目类型,C1,'数据-汇总表'!H17:H27))</f>
        <v>13857.93</v>
      </c>
      <c r="M19" s="308">
        <f>IF(C1="",'数据-汇总表'!D3,SUMIF(项目类型,C1,'数据-汇总表'!D17:D26))</f>
        <v>13857.93</v>
      </c>
    </row>
    <row r="20" spans="1:36" ht="15">
      <c r="A20" s="1952"/>
      <c r="B20" s="1157" t="s">
        <v>1982</v>
      </c>
      <c r="C20" s="142">
        <f ca="1">SUMIF(INDIRECT("'"&amp;C4&amp;"'"&amp;"!A:A"),'结果表(合院)'!B20,INDIRECT("'"&amp;C4&amp;"'"&amp;"!B:B"))</f>
        <v>15850</v>
      </c>
      <c r="D20" s="143">
        <f ca="1">SUMIF(INDIRECT("'"&amp;D4&amp;"'"&amp;"!A:A"),'结果表(合院)'!B20,INDIRECT("'"&amp;D4&amp;"'"&amp;"!B:B"))</f>
        <v>7253</v>
      </c>
      <c r="E20" s="1952"/>
      <c r="F20" s="1157" t="s">
        <v>1982</v>
      </c>
      <c r="G20" s="144">
        <f ca="1">ROUND(C20*$C$18+D20*$D$18,0)</f>
        <v>13271</v>
      </c>
      <c r="H20" s="917" t="s">
        <v>1983</v>
      </c>
      <c r="I20" s="134"/>
    </row>
    <row r="21" spans="1:36" ht="15" customHeight="1" thickBot="1">
      <c r="A21" s="937"/>
      <c r="B21" s="1953" t="s">
        <v>1984</v>
      </c>
      <c r="C21" s="728">
        <f ca="1">ROUND(C19*10000/L19,0)</f>
        <v>23775</v>
      </c>
      <c r="D21" s="729">
        <f ca="1">ROUND(D19*10000/L19,0)</f>
        <v>10879</v>
      </c>
      <c r="E21" s="937"/>
      <c r="F21" s="1953" t="s">
        <v>1984</v>
      </c>
      <c r="G21" s="145">
        <f ca="1">ROUND(G19*10000/L19,0)</f>
        <v>19906</v>
      </c>
      <c r="H21" s="1954" t="s">
        <v>1983</v>
      </c>
      <c r="I21" s="134"/>
    </row>
    <row r="22" spans="1:36" ht="15" thickBot="1">
      <c r="A22" s="1876" t="s">
        <v>1985</v>
      </c>
      <c r="B22" s="1955"/>
      <c r="C22" s="1956"/>
      <c r="D22" s="730">
        <f ca="1">IF(C19&lt;D19,D19/C19-1,C19/D19-1)</f>
        <v>1.1853940037145132</v>
      </c>
      <c r="E22" s="134"/>
      <c r="F22" s="134"/>
      <c r="G22" s="134"/>
      <c r="H22" s="134"/>
      <c r="I22" s="134"/>
    </row>
    <row r="23" spans="1:36" ht="13.5" thickBot="1">
      <c r="A23" s="1935"/>
      <c r="B23" s="1935"/>
      <c r="C23" s="1935"/>
      <c r="D23" s="1935"/>
      <c r="E23" s="134"/>
      <c r="F23" s="134"/>
      <c r="G23" s="134"/>
      <c r="H23" s="134"/>
      <c r="I23" s="134"/>
    </row>
    <row r="24" spans="1:36" ht="14.25">
      <c r="A24" s="3196" t="s">
        <v>1986</v>
      </c>
      <c r="B24" s="1950" t="s">
        <v>1978</v>
      </c>
      <c r="C24" s="141">
        <f>IF(B30=0,0,D30)</f>
        <v>0</v>
      </c>
      <c r="D24" s="1957"/>
      <c r="E24" s="134"/>
      <c r="F24" s="134"/>
      <c r="G24" s="134"/>
      <c r="H24" s="134"/>
      <c r="I24" s="134"/>
    </row>
    <row r="25" spans="1:36" ht="14.25">
      <c r="A25" s="3197"/>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27586</v>
      </c>
      <c r="D32" s="1963" t="s">
        <v>4199</v>
      </c>
      <c r="E32" s="134"/>
      <c r="F32" s="134"/>
      <c r="G32" s="134"/>
      <c r="H32" s="134"/>
      <c r="I32" s="134"/>
    </row>
    <row r="33" spans="1:15" ht="15">
      <c r="A33" s="894" t="s">
        <v>1993</v>
      </c>
      <c r="B33" s="1964"/>
      <c r="C33" s="1965" t="s">
        <v>4198</v>
      </c>
      <c r="D33" s="1966" t="s">
        <v>4175</v>
      </c>
      <c r="E33" s="1967" t="s">
        <v>1994</v>
      </c>
      <c r="F33" s="1968" t="str">
        <f>IF(D32="楼面单价","取值（单价）","取值（总价）")</f>
        <v>取值（总价）</v>
      </c>
      <c r="G33" s="134"/>
      <c r="H33" s="134"/>
      <c r="I33" s="134"/>
    </row>
    <row r="34" spans="1:15" ht="15">
      <c r="A34" s="1969"/>
      <c r="B34" s="1970" t="s">
        <v>1995</v>
      </c>
      <c r="C34" s="153">
        <f ca="1">IF(C33="自定义",F34,C32-C35)</f>
        <v>6317</v>
      </c>
      <c r="D34" s="970">
        <f ca="1">IF(C33="自定义",ROUND(C34/C32,3),IF(C33="收益比率",SUMIF(INDIRECT("'"&amp;D33&amp;"'"&amp;"!b:b"),"土地收益比率",INDIRECT("'"&amp;D33&amp;"'"&amp;"!c:c")),SUMIF(INDIRECT("'"&amp;D33&amp;"'"&amp;"!b:b"),"土地成本比率",INDIRECT("'"&amp;D33&amp;"'"&amp;"!c:c"))))</f>
        <v>0.22899999999999998</v>
      </c>
      <c r="E34" s="1971" t="s">
        <v>1996</v>
      </c>
      <c r="F34" s="1500"/>
      <c r="G34" s="134"/>
      <c r="H34" s="134"/>
      <c r="I34" s="134"/>
    </row>
    <row r="35" spans="1:15" ht="15.75" thickBot="1">
      <c r="A35" s="1972"/>
      <c r="B35" s="1973" t="s">
        <v>1997</v>
      </c>
      <c r="C35" s="1332">
        <f ca="1">IF(C33="自定义",F35,ROUND(C32*D35,0))</f>
        <v>21269</v>
      </c>
      <c r="D35" s="1333">
        <f ca="1">IF(C33="自定义",ROUND(C35/C32,3),IF(C33="收益比率",SUMIF(INDIRECT("'"&amp;D33&amp;"'"&amp;"!b:b"),"建筑物收益比率",INDIRECT("'"&amp;D33&amp;"'"&amp;"!c:c")),SUMIF(INDIRECT("'"&amp;D33&amp;"'"&amp;"!b:b"),"建筑物成本比率",INDIRECT("'"&amp;D33&amp;"'"&amp;"!c:c"))))</f>
        <v>0.77100000000000002</v>
      </c>
      <c r="E35" s="1974" t="s">
        <v>1998</v>
      </c>
      <c r="F35" s="159"/>
      <c r="G35" s="134"/>
      <c r="H35" s="134"/>
      <c r="I35" s="134"/>
    </row>
    <row r="36" spans="1:15" ht="15.75" thickBot="1">
      <c r="A36" s="3216" t="s">
        <v>1999</v>
      </c>
      <c r="B36" s="1975" t="s">
        <v>2000</v>
      </c>
      <c r="C36" s="150"/>
      <c r="D36" s="1976"/>
      <c r="E36" s="1977"/>
      <c r="F36" s="1978"/>
      <c r="G36" s="134"/>
      <c r="H36" s="134"/>
      <c r="I36" s="134"/>
    </row>
    <row r="37" spans="1:15" ht="15.75" thickBot="1">
      <c r="A37" s="3217"/>
      <c r="B37" s="1862" t="s">
        <v>2001</v>
      </c>
      <c r="C37" s="152"/>
      <c r="D37" s="1301"/>
      <c r="E37" s="1301"/>
      <c r="F37" s="1978"/>
      <c r="G37" s="134"/>
      <c r="H37" s="134"/>
      <c r="I37" s="134"/>
    </row>
    <row r="38" spans="1:15" ht="15.75" thickBot="1">
      <c r="A38" s="3218"/>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93" t="s">
        <v>2013</v>
      </c>
      <c r="B45" s="3194"/>
      <c r="C45" s="3195"/>
      <c r="D45" s="160">
        <f ca="1">ROUND(H101*F45,0)</f>
        <v>27586</v>
      </c>
      <c r="E45" s="161" t="s">
        <v>2014</v>
      </c>
      <c r="F45" s="162">
        <v>1</v>
      </c>
      <c r="G45" s="163" t="s">
        <v>2015</v>
      </c>
      <c r="H45" s="134"/>
      <c r="I45" s="134"/>
      <c r="J45" s="3274" t="s">
        <v>2016</v>
      </c>
      <c r="K45" s="3274"/>
      <c r="L45" s="3274"/>
      <c r="M45" s="3274"/>
      <c r="N45" s="3274"/>
      <c r="O45" s="3274"/>
    </row>
    <row r="46" spans="1:15" ht="14.25" customHeight="1">
      <c r="A46" s="3190" t="s">
        <v>2017</v>
      </c>
      <c r="B46" s="3191"/>
      <c r="C46" s="3191"/>
      <c r="D46" s="3191"/>
      <c r="E46" s="3191"/>
      <c r="F46" s="3191"/>
      <c r="G46" s="3192"/>
      <c r="H46" s="1994"/>
      <c r="I46" s="164"/>
      <c r="J46" s="3051">
        <v>1</v>
      </c>
      <c r="K46" s="3255" t="s">
        <v>2018</v>
      </c>
      <c r="L46" s="3255"/>
      <c r="M46" s="3275"/>
      <c r="N46" s="3275"/>
      <c r="O46" s="3275"/>
    </row>
    <row r="47" spans="1:15" ht="12" customHeight="1">
      <c r="A47" s="165" t="s">
        <v>2019</v>
      </c>
      <c r="B47" s="166"/>
      <c r="C47" s="167"/>
      <c r="D47" s="1247" t="s">
        <v>2020</v>
      </c>
      <c r="E47" s="308" t="s">
        <v>2021</v>
      </c>
      <c r="F47" s="168" t="s">
        <v>2022</v>
      </c>
      <c r="G47" s="2774" t="s">
        <v>2023</v>
      </c>
      <c r="H47" s="2775"/>
      <c r="I47" s="164"/>
      <c r="J47" s="3051">
        <v>2</v>
      </c>
      <c r="K47" s="3255" t="s">
        <v>2024</v>
      </c>
      <c r="L47" s="3255"/>
      <c r="M47" s="3276">
        <f>'数据-取费表'!B2</f>
        <v>44153</v>
      </c>
      <c r="N47" s="3276"/>
      <c r="O47" s="3276"/>
    </row>
    <row r="48" spans="1:15" ht="25.5">
      <c r="A48" s="3221" t="s">
        <v>2025</v>
      </c>
      <c r="B48" s="3204"/>
      <c r="C48" s="3204"/>
      <c r="D48" s="3048" t="b">
        <f>IF(H48="情况1",0,IF(H48="情况2",D52,IF(H48="情况3",D53,IF(H48="情况4",D54))))</f>
        <v>0</v>
      </c>
      <c r="E48" s="3061" t="str">
        <f>IF(H48="情况4","(销售额-原购置价)×税（费）率","销售额×税（费）率")</f>
        <v>销售额×税（费）率</v>
      </c>
      <c r="F48" s="2776">
        <f>IF(H48="情况1","免征",'数据-取费表'!B41)</f>
        <v>5.5000000000000007E-2</v>
      </c>
      <c r="G48" s="2777" t="s">
        <v>2026</v>
      </c>
      <c r="H48" s="2778"/>
      <c r="I48" s="1994"/>
      <c r="J48" s="3051">
        <v>3</v>
      </c>
      <c r="K48" s="3255" t="s">
        <v>2027</v>
      </c>
      <c r="L48" s="3255"/>
      <c r="M48" s="3277">
        <f ca="1">H101</f>
        <v>27586</v>
      </c>
      <c r="N48" s="3277"/>
      <c r="O48" s="3277"/>
    </row>
    <row r="49" spans="1:35" ht="25.5" customHeight="1">
      <c r="A49" s="3060" t="s">
        <v>2028</v>
      </c>
      <c r="B49" s="3188" t="s">
        <v>2029</v>
      </c>
      <c r="C49" s="3188"/>
      <c r="D49" s="1777">
        <v>0</v>
      </c>
      <c r="E49" s="330" t="s">
        <v>2030</v>
      </c>
      <c r="F49" s="3045" t="s">
        <v>34</v>
      </c>
      <c r="G49" s="3261"/>
      <c r="H49" s="2530" t="s">
        <v>2875</v>
      </c>
      <c r="I49" s="2531"/>
      <c r="J49" s="3051">
        <v>4</v>
      </c>
      <c r="K49" s="3255" t="str">
        <f>IF(项目基本情况!E8="房地产抵押价值","房地产抵押价值","抵押担保权已注销时的房地产抵押价值")</f>
        <v>抵押担保权已注销时的房地产抵押价值</v>
      </c>
      <c r="L49" s="3255"/>
      <c r="M49" s="3277" t="str">
        <f>IF(项目基本情况!E8="房地产抵押价值",H107,H109)</f>
        <v>——</v>
      </c>
      <c r="N49" s="3277"/>
      <c r="O49" s="3277"/>
    </row>
    <row r="50" spans="1:35" ht="25.5" customHeight="1">
      <c r="A50" s="2779"/>
      <c r="B50" s="3188" t="s">
        <v>2031</v>
      </c>
      <c r="C50" s="3188"/>
      <c r="D50" s="2780"/>
      <c r="E50" s="338"/>
      <c r="F50" s="3045"/>
      <c r="G50" s="3262"/>
      <c r="H50" s="2532" t="s">
        <v>2876</v>
      </c>
      <c r="I50" s="2531"/>
      <c r="J50" s="3274" t="s">
        <v>2032</v>
      </c>
      <c r="K50" s="3274"/>
      <c r="L50" s="3274"/>
      <c r="M50" s="3274"/>
      <c r="N50" s="3274"/>
      <c r="O50" s="3274"/>
    </row>
    <row r="51" spans="1:35" ht="20.45" customHeight="1">
      <c r="A51" s="2781"/>
      <c r="B51" s="3188" t="s">
        <v>2033</v>
      </c>
      <c r="C51" s="3188"/>
      <c r="D51" s="1247"/>
      <c r="E51" s="333"/>
      <c r="F51" s="3045"/>
      <c r="G51" s="3263"/>
      <c r="H51" s="2532" t="s">
        <v>2877</v>
      </c>
      <c r="I51" s="2531"/>
      <c r="J51" s="3047" t="s">
        <v>2034</v>
      </c>
      <c r="K51" s="3255" t="s">
        <v>2035</v>
      </c>
      <c r="L51" s="3255"/>
      <c r="M51" s="3047" t="s">
        <v>2036</v>
      </c>
      <c r="N51" s="3047" t="s">
        <v>2037</v>
      </c>
      <c r="O51" s="3047" t="s">
        <v>2038</v>
      </c>
    </row>
    <row r="52" spans="1:35" ht="24" customHeight="1">
      <c r="A52" s="3063" t="s">
        <v>2039</v>
      </c>
      <c r="B52" s="3188" t="s">
        <v>2040</v>
      </c>
      <c r="C52" s="3188"/>
      <c r="D52" s="1247">
        <f ca="1">ROUND(D45*'数据-取费表'!B41/(1+'数据-取费表'!C42),0)</f>
        <v>1445</v>
      </c>
      <c r="E52" s="3061" t="s">
        <v>2041</v>
      </c>
      <c r="F52" s="2782">
        <f>'数据-取费表'!B41</f>
        <v>5.5000000000000007E-2</v>
      </c>
      <c r="G52" s="2783"/>
      <c r="H52" s="2772"/>
      <c r="I52" s="1995"/>
      <c r="J52" s="3051">
        <v>1</v>
      </c>
      <c r="K52" s="3256" t="s">
        <v>2042</v>
      </c>
      <c r="L52" s="3256"/>
      <c r="M52" s="2753" t="b">
        <f>D48</f>
        <v>0</v>
      </c>
      <c r="N52" s="3051" t="str">
        <f>E48</f>
        <v>销售额×税（费）率</v>
      </c>
      <c r="O52" s="2754">
        <f>F48</f>
        <v>5.5000000000000007E-2</v>
      </c>
    </row>
    <row r="53" spans="1:35" ht="12" customHeight="1">
      <c r="A53" s="3063" t="s">
        <v>2043</v>
      </c>
      <c r="B53" s="3214" t="s">
        <v>3036</v>
      </c>
      <c r="C53" s="3215"/>
      <c r="D53" s="1247">
        <f ca="1">ROUND(D45*'数据-取费表'!B41/(1+'数据-取费表'!C42),0)</f>
        <v>1445</v>
      </c>
      <c r="E53" s="3061" t="s">
        <v>2041</v>
      </c>
      <c r="F53" s="2782">
        <f>'数据-取费表'!B41</f>
        <v>5.5000000000000007E-2</v>
      </c>
      <c r="G53" s="2783"/>
      <c r="H53" s="2772"/>
      <c r="I53" s="1995"/>
      <c r="J53" s="3051">
        <v>2</v>
      </c>
      <c r="K53" s="3256" t="s">
        <v>2044</v>
      </c>
      <c r="L53" s="3256"/>
      <c r="M53" s="2753">
        <f t="shared" ref="M53:O54" ca="1" si="0">D55</f>
        <v>14</v>
      </c>
      <c r="N53" s="3051" t="str">
        <f t="shared" si="0"/>
        <v>销售额×税（费）率</v>
      </c>
      <c r="O53" s="2754" t="str">
        <f t="shared" si="0"/>
        <v>免征</v>
      </c>
    </row>
    <row r="54" spans="1:35" ht="12" customHeight="1">
      <c r="A54" s="3063" t="s">
        <v>2045</v>
      </c>
      <c r="B54" s="3214" t="s">
        <v>3037</v>
      </c>
      <c r="C54" s="3215"/>
      <c r="D54" s="1247">
        <f ca="1">C68</f>
        <v>1445</v>
      </c>
      <c r="E54" s="333" t="s">
        <v>2046</v>
      </c>
      <c r="F54" s="2782">
        <f>'数据-取费表'!B41</f>
        <v>5.5000000000000007E-2</v>
      </c>
      <c r="G54" s="2783"/>
      <c r="H54" s="2784"/>
      <c r="I54" s="1995"/>
      <c r="J54" s="3051">
        <v>3</v>
      </c>
      <c r="K54" s="3256" t="s">
        <v>2047</v>
      </c>
      <c r="L54" s="3256"/>
      <c r="M54" s="2753">
        <f t="shared" ca="1" si="0"/>
        <v>15639</v>
      </c>
      <c r="N54" s="3051" t="str">
        <f t="shared" si="0"/>
        <v>增值额×税（费）率</v>
      </c>
      <c r="O54" s="2755" t="str">
        <f t="shared" si="0"/>
        <v>免征</v>
      </c>
    </row>
    <row r="55" spans="1:35" ht="24" customHeight="1">
      <c r="A55" s="3203" t="s">
        <v>2048</v>
      </c>
      <c r="B55" s="3204"/>
      <c r="C55" s="3204"/>
      <c r="D55" s="3048">
        <f ca="1">IF(H55="个人住宅",0,ROUND(D45*I55,0))</f>
        <v>14</v>
      </c>
      <c r="E55" s="3061" t="s">
        <v>2049</v>
      </c>
      <c r="F55" s="2782" t="str">
        <f>IF(H55="正常",I55,"免征")</f>
        <v>免征</v>
      </c>
      <c r="G55" s="2783"/>
      <c r="H55" s="2778"/>
      <c r="I55" s="170">
        <f>'数据-取费表'!B49</f>
        <v>5.0000000000000001E-4</v>
      </c>
      <c r="J55" s="3051">
        <f>IF(H59="非个人房产","",4)</f>
        <v>4</v>
      </c>
      <c r="K55" s="3256" t="str">
        <f>IF(H59="非个人房产","——","个人所得税")</f>
        <v>个人所得税</v>
      </c>
      <c r="L55" s="3256"/>
      <c r="M55" s="2756">
        <f ca="1">D59</f>
        <v>263</v>
      </c>
      <c r="N55" s="3052" t="str">
        <f>E59</f>
        <v>差额计税</v>
      </c>
      <c r="O55" s="2757">
        <f>F59</f>
        <v>0.01</v>
      </c>
    </row>
    <row r="56" spans="1:35" ht="24.75">
      <c r="A56" s="3203" t="s">
        <v>2050</v>
      </c>
      <c r="B56" s="3204"/>
      <c r="C56" s="3204"/>
      <c r="D56" s="3048">
        <f ca="1">IF(H56="个人住宅",D57,D58)</f>
        <v>15639</v>
      </c>
      <c r="E56" s="3061" t="s">
        <v>2051</v>
      </c>
      <c r="F56" s="2782" t="str">
        <f>IF(H56="正常",F58,"免征")</f>
        <v>免征</v>
      </c>
      <c r="G56" s="2785" t="s">
        <v>2052</v>
      </c>
      <c r="H56" s="2786"/>
      <c r="I56" s="1996"/>
      <c r="J56" s="3051" t="str">
        <f>IF(项目基本情况!K6="上海银行",IF(J55="",4,J55+1),"")</f>
        <v/>
      </c>
      <c r="K56" s="3279" t="str">
        <f>IF(项目基本情况!K6="上海银行","其他处置费用","")</f>
        <v/>
      </c>
      <c r="L56" s="3280"/>
      <c r="M56" s="2753" t="str">
        <f>IF(项目基本情况!K6="上海银行",M69,"")</f>
        <v/>
      </c>
      <c r="N56" s="3279" t="str">
        <f>IF(项目基本情况!K6="上海银行","包含处置中涉及的律师、诉讼、拍卖、评估等费用","")</f>
        <v/>
      </c>
      <c r="O56" s="3282"/>
    </row>
    <row r="57" spans="1:35" ht="12.75">
      <c r="A57" s="3063" t="s">
        <v>2028</v>
      </c>
      <c r="B57" s="3214" t="s">
        <v>2053</v>
      </c>
      <c r="C57" s="3215"/>
      <c r="D57" s="1777">
        <v>0</v>
      </c>
      <c r="E57" s="330" t="s">
        <v>2030</v>
      </c>
      <c r="F57" s="308"/>
      <c r="G57" s="2783"/>
      <c r="H57" s="2787"/>
      <c r="I57" s="1996"/>
      <c r="J57" s="3256">
        <f>IF(AND(J55="",J56=""),4,IF(项目基本情况!K6="上海银行",'结果表(合院)'!J56+1,'结果表(合院)'!J55+1))</f>
        <v>5</v>
      </c>
      <c r="K57" s="3256" t="s">
        <v>2054</v>
      </c>
      <c r="L57" s="2758" t="s">
        <v>2055</v>
      </c>
      <c r="M57" s="2759"/>
      <c r="N57" s="2760">
        <f ca="1">SUMIF(M52:M56,"&lt;9e307")</f>
        <v>15916</v>
      </c>
      <c r="O57" s="2761"/>
      <c r="P57" s="2921" t="e">
        <f ca="1">N57/M49</f>
        <v>#VALUE!</v>
      </c>
    </row>
    <row r="58" spans="1:35" ht="24.75">
      <c r="A58" s="3063" t="s">
        <v>2039</v>
      </c>
      <c r="B58" s="3214" t="s">
        <v>2056</v>
      </c>
      <c r="C58" s="3188"/>
      <c r="D58" s="3048">
        <f ca="1">IF(H58="转让取得",C81,C97)</f>
        <v>15639</v>
      </c>
      <c r="E58" s="3061" t="s">
        <v>2051</v>
      </c>
      <c r="F58" s="308" t="s">
        <v>34</v>
      </c>
      <c r="G58" s="2783"/>
      <c r="H58" s="2786"/>
      <c r="I58" s="1996"/>
      <c r="J58" s="3256"/>
      <c r="K58" s="3256"/>
      <c r="L58" s="2758" t="s">
        <v>2057</v>
      </c>
      <c r="M58" s="2762"/>
      <c r="N58" s="2763" t="str">
        <f ca="1">NUMBERSTRING(INT(N57*10000),2)&amp;"元整"</f>
        <v>壹亿伍仟玖佰壹拾陆万元整</v>
      </c>
      <c r="O58" s="2764"/>
    </row>
    <row r="59" spans="1:35" ht="24.75" thickBot="1">
      <c r="A59" s="3259" t="s">
        <v>2058</v>
      </c>
      <c r="B59" s="3260"/>
      <c r="C59" s="3260"/>
      <c r="D59" s="2788">
        <f ca="1">IF(H59="非个人房产","——",IF(H59="个人住宅（满五唯一有凭证）",0,IF(H59="个人其他（无凭证）",ROUND(D45*F59,0),ROUND(C67*F59,0))))</f>
        <v>263</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2878</v>
      </c>
      <c r="J59" s="3257">
        <f>J57+1</f>
        <v>6</v>
      </c>
      <c r="K59" s="3256" t="s">
        <v>2059</v>
      </c>
      <c r="L59" s="3051" t="s">
        <v>2055</v>
      </c>
      <c r="M59" s="2765"/>
      <c r="N59" s="2766" t="e">
        <f ca="1">M49-N57</f>
        <v>#VALUE!</v>
      </c>
      <c r="O59" s="2767"/>
    </row>
    <row r="60" spans="1:35" ht="12" customHeight="1">
      <c r="A60" s="1997"/>
      <c r="B60" s="1935"/>
      <c r="C60" s="1935"/>
      <c r="D60" s="1935"/>
      <c r="E60" s="1765"/>
      <c r="F60" s="1996"/>
      <c r="G60" s="1996"/>
      <c r="H60" s="1998"/>
      <c r="I60" s="134"/>
      <c r="J60" s="3258"/>
      <c r="K60" s="3256"/>
      <c r="L60" s="2758" t="s">
        <v>2057</v>
      </c>
      <c r="M60" s="2762"/>
      <c r="N60" s="2763" t="e">
        <f ca="1">NUMBERSTRING(INT(N59*10000),2)&amp;"元整"</f>
        <v>#VALUE!</v>
      </c>
      <c r="O60" s="2764"/>
    </row>
    <row r="61" spans="1:35" ht="13.5" thickBot="1">
      <c r="A61" s="3201" t="s">
        <v>2060</v>
      </c>
      <c r="B61" s="3201"/>
      <c r="C61" s="3201"/>
      <c r="D61" s="3201"/>
      <c r="E61" s="3201"/>
      <c r="F61" s="1996"/>
      <c r="G61" s="1996"/>
      <c r="H61" s="1998"/>
      <c r="I61" s="134"/>
      <c r="J61" s="3051">
        <f>J59+1</f>
        <v>7</v>
      </c>
      <c r="K61" s="3256" t="s">
        <v>2061</v>
      </c>
      <c r="L61" s="3256"/>
      <c r="M61" s="2768"/>
      <c r="N61" s="2769" t="e">
        <f ca="1">ROUND(N59*10000/'数据-汇总表'!E3,0)</f>
        <v>#VALUE!</v>
      </c>
      <c r="O61" s="2770"/>
    </row>
    <row r="62" spans="1:35" ht="12.75">
      <c r="A62" s="3219" t="s">
        <v>2062</v>
      </c>
      <c r="B62" s="3220"/>
      <c r="C62" s="3056"/>
      <c r="D62" s="3056" t="s">
        <v>2063</v>
      </c>
      <c r="E62" s="171" t="s">
        <v>2064</v>
      </c>
      <c r="F62" s="1996"/>
      <c r="G62" s="1996"/>
      <c r="H62" s="1998"/>
      <c r="I62" s="134"/>
    </row>
    <row r="63" spans="1:35" ht="12.75">
      <c r="A63" s="178" t="s">
        <v>775</v>
      </c>
      <c r="B63" s="172" t="s">
        <v>2065</v>
      </c>
      <c r="C63" s="2792">
        <f ca="1">ROUND((C64+C65)/(1+'数据-取费表'!C42),0)</f>
        <v>26272</v>
      </c>
      <c r="D63" s="172"/>
      <c r="E63" s="173"/>
      <c r="F63" s="1996"/>
      <c r="G63" s="1996"/>
      <c r="H63" s="1998"/>
      <c r="I63" s="134"/>
      <c r="J63" s="3281" t="s">
        <v>2066</v>
      </c>
      <c r="K63" s="3049" t="s">
        <v>2067</v>
      </c>
      <c r="L63" s="3049"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f ca="1">D45</f>
        <v>27586</v>
      </c>
      <c r="D64" s="175" t="s">
        <v>32</v>
      </c>
      <c r="E64" s="177"/>
      <c r="F64" s="1996"/>
      <c r="G64" s="1996"/>
      <c r="H64" s="1998"/>
      <c r="I64" s="134"/>
      <c r="J64" s="3281"/>
      <c r="K64" s="3049" t="s">
        <v>2069</v>
      </c>
      <c r="L64" s="3049"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281"/>
      <c r="K65" s="3049" t="s">
        <v>2072</v>
      </c>
      <c r="L65" s="3049"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281"/>
      <c r="K66" s="3049" t="s">
        <v>2074</v>
      </c>
      <c r="L66" s="3049" t="e">
        <f>M49*0.5%</f>
        <v>#VALUE!</v>
      </c>
      <c r="M66" s="308" t="e">
        <f>IF(L66&gt;0.5,0.5,ROUND(L66,0))</f>
        <v>#VALUE!</v>
      </c>
      <c r="N66" s="2772" t="s">
        <v>2075</v>
      </c>
      <c r="Z66" s="1940"/>
      <c r="AI66" s="1941"/>
    </row>
    <row r="67" spans="1:35" ht="14.25" customHeight="1">
      <c r="A67" s="178" t="s">
        <v>773</v>
      </c>
      <c r="B67" s="179" t="s">
        <v>2076</v>
      </c>
      <c r="C67" s="2796">
        <f ca="1">C63-C66</f>
        <v>26272</v>
      </c>
      <c r="D67" s="175" t="s">
        <v>32</v>
      </c>
      <c r="E67" s="177"/>
      <c r="F67" s="1996"/>
      <c r="G67" s="1996"/>
      <c r="H67" s="1998"/>
      <c r="I67" s="134"/>
      <c r="J67" s="3281"/>
      <c r="K67" s="3049" t="s">
        <v>2077</v>
      </c>
      <c r="L67" s="3049"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f ca="1">IF(C67&lt;=0,0,ROUND(C67*D68,0))</f>
        <v>1445</v>
      </c>
      <c r="D68" s="2798">
        <f>'数据-取费表'!B41</f>
        <v>5.5000000000000007E-2</v>
      </c>
      <c r="E68" s="184"/>
      <c r="F68" s="1996"/>
      <c r="G68" s="1996"/>
      <c r="H68" s="1998"/>
      <c r="I68" s="134"/>
      <c r="J68" s="3281"/>
      <c r="K68" s="3049" t="s">
        <v>2079</v>
      </c>
      <c r="L68" s="3049"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281"/>
      <c r="K69" s="3049" t="s">
        <v>2080</v>
      </c>
      <c r="L69" s="3049"/>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40" t="s">
        <v>2081</v>
      </c>
      <c r="B70" s="3241"/>
      <c r="C70" s="3241"/>
      <c r="D70" s="3241"/>
      <c r="E70" s="3241"/>
      <c r="F70" s="3241"/>
      <c r="G70" s="3241"/>
      <c r="H70" s="3241"/>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9" t="s">
        <v>2062</v>
      </c>
      <c r="B71" s="3220"/>
      <c r="C71" s="3056"/>
      <c r="D71" s="3056"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26272</v>
      </c>
      <c r="D72" s="175" t="s">
        <v>32</v>
      </c>
      <c r="E72" s="3058"/>
      <c r="F72" s="3057"/>
      <c r="G72" s="3057"/>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131</v>
      </c>
      <c r="D73" s="175" t="s">
        <v>32</v>
      </c>
      <c r="E73" s="3058"/>
      <c r="F73" s="3057"/>
      <c r="G73" s="3057"/>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3058"/>
      <c r="F74" s="3057"/>
      <c r="G74" s="3057"/>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14" t="s">
        <v>2089</v>
      </c>
      <c r="F76" s="3188"/>
      <c r="G76" s="3188"/>
      <c r="H76" s="3239"/>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4.0500000000000001E-2</v>
      </c>
      <c r="E77" s="3048" t="s">
        <v>2091</v>
      </c>
      <c r="F77" s="192"/>
      <c r="G77" s="2010"/>
      <c r="H77" s="3059"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131</v>
      </c>
      <c r="D78" s="2805">
        <f>'数据-取费表'!B43</f>
        <v>5.000000000000001E-3</v>
      </c>
      <c r="E78" s="3198" t="s">
        <v>2093</v>
      </c>
      <c r="F78" s="3199"/>
      <c r="G78" s="3199"/>
      <c r="H78" s="3208"/>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6">
        <f ca="1">C72-C73</f>
        <v>26141</v>
      </c>
      <c r="D79" s="175" t="s">
        <v>32</v>
      </c>
      <c r="E79" s="3058"/>
      <c r="F79" s="3057"/>
      <c r="G79" s="3057"/>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199.54961832061068</v>
      </c>
      <c r="D80" s="175" t="s">
        <v>32</v>
      </c>
      <c r="E80" s="3048"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15639</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40" t="s">
        <v>2097</v>
      </c>
      <c r="B83" s="3241"/>
      <c r="C83" s="3241"/>
      <c r="D83" s="3241"/>
      <c r="E83" s="3241"/>
      <c r="F83" s="3241"/>
      <c r="G83" s="3241"/>
      <c r="H83" s="3241"/>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9" t="s">
        <v>2062</v>
      </c>
      <c r="B84" s="3220"/>
      <c r="C84" s="3056"/>
      <c r="D84" s="3056"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26272</v>
      </c>
      <c r="D85" s="175" t="s">
        <v>32</v>
      </c>
      <c r="E85" s="3058"/>
      <c r="F85" s="3057"/>
      <c r="G85" s="3057"/>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131</v>
      </c>
      <c r="D86" s="2809"/>
      <c r="E86" s="3058"/>
      <c r="F86" s="3057"/>
      <c r="G86" s="3057"/>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3053"/>
      <c r="F87" s="3054"/>
      <c r="G87" s="3054"/>
      <c r="H87" s="3055"/>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3054"/>
      <c r="G88" s="200" t="s">
        <v>2101</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4.0500000000000001E-2</v>
      </c>
      <c r="E89" s="199" t="s">
        <v>2102</v>
      </c>
      <c r="F89" s="3054"/>
      <c r="G89" s="3054"/>
      <c r="H89" s="3055"/>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3054"/>
      <c r="G90" s="3283" t="s">
        <v>2870</v>
      </c>
      <c r="H90" s="3284"/>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IF(H91="——",'成本法（公寓）'!C33,I91)</f>
        <v>0</v>
      </c>
      <c r="D91" s="2805"/>
      <c r="E91" s="3198" t="s">
        <v>2106</v>
      </c>
      <c r="F91" s="3199"/>
      <c r="G91" s="3199"/>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98" t="s">
        <v>2109</v>
      </c>
      <c r="F92" s="3199"/>
      <c r="G92" s="3199"/>
      <c r="H92" s="3208"/>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131</v>
      </c>
      <c r="D93" s="2805">
        <f>'数据-取费表'!B43</f>
        <v>5.000000000000001E-3</v>
      </c>
      <c r="E93" s="3198" t="s">
        <v>2093</v>
      </c>
      <c r="F93" s="3199"/>
      <c r="G93" s="3199"/>
      <c r="H93" s="3208"/>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09" t="s">
        <v>2113</v>
      </c>
      <c r="F94" s="3210"/>
      <c r="G94" s="3210"/>
      <c r="H94" s="3211"/>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6">
        <f ca="1">ROUND(C85-C86,0)</f>
        <v>26141</v>
      </c>
      <c r="D95" s="175" t="s">
        <v>32</v>
      </c>
      <c r="E95" s="3058"/>
      <c r="F95" s="3057"/>
      <c r="G95" s="3057"/>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199.54961832061068</v>
      </c>
      <c r="D96" s="175" t="s">
        <v>32</v>
      </c>
      <c r="E96" s="3048" t="str">
        <f ca="1">IF(C96&gt;=200%,"增值额超过扣除项目金额200%",IF(C96&gt;=100%,"增值额超过扣除项目金额100%，未超过200%",IF(C96&gt;=50%,"增值额超过扣除项目金额50%，未超过100%",IF(C96&lt;50%,"增值额未超过扣除项目金额50%"))))</f>
        <v>增值额超过扣除项目金额200%</v>
      </c>
      <c r="F96" s="3057"/>
      <c r="G96" s="3057"/>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15639</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82" t="s">
        <v>2115</v>
      </c>
      <c r="B100" s="3183"/>
      <c r="C100" s="3183"/>
      <c r="D100" s="3200"/>
      <c r="E100" s="3183" t="s">
        <v>2116</v>
      </c>
      <c r="F100" s="3183"/>
      <c r="G100" s="3183"/>
      <c r="H100" s="3200"/>
      <c r="I100" s="134"/>
    </row>
    <row r="101" spans="1:35" ht="18.75" customHeight="1">
      <c r="A101" s="3264" t="s">
        <v>2117</v>
      </c>
      <c r="B101" s="3265"/>
      <c r="C101" s="2813" t="str">
        <f>C4</f>
        <v>比较法-商业(合院)</v>
      </c>
      <c r="D101" s="2814" t="str">
        <f>D4</f>
        <v>成本法（合院）</v>
      </c>
      <c r="E101" s="3278" t="s">
        <v>2118</v>
      </c>
      <c r="F101" s="3232"/>
      <c r="G101" s="2015" t="s">
        <v>2119</v>
      </c>
      <c r="H101" s="2823">
        <f ca="1">H118</f>
        <v>27586</v>
      </c>
      <c r="I101" s="134"/>
    </row>
    <row r="102" spans="1:35" ht="18.75" customHeight="1">
      <c r="A102" s="3234" t="s">
        <v>2120</v>
      </c>
      <c r="B102" s="2812" t="s">
        <v>2119</v>
      </c>
      <c r="C102" s="2813">
        <f ca="1">C19</f>
        <v>32947</v>
      </c>
      <c r="D102" s="2814">
        <f ca="1">D19</f>
        <v>15076</v>
      </c>
      <c r="E102" s="3278"/>
      <c r="F102" s="3232"/>
      <c r="G102" s="2015" t="s">
        <v>2121</v>
      </c>
      <c r="H102" s="2783">
        <f ca="1">I118</f>
        <v>13271</v>
      </c>
      <c r="I102" s="134"/>
    </row>
    <row r="103" spans="1:35" ht="42.75" customHeight="1">
      <c r="A103" s="3234"/>
      <c r="B103" s="2812" t="s">
        <v>2121</v>
      </c>
      <c r="C103" s="2815">
        <f ca="1">C20</f>
        <v>15850</v>
      </c>
      <c r="D103" s="2816">
        <f ca="1">D20</f>
        <v>7253</v>
      </c>
      <c r="E103" s="3272" t="s">
        <v>2122</v>
      </c>
      <c r="F103" s="3273"/>
      <c r="G103" s="2016" t="s">
        <v>2123</v>
      </c>
      <c r="H103" s="2823">
        <f>IF(D36="正常操作",H104+H105+H106,H105+H106)</f>
        <v>0</v>
      </c>
      <c r="I103" s="134"/>
    </row>
    <row r="104" spans="1:35" ht="18.75" customHeight="1">
      <c r="A104" s="3234" t="s">
        <v>2124</v>
      </c>
      <c r="B104" s="2817" t="s">
        <v>2119</v>
      </c>
      <c r="C104" s="2818">
        <f ca="1">H118</f>
        <v>27586</v>
      </c>
      <c r="D104" s="2819"/>
      <c r="E104" s="1862" t="s">
        <v>2125</v>
      </c>
      <c r="F104" s="1853"/>
      <c r="G104" s="2016" t="s">
        <v>2123</v>
      </c>
      <c r="H104" s="2824">
        <f>IF(D36="同一抵押权人同一抵押物续贷",C36&amp;"（续贷，未扣减，详见特别提示）",C36)</f>
        <v>0</v>
      </c>
      <c r="I104" s="134"/>
    </row>
    <row r="105" spans="1:35" ht="18.75" customHeight="1" thickBot="1">
      <c r="A105" s="3235"/>
      <c r="B105" s="2820" t="s">
        <v>2121</v>
      </c>
      <c r="C105" s="2821">
        <f ca="1">I118</f>
        <v>13271</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31" t="str">
        <f>IF(项目基本情况!E8="已注销","——","3.房地产抵押价值")</f>
        <v>3.房地产抵押价值</v>
      </c>
      <c r="F107" s="3232"/>
      <c r="G107" s="2015" t="s">
        <v>2119</v>
      </c>
      <c r="H107" s="2823">
        <f ca="1">IF(E107="——","——",H101-H103)</f>
        <v>27586</v>
      </c>
      <c r="I107" s="134"/>
    </row>
    <row r="108" spans="1:35" ht="18.75" customHeight="1">
      <c r="A108" s="134"/>
      <c r="B108" s="134"/>
      <c r="C108" s="134"/>
      <c r="D108" s="134"/>
      <c r="E108" s="3231"/>
      <c r="F108" s="3232"/>
      <c r="G108" s="2015" t="s">
        <v>2121</v>
      </c>
      <c r="H108" s="2783">
        <f ca="1">ROUND(H107*10000/'数据-汇总表'!E3,0)</f>
        <v>4723</v>
      </c>
      <c r="I108" s="134"/>
    </row>
    <row r="109" spans="1:35" ht="18.75" customHeight="1">
      <c r="A109" s="134"/>
      <c r="B109" s="134"/>
      <c r="C109" s="134"/>
      <c r="D109" s="134"/>
      <c r="E109" s="3231" t="str">
        <f>IF(项目基本情况!E8="已注销及未注销","4.抵押担保权已注销时的房地产抵押价值",IF(项目基本情况!E8="已注销","3.抵押担保权已注销时的房地产抵押价值","——"))</f>
        <v>——</v>
      </c>
      <c r="F109" s="3232"/>
      <c r="G109" s="2015" t="s">
        <v>2119</v>
      </c>
      <c r="H109" s="2826" t="str">
        <f>IF(E109="——","——",H101-H105-H106)</f>
        <v>——</v>
      </c>
      <c r="I109" s="134"/>
    </row>
    <row r="110" spans="1:35" ht="18.75" customHeight="1">
      <c r="A110" s="134"/>
      <c r="B110" s="134"/>
      <c r="C110" s="134"/>
      <c r="D110" s="134"/>
      <c r="E110" s="3231"/>
      <c r="F110" s="3232"/>
      <c r="G110" s="2015" t="s">
        <v>2121</v>
      </c>
      <c r="H110" s="2783" t="str">
        <f>IF(H109="——","——",ROUND(H109*10000/'数据-汇总表'!E3,0))</f>
        <v>——</v>
      </c>
      <c r="I110" s="134"/>
    </row>
    <row r="111" spans="1:35" ht="18.75" customHeight="1">
      <c r="A111" s="134"/>
      <c r="B111" s="134"/>
      <c r="C111" s="134"/>
      <c r="D111" s="134"/>
      <c r="E111" s="3266" t="str">
        <f>IF(项目基本情况!E9="抵押净值",IF(OR(项目基本情况!E8="已注销",项目基本情况!E8="房地产抵押价值"),"4.抵押净值","5.抵押净值"),"——")</f>
        <v>——</v>
      </c>
      <c r="F111" s="3233"/>
      <c r="G111" s="2015" t="s">
        <v>2119</v>
      </c>
      <c r="H111" s="2823" t="str">
        <f>IF(E111="——","——",N59)</f>
        <v>——</v>
      </c>
      <c r="I111" s="134"/>
    </row>
    <row r="112" spans="1:35" ht="18.75" customHeight="1" thickBot="1">
      <c r="A112" s="134"/>
      <c r="B112" s="134"/>
      <c r="C112" s="134"/>
      <c r="D112" s="134"/>
      <c r="E112" s="3267"/>
      <c r="F112" s="3268"/>
      <c r="G112" s="2018" t="s">
        <v>2121</v>
      </c>
      <c r="H112" s="2827" t="str">
        <f>IF(E111="——","——",N61)</f>
        <v>——</v>
      </c>
      <c r="I112" s="134"/>
    </row>
    <row r="113" spans="1:27" ht="18.75" customHeight="1">
      <c r="A113" s="134"/>
      <c r="B113" s="134"/>
      <c r="C113" s="134"/>
      <c r="D113" s="134"/>
      <c r="E113" s="3236" t="s">
        <v>2127</v>
      </c>
      <c r="F113" s="3236"/>
      <c r="G113" s="3236"/>
      <c r="H113" s="3236"/>
      <c r="I113" s="134"/>
    </row>
    <row r="114" spans="1:27" ht="3.75" customHeight="1">
      <c r="A114" s="1935"/>
      <c r="B114" s="1935"/>
      <c r="C114" s="1935"/>
      <c r="D114" s="1935"/>
      <c r="E114" s="1997"/>
      <c r="F114" s="1997"/>
      <c r="G114" s="1997"/>
      <c r="H114" s="1997"/>
      <c r="I114" s="1935"/>
    </row>
    <row r="115" spans="1:27" ht="18.75" customHeight="1">
      <c r="A115" s="3249" t="s">
        <v>2129</v>
      </c>
      <c r="B115" s="3250"/>
      <c r="C115" s="3250"/>
      <c r="D115" s="3250"/>
      <c r="E115" s="3250"/>
      <c r="F115" s="3250"/>
      <c r="G115" s="3250"/>
      <c r="H115" s="3250"/>
      <c r="I115" s="3251"/>
    </row>
    <row r="116" spans="1:27" ht="27" customHeight="1">
      <c r="A116" s="3202" t="s">
        <v>2130</v>
      </c>
      <c r="B116" s="3237" t="s">
        <v>2131</v>
      </c>
      <c r="C116" s="3237" t="s">
        <v>2132</v>
      </c>
      <c r="D116" s="3253" t="s">
        <v>2133</v>
      </c>
      <c r="E116" s="3254"/>
      <c r="F116" s="3245" t="s">
        <v>2134</v>
      </c>
      <c r="G116" s="3245"/>
      <c r="H116" s="3202" t="s">
        <v>2135</v>
      </c>
      <c r="I116" s="3202"/>
    </row>
    <row r="117" spans="1:27" ht="18.75" customHeight="1">
      <c r="A117" s="3202"/>
      <c r="B117" s="3238"/>
      <c r="C117" s="3238"/>
      <c r="D117" s="3050" t="s">
        <v>2136</v>
      </c>
      <c r="E117" s="3050" t="s">
        <v>2137</v>
      </c>
      <c r="F117" s="3050" t="s">
        <v>2136</v>
      </c>
      <c r="G117" s="3050" t="s">
        <v>2138</v>
      </c>
      <c r="H117" s="3050" t="s">
        <v>2136</v>
      </c>
      <c r="I117" s="3050" t="s">
        <v>2138</v>
      </c>
    </row>
    <row r="118" spans="1:27" ht="24.75" customHeight="1">
      <c r="A118" s="2828" t="str">
        <f>项目基本情况!S2</f>
        <v>房地产</v>
      </c>
      <c r="B118" s="3050">
        <f>M18</f>
        <v>20786.89</v>
      </c>
      <c r="C118" s="3050">
        <f>M19</f>
        <v>13857.93</v>
      </c>
      <c r="D118" s="3050">
        <f ca="1">ROUND(IF(D32="总价",C34,E118*B118/10000),0)</f>
        <v>6317</v>
      </c>
      <c r="E118" s="3050">
        <f ca="1">ROUND(IF(C33="自定义",IF(D32="楼面单价",C34,D118*10000/B118),I118-G118),0)</f>
        <v>3039</v>
      </c>
      <c r="F118" s="3050">
        <f ca="1">ROUND(IF(D32="总价",C35,G118*B118/10000),0)</f>
        <v>21269</v>
      </c>
      <c r="G118" s="3050">
        <f ca="1">ROUND(IF(D32="楼面单价",C35,F118*10000/B118),0)</f>
        <v>10232</v>
      </c>
      <c r="H118" s="3050">
        <f ca="1">ROUND(IF(D32="总价",C32,I118*B118/10000),0)</f>
        <v>27586</v>
      </c>
      <c r="I118" s="3050">
        <f ca="1">ROUND(IF(D32="楼面单价",C32,H118*10000/B118),0)</f>
        <v>13271</v>
      </c>
    </row>
    <row r="119" spans="1:27" ht="18.75" customHeight="1">
      <c r="A119" s="3202" t="s">
        <v>2139</v>
      </c>
      <c r="B119" s="3202"/>
      <c r="C119" s="3202"/>
      <c r="D119" s="3242" t="str">
        <f ca="1">NUMBERSTRING(INT(D118*10000),2)&amp;"元整"</f>
        <v>陆仟叁佰壹拾柒万元整</v>
      </c>
      <c r="E119" s="3244"/>
      <c r="F119" s="3242" t="str">
        <f ca="1">NUMBERSTRING(INT(F118*10000),2)&amp;"元整"</f>
        <v>贰亿壹仟贰佰陆拾玖万元整</v>
      </c>
      <c r="G119" s="3244"/>
      <c r="H119" s="3242" t="str">
        <f ca="1">NUMBERSTRING(INT(H118*10000),2)&amp;"元整"</f>
        <v>贰亿柒仟伍佰捌拾陆万元整</v>
      </c>
      <c r="I119" s="3244"/>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46" t="s">
        <v>2139</v>
      </c>
      <c r="B121" s="3247"/>
      <c r="C121" s="3248"/>
      <c r="D121" s="3242" t="str">
        <f>IF(D120=0,"零元整",NUMBERSTRING(INT(D120*10000),2)&amp;"元整")</f>
        <v>零元整</v>
      </c>
      <c r="E121" s="3243"/>
      <c r="F121" s="3243"/>
      <c r="G121" s="3243"/>
      <c r="H121" s="3243"/>
      <c r="I121" s="3244"/>
      <c r="AA121" s="734"/>
    </row>
    <row r="122" spans="1:27" ht="18.75" customHeight="1">
      <c r="A122" s="3233" t="str">
        <f>IF(项目基本情况!B9="房地产市场价值","",MID(E107,3,LEN(E107)-2))</f>
        <v>房地产抵押价值</v>
      </c>
      <c r="B122" s="3233"/>
      <c r="C122" s="3233"/>
      <c r="D122" s="3269">
        <f ca="1">H107</f>
        <v>27586</v>
      </c>
      <c r="E122" s="3270"/>
      <c r="F122" s="3270"/>
      <c r="G122" s="3270"/>
      <c r="H122" s="3270"/>
      <c r="I122" s="3271"/>
      <c r="AA122" s="734"/>
    </row>
    <row r="123" spans="1:27" ht="18.75" customHeight="1">
      <c r="A123" s="3202" t="s">
        <v>2139</v>
      </c>
      <c r="B123" s="3202"/>
      <c r="C123" s="3202"/>
      <c r="D123" s="3242" t="str">
        <f ca="1">NUMBERSTRING(INT(D122*10000),2)&amp;"元整"</f>
        <v>贰亿柒仟伍佰捌拾陆万元整</v>
      </c>
      <c r="E123" s="3243"/>
      <c r="F123" s="3243"/>
      <c r="G123" s="3243"/>
      <c r="H123" s="3243"/>
      <c r="I123" s="3244"/>
      <c r="AA123" s="734"/>
    </row>
    <row r="124" spans="1:27" ht="18.75" customHeight="1">
      <c r="A124" s="3233" t="str">
        <f>IF(项目基本情况!B9="房地产市场价值","",MID(E109,3,LEN(E109)-2))</f>
        <v/>
      </c>
      <c r="B124" s="3233"/>
      <c r="C124" s="3233"/>
      <c r="D124" s="3269" t="str">
        <f>H109</f>
        <v>——</v>
      </c>
      <c r="E124" s="3270"/>
      <c r="F124" s="3270"/>
      <c r="G124" s="3270"/>
      <c r="H124" s="3270"/>
      <c r="I124" s="3271"/>
      <c r="AA124" s="734"/>
    </row>
    <row r="125" spans="1:27" ht="18.75" customHeight="1">
      <c r="A125" s="3202" t="s">
        <v>2139</v>
      </c>
      <c r="B125" s="3202"/>
      <c r="C125" s="3202"/>
      <c r="D125" s="3242" t="e">
        <f>NUMBERSTRING(INT(D124*10000),2)&amp;"元整"</f>
        <v>#VALUE!</v>
      </c>
      <c r="E125" s="3243"/>
      <c r="F125" s="3243"/>
      <c r="G125" s="3243"/>
      <c r="H125" s="3243"/>
      <c r="I125" s="3244"/>
      <c r="AA125" s="734"/>
    </row>
    <row r="126" spans="1:27" ht="18.75" customHeight="1">
      <c r="A126" s="3233" t="str">
        <f>IF(项目基本情况!B9="房地产市场价值","",MID(E111,3,LEN(E111)-2))</f>
        <v/>
      </c>
      <c r="B126" s="3233"/>
      <c r="C126" s="3233"/>
      <c r="D126" s="3269" t="str">
        <f>H111</f>
        <v>——</v>
      </c>
      <c r="E126" s="3270"/>
      <c r="F126" s="3270"/>
      <c r="G126" s="3270"/>
      <c r="H126" s="3270"/>
      <c r="I126" s="3271"/>
      <c r="AA126" s="734"/>
    </row>
    <row r="127" spans="1:27" ht="18.75" customHeight="1">
      <c r="A127" s="3202" t="s">
        <v>2139</v>
      </c>
      <c r="B127" s="3202"/>
      <c r="C127" s="3202"/>
      <c r="D127" s="3242" t="e">
        <f>NUMBERSTRING(INT(D126*10000),2)&amp;"元整"</f>
        <v>#VALUE!</v>
      </c>
      <c r="E127" s="3243"/>
      <c r="F127" s="3243"/>
      <c r="G127" s="3243"/>
      <c r="H127" s="3243"/>
      <c r="I127" s="3244"/>
      <c r="AA127" s="734"/>
    </row>
    <row r="128" spans="1:27" ht="21.75" customHeight="1">
      <c r="A128" s="3252" t="s">
        <v>2140</v>
      </c>
      <c r="B128" s="3252"/>
      <c r="C128" s="3252"/>
      <c r="D128" s="3252"/>
      <c r="E128" s="3252"/>
      <c r="F128" s="3252"/>
      <c r="G128" s="3252"/>
      <c r="H128" s="3252"/>
      <c r="I128" s="3252"/>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95" priority="10" stopIfTrue="1" operator="equal">
      <formula>25</formula>
    </cfRule>
  </conditionalFormatting>
  <conditionalFormatting sqref="C8:C9">
    <cfRule type="cellIs" dxfId="194" priority="9" stopIfTrue="1" operator="equal">
      <formula>15</formula>
    </cfRule>
  </conditionalFormatting>
  <conditionalFormatting sqref="C14:C16">
    <cfRule type="cellIs" dxfId="193" priority="8" stopIfTrue="1" operator="equal">
      <formula>30</formula>
    </cfRule>
  </conditionalFormatting>
  <conditionalFormatting sqref="D5:D7">
    <cfRule type="cellIs" dxfId="192" priority="7" stopIfTrue="1" operator="equal">
      <formula>25</formula>
    </cfRule>
  </conditionalFormatting>
  <conditionalFormatting sqref="D8:D9">
    <cfRule type="cellIs" dxfId="191" priority="6" stopIfTrue="1" operator="equal">
      <formula>15</formula>
    </cfRule>
  </conditionalFormatting>
  <conditionalFormatting sqref="C10:D13">
    <cfRule type="cellIs" dxfId="190" priority="5" stopIfTrue="1" operator="equal">
      <formula>15</formula>
    </cfRule>
  </conditionalFormatting>
  <conditionalFormatting sqref="D14:D16">
    <cfRule type="cellIs" dxfId="189" priority="4"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4144</v>
      </c>
      <c r="C1" s="204"/>
      <c r="D1" s="204"/>
      <c r="E1" s="204"/>
      <c r="F1" s="204"/>
      <c r="G1" s="1288">
        <f>MATCH(B1,'数据-取费表'!A6:A16,0)+5</f>
        <v>6</v>
      </c>
    </row>
    <row r="2" spans="1:9" s="206" customFormat="1" ht="18" customHeight="1">
      <c r="A2" s="207" t="s">
        <v>2149</v>
      </c>
      <c r="B2" s="208">
        <f ca="1">IF(D2="——",C52,C52-E2)</f>
        <v>26186</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6961</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4140.7653939999991</v>
      </c>
      <c r="D5" s="217" t="s">
        <v>2156</v>
      </c>
      <c r="E5" s="218" t="s">
        <v>2157</v>
      </c>
      <c r="F5" s="218" t="s">
        <v>2158</v>
      </c>
      <c r="G5" s="219"/>
    </row>
    <row r="6" spans="1:9" s="220" customFormat="1" ht="13.5" customHeight="1">
      <c r="A6" s="886" t="s">
        <v>2159</v>
      </c>
      <c r="B6" s="221" t="s">
        <v>2160</v>
      </c>
      <c r="C6" s="222">
        <f>'土地比较法-住宅、综合'!B3*'数据-汇总表'!F19/10000</f>
        <v>3979.7653939999991</v>
      </c>
      <c r="D6" s="223"/>
      <c r="E6" s="224"/>
      <c r="F6" s="224"/>
      <c r="G6" s="225"/>
    </row>
    <row r="7" spans="1:9" s="220" customFormat="1" ht="13.5" customHeight="1">
      <c r="A7" s="886" t="s">
        <v>2161</v>
      </c>
      <c r="B7" s="221" t="s">
        <v>2162</v>
      </c>
      <c r="C7" s="226">
        <f>ROUND(C6*F7,0)</f>
        <v>161</v>
      </c>
      <c r="D7" s="226"/>
      <c r="E7" s="224"/>
      <c r="F7" s="227">
        <f>IF(项目基本情况!B8="出让",0,'数据-取费表'!B48+'数据-取费表'!B49)</f>
        <v>4.0500000000000001E-2</v>
      </c>
      <c r="G7" s="225"/>
    </row>
    <row r="8" spans="1:9" s="229" customFormat="1">
      <c r="A8" s="886" t="s">
        <v>2163</v>
      </c>
      <c r="B8" s="221" t="s">
        <v>2164</v>
      </c>
      <c r="C8" s="226">
        <f ca="1">IF(G8="已包含在土地购买价格中","0",IF(B1="",'数据-取费表'!B29,IF(G9="全部缴纳",C9+C10,H9)))</f>
        <v>0</v>
      </c>
      <c r="D8" s="228"/>
      <c r="E8" s="226"/>
      <c r="F8" s="227"/>
      <c r="G8" s="2044" t="s">
        <v>4141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5" t="s">
        <v>4142</v>
      </c>
      <c r="H9" s="1299"/>
      <c r="I9" s="2046" t="s">
        <v>2166</v>
      </c>
    </row>
    <row r="10" spans="1:9" s="220" customFormat="1" ht="13.5" customHeight="1">
      <c r="A10" s="887" t="s">
        <v>801</v>
      </c>
      <c r="B10" s="230" t="s">
        <v>2167</v>
      </c>
      <c r="C10" s="231">
        <f ca="1">ROUND(D10*E10/10000,0)</f>
        <v>0</v>
      </c>
      <c r="D10" s="954">
        <f ca="1">IF(B1="",'数据-汇总表'!E6,IF(INDIRECT("'数据-取费表'!c"&amp;$G$1)="住宅",INDIRECT("'数据-取费表'!s"&amp;$G$1),INDIRECT("'数据-取费表'!k"&amp;$G$1)+INDIRECT("'数据-取费表'!s"&amp;$G$1)))</f>
        <v>37615.929999999993</v>
      </c>
      <c r="E10" s="231">
        <f>'数据-取费表'!B28</f>
        <v>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37615.929999999993</v>
      </c>
      <c r="E19" s="217">
        <f>'数据-取费表'!B31</f>
        <v>200</v>
      </c>
      <c r="F19" s="237"/>
      <c r="G19" s="2044" t="s">
        <v>4143</v>
      </c>
    </row>
    <row r="20" spans="1:7" s="220" customFormat="1" ht="13.5" customHeight="1">
      <c r="A20" s="261" t="s">
        <v>2180</v>
      </c>
      <c r="B20" s="216" t="s">
        <v>2181</v>
      </c>
      <c r="C20" s="238">
        <f ca="1">ROUND((C5+C19)*F20,0)</f>
        <v>104</v>
      </c>
      <c r="D20" s="238"/>
      <c r="E20" s="238"/>
      <c r="F20" s="239">
        <f>'数据-取费表'!B37</f>
        <v>2.5000000000000001E-2</v>
      </c>
      <c r="G20" s="240" t="s">
        <v>2182</v>
      </c>
    </row>
    <row r="21" spans="1:7" s="220" customFormat="1" ht="13.5" customHeight="1">
      <c r="A21" s="261" t="s">
        <v>2183</v>
      </c>
      <c r="B21" s="216" t="s">
        <v>2184</v>
      </c>
      <c r="C21" s="241">
        <f>F21</f>
        <v>2.5000000000000001E-2</v>
      </c>
      <c r="D21" s="242" t="s">
        <v>2185</v>
      </c>
      <c r="E21" s="238"/>
      <c r="F21" s="239">
        <f>'数据-取费表'!B38</f>
        <v>2.5000000000000001E-2</v>
      </c>
      <c r="G21" s="240" t="s">
        <v>2186</v>
      </c>
    </row>
    <row r="22" spans="1:7" s="220" customFormat="1" ht="13.5" customHeight="1">
      <c r="A22" s="261" t="s">
        <v>2187</v>
      </c>
      <c r="B22" s="216" t="s">
        <v>2188</v>
      </c>
      <c r="C22" s="1264">
        <f ca="1">ROUND(SUM(C23:C25),0)</f>
        <v>626</v>
      </c>
      <c r="D22" s="241">
        <f ca="1">C26</f>
        <v>1.8E-3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619</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7</v>
      </c>
      <c r="D25" s="244"/>
      <c r="E25" s="247"/>
      <c r="F25" s="245"/>
      <c r="G25" s="248" t="s">
        <v>2197</v>
      </c>
    </row>
    <row r="26" spans="1:7" s="220" customFormat="1">
      <c r="A26" s="888" t="s">
        <v>795</v>
      </c>
      <c r="B26" s="221" t="s">
        <v>2198</v>
      </c>
      <c r="C26" s="244">
        <f ca="1">ROUND(IF('数据-取费表'!B22&lt;=1,F21*F22*'数据-取费表'!B23/2,F21*(POWER((1+F22),'数据-取费表'!B23/2)-1)),4)</f>
        <v>1.8E-3</v>
      </c>
      <c r="D26" s="244"/>
      <c r="E26" s="247"/>
      <c r="F26" s="245"/>
      <c r="G26" s="249"/>
    </row>
    <row r="27" spans="1:7" s="220" customFormat="1" ht="24.75">
      <c r="A27" s="261" t="s">
        <v>2199</v>
      </c>
      <c r="B27" s="250" t="s">
        <v>2200</v>
      </c>
      <c r="C27" s="251">
        <f ca="1">C28</f>
        <v>637</v>
      </c>
      <c r="D27" s="241">
        <f ca="1">C29</f>
        <v>3.8E-3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637</v>
      </c>
      <c r="D28" s="241"/>
      <c r="E28" s="242"/>
      <c r="F28" s="252"/>
      <c r="G28" s="253"/>
    </row>
    <row r="29" spans="1:7" s="220" customFormat="1" ht="13.5" customHeight="1">
      <c r="A29" s="888" t="s">
        <v>792</v>
      </c>
      <c r="B29" s="254" t="s">
        <v>2204</v>
      </c>
      <c r="C29" s="244">
        <f ca="1">ROUND(C21*F27*'数据-取费表'!B21/'数据-取费表'!B20,4)</f>
        <v>3.8E-3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6006</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14773</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13166</v>
      </c>
      <c r="D34" s="223"/>
      <c r="E34" s="226"/>
      <c r="F34" s="263">
        <f ca="1">IF('数据-取费表'!B24=0,1,IF(B1="",'数据-取费表'!N16,INDIRECT("'数据-取费表'!n"&amp;$G$1)))</f>
        <v>1</v>
      </c>
      <c r="G34" s="225" t="s">
        <v>2213</v>
      </c>
    </row>
    <row r="35" spans="1:7" ht="13.5" customHeight="1">
      <c r="A35" s="888" t="s">
        <v>796</v>
      </c>
      <c r="B35" s="221" t="s">
        <v>2214</v>
      </c>
      <c r="C35" s="226">
        <f ca="1">ROUND(C34*F35,0)</f>
        <v>658</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752</v>
      </c>
      <c r="D37" s="223">
        <f ca="1">D19</f>
        <v>37615.929999999993</v>
      </c>
      <c r="E37" s="255">
        <f>'数据-取费表'!B35</f>
        <v>200</v>
      </c>
      <c r="F37" s="265"/>
      <c r="G37" s="267" t="s">
        <v>2219</v>
      </c>
    </row>
    <row r="38" spans="1:7" ht="13.5" customHeight="1">
      <c r="A38" s="888" t="s">
        <v>799</v>
      </c>
      <c r="B38" s="221" t="s">
        <v>2220</v>
      </c>
      <c r="C38" s="226">
        <f ca="1">ROUND(C34*F38,0)</f>
        <v>197</v>
      </c>
      <c r="D38" s="226"/>
      <c r="E38" s="226"/>
      <c r="F38" s="265">
        <f>'数据-取费表'!B36</f>
        <v>1.4999999999999999E-2</v>
      </c>
      <c r="G38" s="225" t="s">
        <v>2215</v>
      </c>
    </row>
    <row r="39" spans="1:7" s="220" customFormat="1" ht="13.5" customHeight="1">
      <c r="A39" s="261" t="s">
        <v>2221</v>
      </c>
      <c r="B39" s="216" t="s">
        <v>2222</v>
      </c>
      <c r="C39" s="238">
        <f ca="1">ROUND(C33*F20,0)</f>
        <v>369</v>
      </c>
      <c r="D39" s="238"/>
      <c r="E39" s="238"/>
      <c r="F39" s="2537">
        <f>F20</f>
        <v>2.5000000000000001E-2</v>
      </c>
      <c r="G39" s="240" t="s">
        <v>2223</v>
      </c>
    </row>
    <row r="40" spans="1:7" s="220" customFormat="1" ht="13.5" customHeight="1">
      <c r="A40" s="261" t="s">
        <v>2224</v>
      </c>
      <c r="B40" s="216" t="s">
        <v>2225</v>
      </c>
      <c r="C40" s="1497">
        <f>F21</f>
        <v>2.5000000000000001E-2</v>
      </c>
      <c r="D40" s="242" t="s">
        <v>2226</v>
      </c>
      <c r="E40" s="238"/>
      <c r="F40" s="2537">
        <f>F21</f>
        <v>2.5000000000000001E-2</v>
      </c>
      <c r="G40" s="240" t="s">
        <v>2227</v>
      </c>
    </row>
    <row r="41" spans="1:7" s="220" customFormat="1" ht="13.5" customHeight="1">
      <c r="A41" s="261" t="s">
        <v>2228</v>
      </c>
      <c r="B41" s="216" t="s">
        <v>2229</v>
      </c>
      <c r="C41" s="238">
        <f ca="1">ROUND(SUM(C42:C43),0)</f>
        <v>1092</v>
      </c>
      <c r="D41" s="241">
        <f ca="1">C44</f>
        <v>1.8E-3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1065</v>
      </c>
      <c r="D42" s="244"/>
      <c r="E42" s="244"/>
      <c r="F42" s="245"/>
      <c r="G42" s="3285" t="s">
        <v>2231</v>
      </c>
    </row>
    <row r="43" spans="1:7" ht="13.5" customHeight="1">
      <c r="A43" s="888" t="s">
        <v>792</v>
      </c>
      <c r="B43" s="221" t="s">
        <v>2232</v>
      </c>
      <c r="C43" s="244">
        <f ca="1">ROUND(IF('数据-取费表'!B22&lt;=1,C39*F22*'数据-取费表'!B21/2,C39*(POWER((1+F22),'数据-取费表'!B21/2)-1)),0)</f>
        <v>27</v>
      </c>
      <c r="D43" s="244"/>
      <c r="E43" s="244"/>
      <c r="F43" s="245"/>
      <c r="G43" s="3286"/>
    </row>
    <row r="44" spans="1:7" ht="13.5" customHeight="1">
      <c r="A44" s="888" t="s">
        <v>793</v>
      </c>
      <c r="B44" s="221" t="s">
        <v>2233</v>
      </c>
      <c r="C44" s="244">
        <f ca="1">ROUND(IF('数据-取费表'!B22&lt;=1,C40*F22*'数据-取费表'!B21/2,C40*(POWER((1+F22),'数据-取费表'!B21/2)-1)),4)</f>
        <v>1.8E-3</v>
      </c>
      <c r="D44" s="244"/>
      <c r="E44" s="244"/>
      <c r="F44" s="245"/>
      <c r="G44" s="3287"/>
    </row>
    <row r="45" spans="1:7" s="220" customFormat="1" ht="13.5" customHeight="1">
      <c r="A45" s="261" t="s">
        <v>2234</v>
      </c>
      <c r="B45" s="250" t="s">
        <v>2200</v>
      </c>
      <c r="C45" s="251">
        <f ca="1">C46</f>
        <v>2271</v>
      </c>
      <c r="D45" s="241">
        <f ca="1">C47</f>
        <v>3.8E-3</v>
      </c>
      <c r="E45" s="242" t="s">
        <v>2226</v>
      </c>
      <c r="F45" s="2539">
        <f ca="1">F27</f>
        <v>0.15</v>
      </c>
      <c r="G45" s="253" t="s">
        <v>2235</v>
      </c>
    </row>
    <row r="46" spans="1:7" s="220" customFormat="1" ht="13.5" customHeight="1">
      <c r="A46" s="888" t="s">
        <v>791</v>
      </c>
      <c r="B46" s="254" t="s">
        <v>2236</v>
      </c>
      <c r="C46" s="255">
        <f ca="1">ROUND((C33+C39)*F27,0)</f>
        <v>2271</v>
      </c>
      <c r="D46" s="269"/>
      <c r="E46" s="242"/>
      <c r="F46" s="252"/>
      <c r="G46" s="253"/>
    </row>
    <row r="47" spans="1:7" s="220" customFormat="1" ht="13.5" customHeight="1">
      <c r="A47" s="888" t="s">
        <v>792</v>
      </c>
      <c r="B47" s="254" t="s">
        <v>2237</v>
      </c>
      <c r="C47" s="244">
        <f ca="1">ROUND(C40*F27,4)</f>
        <v>3.8E-3</v>
      </c>
      <c r="D47" s="269"/>
      <c r="E47" s="242"/>
      <c r="F47" s="252"/>
      <c r="G47" s="253"/>
    </row>
    <row r="48" spans="1:7" s="220" customFormat="1" ht="13.5" customHeight="1">
      <c r="A48" s="261" t="s">
        <v>2199</v>
      </c>
      <c r="B48" s="216" t="s">
        <v>2238</v>
      </c>
      <c r="C48" s="1497">
        <f>ROUND(F30/(1+'数据-取费表'!C42),4)</f>
        <v>5.2400000000000002E-2</v>
      </c>
      <c r="D48" s="242" t="s">
        <v>2226</v>
      </c>
      <c r="E48" s="238"/>
      <c r="F48" s="2538">
        <f>F30</f>
        <v>5.5000000000000007E-2</v>
      </c>
      <c r="G48" s="240" t="s">
        <v>2239</v>
      </c>
    </row>
    <row r="49" spans="1:7" ht="16.5" customHeight="1">
      <c r="A49" s="261" t="s">
        <v>2205</v>
      </c>
      <c r="B49" s="216" t="s">
        <v>2240</v>
      </c>
      <c r="C49" s="238">
        <f ca="1">ROUND((C33+C39+C41+C45)/(1-C40-D41-D45-C48),0)</f>
        <v>20180</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20180</v>
      </c>
      <c r="D51" s="238"/>
      <c r="E51" s="238"/>
      <c r="F51" s="270"/>
      <c r="G51" s="240" t="s">
        <v>2247</v>
      </c>
    </row>
    <row r="52" spans="1:7" s="214" customFormat="1" ht="16.5" thickBot="1">
      <c r="A52" s="271" t="s">
        <v>2248</v>
      </c>
      <c r="B52" s="272"/>
      <c r="C52" s="273">
        <f ca="1">C31+C51</f>
        <v>26186</v>
      </c>
      <c r="D52" s="272"/>
      <c r="E52" s="272"/>
      <c r="F52" s="272"/>
      <c r="G52" s="274"/>
    </row>
    <row r="55" spans="1:7" ht="15">
      <c r="B55" s="276" t="s">
        <v>2249</v>
      </c>
      <c r="C55" s="277"/>
    </row>
    <row r="56" spans="1:7">
      <c r="B56" s="279" t="s">
        <v>1478</v>
      </c>
      <c r="C56" s="281">
        <f ca="1">1-C57</f>
        <v>0.22899999999999998</v>
      </c>
    </row>
    <row r="57" spans="1:7">
      <c r="B57" s="279" t="s">
        <v>1479</v>
      </c>
      <c r="C57" s="280">
        <f ca="1">ROUND(C51/C52,3)</f>
        <v>0.77100000000000002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33585</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5751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4.0500000000000001E-2</v>
      </c>
      <c r="G7" s="225"/>
    </row>
    <row r="8" spans="1:8" s="229" customFormat="1">
      <c r="A8" s="886" t="s">
        <v>2163</v>
      </c>
      <c r="B8" s="221" t="s">
        <v>2164</v>
      </c>
      <c r="C8" s="226">
        <f ca="1">IF(G8="已包含在土地购买价格中",0,C9+C10)</f>
        <v>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0</v>
      </c>
      <c r="D10" s="954">
        <f ca="1">IF(B1="",'数据-汇总表'!E6,IF(INDIRECT("'数据-取费表'!c"&amp;$G$1)="住宅",INDIRECT("'数据-取费表'!s"&amp;$G$1),INDIRECT("'数据-取费表'!k"&amp;$G$1)+INDIRECT("'数据-取费表'!s"&amp;$G$1)))</f>
        <v>58402.819999999992</v>
      </c>
      <c r="E10" s="231">
        <f>'数据-取费表'!B28</f>
        <v>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11680564</v>
      </c>
      <c r="D19" s="958">
        <f ca="1">D9+D10</f>
        <v>58402.819999999992</v>
      </c>
      <c r="E19" s="217">
        <f>'数据-取费表'!B31</f>
        <v>200</v>
      </c>
      <c r="F19" s="237"/>
      <c r="G19" s="2044"/>
    </row>
    <row r="20" spans="1:7" s="220" customFormat="1" ht="13.5" customHeight="1">
      <c r="A20" s="261" t="s">
        <v>2261</v>
      </c>
      <c r="B20" s="216" t="s">
        <v>2262</v>
      </c>
      <c r="C20" s="238">
        <f ca="1">ROUND((C5+C19)*F20,0)</f>
        <v>292014</v>
      </c>
      <c r="D20" s="238"/>
      <c r="E20" s="238"/>
      <c r="F20" s="239">
        <f>'数据-取费表'!B37</f>
        <v>2.5000000000000001E-2</v>
      </c>
      <c r="G20" s="240" t="s">
        <v>2263</v>
      </c>
    </row>
    <row r="21" spans="1:7" s="220" customFormat="1" ht="13.5" customHeight="1">
      <c r="A21" s="261" t="s">
        <v>2264</v>
      </c>
      <c r="B21" s="216" t="s">
        <v>2265</v>
      </c>
      <c r="C21" s="241">
        <f>F21</f>
        <v>2.5000000000000001E-2</v>
      </c>
      <c r="D21" s="242" t="s">
        <v>2266</v>
      </c>
      <c r="E21" s="238"/>
      <c r="F21" s="239">
        <f>'数据-取费表'!B38</f>
        <v>2.5000000000000001E-2</v>
      </c>
      <c r="G21" s="240" t="s">
        <v>2267</v>
      </c>
    </row>
    <row r="22" spans="1:7" s="220" customFormat="1" ht="13.5" customHeight="1">
      <c r="A22" s="261" t="s">
        <v>2268</v>
      </c>
      <c r="B22" s="216" t="s">
        <v>2269</v>
      </c>
      <c r="C22" s="1289">
        <f ca="1">ROUND(SUM(C23:C25),0)</f>
        <v>1765846</v>
      </c>
      <c r="D22" s="241">
        <f ca="1">C26</f>
        <v>1.8E-3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0</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1744795</v>
      </c>
      <c r="D24" s="244"/>
      <c r="E24" s="244"/>
      <c r="F24" s="245"/>
      <c r="G24" s="246" t="s">
        <v>2273</v>
      </c>
    </row>
    <row r="25" spans="1:7" s="220" customFormat="1" ht="24">
      <c r="A25" s="888" t="s">
        <v>2163</v>
      </c>
      <c r="B25" s="221" t="s">
        <v>2274</v>
      </c>
      <c r="C25" s="1290">
        <f ca="1">ROUND(IF('数据-取费表'!B22&lt;=1,C20*F22*'数据-取费表'!B22/2,C20*(POWER((1+F22),'数据-取费表'!B22/2)-1)),0)</f>
        <v>21051</v>
      </c>
      <c r="D25" s="244"/>
      <c r="E25" s="247"/>
      <c r="F25" s="245"/>
      <c r="G25" s="248" t="s">
        <v>2275</v>
      </c>
    </row>
    <row r="26" spans="1:7" s="220" customFormat="1">
      <c r="A26" s="888" t="s">
        <v>795</v>
      </c>
      <c r="B26" s="221" t="s">
        <v>2198</v>
      </c>
      <c r="C26" s="244">
        <f ca="1">ROUND(IF('数据-取费表'!B22&lt;=1,F21*F22*'数据-取费表'!B22/2,F21*(POWER((1+F22),'数据-取费表'!B22/2)-1)),4)</f>
        <v>1.8E-3</v>
      </c>
      <c r="D26" s="244"/>
      <c r="E26" s="247"/>
      <c r="F26" s="245"/>
      <c r="G26" s="249"/>
    </row>
    <row r="27" spans="1:7" s="220" customFormat="1" ht="24.75">
      <c r="A27" s="261" t="s">
        <v>2199</v>
      </c>
      <c r="B27" s="250" t="s">
        <v>2200</v>
      </c>
      <c r="C27" s="251">
        <f ca="1">C28</f>
        <v>2035338</v>
      </c>
      <c r="D27" s="241">
        <f ca="1">C29</f>
        <v>4.3E-3</v>
      </c>
      <c r="E27" s="242" t="s">
        <v>2201</v>
      </c>
      <c r="F27" s="252">
        <f ca="1">IF(B1="",'数据-取费表'!Q16,INDIRECT("'数据-取费表'!q"&amp;$G$1))</f>
        <v>0.17</v>
      </c>
      <c r="G27" s="253" t="s">
        <v>2202</v>
      </c>
    </row>
    <row r="28" spans="1:7" s="220" customFormat="1" ht="13.5" customHeight="1">
      <c r="A28" s="888" t="s">
        <v>791</v>
      </c>
      <c r="B28" s="254" t="s">
        <v>2203</v>
      </c>
      <c r="C28" s="255">
        <f ca="1">ROUND((C5+C19+C20)*F27,0)</f>
        <v>2035338</v>
      </c>
      <c r="D28" s="241"/>
      <c r="E28" s="242"/>
      <c r="F28" s="252"/>
      <c r="G28" s="253"/>
    </row>
    <row r="29" spans="1:7" s="220" customFormat="1" ht="13.5" customHeight="1">
      <c r="A29" s="888" t="s">
        <v>792</v>
      </c>
      <c r="B29" s="254" t="s">
        <v>2204</v>
      </c>
      <c r="C29" s="244">
        <f ca="1">ROUND(C21*F27,4)</f>
        <v>4.3E-3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17210870</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229377076</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204409870</v>
      </c>
      <c r="D34" s="223"/>
      <c r="E34" s="226"/>
      <c r="F34" s="263"/>
      <c r="G34" s="225"/>
    </row>
    <row r="35" spans="1:7" ht="13.5" customHeight="1">
      <c r="A35" s="888" t="s">
        <v>796</v>
      </c>
      <c r="B35" s="221" t="s">
        <v>2214</v>
      </c>
      <c r="C35" s="226">
        <f ca="1">ROUND(C34*F35,0)</f>
        <v>10220494</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11680564</v>
      </c>
      <c r="D37" s="223">
        <f ca="1">D19</f>
        <v>58402.819999999992</v>
      </c>
      <c r="E37" s="255">
        <f>'数据-取费表'!B35</f>
        <v>200</v>
      </c>
      <c r="F37" s="265"/>
      <c r="G37" s="267"/>
    </row>
    <row r="38" spans="1:7" ht="13.5" customHeight="1">
      <c r="A38" s="888" t="s">
        <v>799</v>
      </c>
      <c r="B38" s="221" t="s">
        <v>2220</v>
      </c>
      <c r="C38" s="226">
        <f ca="1">ROUND(C34*F38,0)</f>
        <v>3066148</v>
      </c>
      <c r="D38" s="226"/>
      <c r="E38" s="226"/>
      <c r="F38" s="265">
        <f>'数据-取费表'!B36</f>
        <v>1.4999999999999999E-2</v>
      </c>
      <c r="G38" s="225" t="s">
        <v>2215</v>
      </c>
    </row>
    <row r="39" spans="1:7" s="220" customFormat="1" ht="13.5" customHeight="1">
      <c r="A39" s="261" t="s">
        <v>2221</v>
      </c>
      <c r="B39" s="216" t="s">
        <v>2222</v>
      </c>
      <c r="C39" s="238">
        <f ca="1">ROUND(C33*F20,0)</f>
        <v>5734427</v>
      </c>
      <c r="D39" s="238"/>
      <c r="E39" s="238"/>
      <c r="F39" s="2537">
        <f>F20</f>
        <v>2.5000000000000001E-2</v>
      </c>
      <c r="G39" s="240" t="s">
        <v>2223</v>
      </c>
    </row>
    <row r="40" spans="1:7" s="220" customFormat="1" ht="13.5" customHeight="1">
      <c r="A40" s="261" t="s">
        <v>2224</v>
      </c>
      <c r="B40" s="216" t="s">
        <v>2225</v>
      </c>
      <c r="C40" s="1497">
        <f>F21</f>
        <v>2.5000000000000001E-2</v>
      </c>
      <c r="D40" s="242" t="s">
        <v>2226</v>
      </c>
      <c r="E40" s="238"/>
      <c r="F40" s="2537">
        <f>F21</f>
        <v>2.5000000000000001E-2</v>
      </c>
      <c r="G40" s="240" t="s">
        <v>2227</v>
      </c>
    </row>
    <row r="41" spans="1:7" s="220" customFormat="1" ht="13.5" customHeight="1">
      <c r="A41" s="261" t="s">
        <v>2228</v>
      </c>
      <c r="B41" s="216" t="s">
        <v>2229</v>
      </c>
      <c r="C41" s="238">
        <f ca="1">ROUND(SUM(C42:C43),0)</f>
        <v>16949073</v>
      </c>
      <c r="D41" s="241">
        <f ca="1">C44</f>
        <v>1.8E-3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16535681</v>
      </c>
      <c r="D42" s="244"/>
      <c r="E42" s="244"/>
      <c r="F42" s="245"/>
      <c r="G42" s="3285" t="s">
        <v>2278</v>
      </c>
    </row>
    <row r="43" spans="1:7" ht="13.5" customHeight="1">
      <c r="A43" s="888" t="s">
        <v>792</v>
      </c>
      <c r="B43" s="221" t="s">
        <v>2232</v>
      </c>
      <c r="C43" s="244">
        <f ca="1">ROUND(IF('数据-取费表'!B22&lt;=1,C39*F22*'数据-取费表'!B20/2,C39*(POWER((1+F22),'数据-取费表'!B20/2)-1)),0)</f>
        <v>413392</v>
      </c>
      <c r="D43" s="244"/>
      <c r="E43" s="244"/>
      <c r="F43" s="245"/>
      <c r="G43" s="3286"/>
    </row>
    <row r="44" spans="1:7" ht="13.5" customHeight="1">
      <c r="A44" s="888" t="s">
        <v>793</v>
      </c>
      <c r="B44" s="221" t="s">
        <v>2233</v>
      </c>
      <c r="C44" s="244">
        <f ca="1">ROUND(IF('数据-取费表'!B22&lt;=1,C40*F22*'数据-取费表'!B20/2,C40*(POWER((1+F22),'数据-取费表'!B20/2)-1)),4)</f>
        <v>1.8E-3</v>
      </c>
      <c r="D44" s="244"/>
      <c r="E44" s="244"/>
      <c r="F44" s="245"/>
      <c r="G44" s="3287"/>
    </row>
    <row r="45" spans="1:7" s="220" customFormat="1" ht="13.5" customHeight="1">
      <c r="A45" s="261" t="s">
        <v>2234</v>
      </c>
      <c r="B45" s="250" t="s">
        <v>2200</v>
      </c>
      <c r="C45" s="251">
        <f ca="1">C46</f>
        <v>39968956</v>
      </c>
      <c r="D45" s="241">
        <f ca="1">C47</f>
        <v>4.3E-3</v>
      </c>
      <c r="E45" s="242" t="s">
        <v>2226</v>
      </c>
      <c r="F45" s="2539">
        <f ca="1">F27</f>
        <v>0.17</v>
      </c>
      <c r="G45" s="253" t="s">
        <v>2235</v>
      </c>
    </row>
    <row r="46" spans="1:7" s="220" customFormat="1" ht="13.5" customHeight="1">
      <c r="A46" s="888" t="s">
        <v>791</v>
      </c>
      <c r="B46" s="254" t="s">
        <v>2236</v>
      </c>
      <c r="C46" s="255">
        <f ca="1">ROUND((C33+C39)*F27,0)</f>
        <v>39968956</v>
      </c>
      <c r="D46" s="269"/>
      <c r="E46" s="242"/>
      <c r="F46" s="252"/>
      <c r="G46" s="253"/>
    </row>
    <row r="47" spans="1:7" s="220" customFormat="1" ht="13.5" customHeight="1">
      <c r="A47" s="888" t="s">
        <v>792</v>
      </c>
      <c r="B47" s="254" t="s">
        <v>2237</v>
      </c>
      <c r="C47" s="244">
        <f ca="1">ROUND(C40*F27,4)</f>
        <v>4.3E-3</v>
      </c>
      <c r="D47" s="269"/>
      <c r="E47" s="242"/>
      <c r="F47" s="252"/>
      <c r="G47" s="253"/>
    </row>
    <row r="48" spans="1:7" s="220" customFormat="1" ht="13.5" customHeight="1">
      <c r="A48" s="261" t="s">
        <v>2199</v>
      </c>
      <c r="B48" s="216" t="s">
        <v>2238</v>
      </c>
      <c r="C48" s="268">
        <f>ROUND(F30/(1+'数据-取费表'!C42),4)</f>
        <v>5.2400000000000002E-2</v>
      </c>
      <c r="D48" s="242" t="s">
        <v>2226</v>
      </c>
      <c r="E48" s="238"/>
      <c r="F48" s="2538">
        <f>F30</f>
        <v>5.5000000000000007E-2</v>
      </c>
      <c r="G48" s="240" t="s">
        <v>2239</v>
      </c>
    </row>
    <row r="49" spans="1:7" ht="16.5" customHeight="1">
      <c r="A49" s="261" t="s">
        <v>2205</v>
      </c>
      <c r="B49" s="216" t="s">
        <v>2279</v>
      </c>
      <c r="C49" s="238">
        <f ca="1">ROUND((C33+C39+C41+C45)/(1-C40-D41-D45-C48),0)</f>
        <v>318635605</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318635605</v>
      </c>
      <c r="D51" s="238"/>
      <c r="E51" s="238"/>
      <c r="F51" s="270"/>
      <c r="G51" s="240" t="s">
        <v>2247</v>
      </c>
    </row>
    <row r="52" spans="1:7" s="214" customFormat="1" ht="16.5" thickBot="1">
      <c r="A52" s="271" t="s">
        <v>2248</v>
      </c>
      <c r="B52" s="272"/>
      <c r="C52" s="273">
        <f ca="1">C31+C51</f>
        <v>335846475</v>
      </c>
      <c r="D52" s="272"/>
      <c r="E52" s="272"/>
      <c r="F52" s="272"/>
      <c r="G52" s="274"/>
    </row>
    <row r="55" spans="1:7" ht="15">
      <c r="B55" s="276" t="s">
        <v>2249</v>
      </c>
      <c r="C55" s="277"/>
    </row>
    <row r="56" spans="1:7">
      <c r="B56" s="279" t="s">
        <v>1478</v>
      </c>
      <c r="C56" s="281">
        <f ca="1">1-C57</f>
        <v>5.1000000000000045E-2</v>
      </c>
    </row>
    <row r="57" spans="1:7">
      <c r="B57" s="279" t="s">
        <v>1479</v>
      </c>
      <c r="C57" s="280">
        <f ca="1">ROUND(C51/C52,3)</f>
        <v>0.94899999999999995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4036</v>
      </c>
      <c r="C1" s="204"/>
      <c r="D1" s="204"/>
      <c r="E1" s="204"/>
      <c r="F1" s="204"/>
      <c r="G1" s="1288">
        <f>MATCH(B1,'数据-取费表'!A6:A16,0)+5</f>
        <v>7</v>
      </c>
    </row>
    <row r="2" spans="1:9" s="206" customFormat="1" ht="18" customHeight="1">
      <c r="A2" s="207" t="s">
        <v>1359</v>
      </c>
      <c r="B2" s="208">
        <f ca="1">IF(D2="——",C52,C52-E2)</f>
        <v>15076</v>
      </c>
      <c r="C2" s="205" t="s">
        <v>2150</v>
      </c>
      <c r="D2" s="2041" t="s">
        <v>70</v>
      </c>
      <c r="E2" s="1331" t="e">
        <f ca="1">SUMIF(INDIRECT("'"&amp;G2&amp;"'"&amp;"!A:A"),"承租人权益价值",INDIRECT("'"&amp;G2&amp;"'"&amp;"!c:c"))</f>
        <v>#REF!</v>
      </c>
      <c r="F2" s="2042" t="s">
        <v>2150</v>
      </c>
      <c r="G2" s="2043"/>
    </row>
    <row r="3" spans="1:9" s="206" customFormat="1" ht="18" customHeight="1" thickBot="1">
      <c r="A3" s="209" t="s">
        <v>1360</v>
      </c>
      <c r="B3" s="210">
        <f ca="1">ROUND(B2*10000/(IF(B1="",'数据-汇总表'!E3,INDIRECT("'数据-取费表'!k"&amp;$G$1))),0)</f>
        <v>7253</v>
      </c>
      <c r="C3" s="205" t="s">
        <v>2152</v>
      </c>
      <c r="D3" s="205"/>
      <c r="E3" s="205"/>
      <c r="F3" s="205"/>
      <c r="G3" s="205"/>
    </row>
    <row r="4" spans="1:9" s="214" customFormat="1" ht="15.75">
      <c r="A4" s="211" t="s">
        <v>2153</v>
      </c>
      <c r="B4" s="212"/>
      <c r="C4" s="212"/>
      <c r="D4" s="212"/>
      <c r="E4" s="212"/>
      <c r="F4" s="212"/>
      <c r="G4" s="213"/>
    </row>
    <row r="5" spans="1:9" s="220" customFormat="1" ht="13.5" customHeight="1">
      <c r="A5" s="261" t="s">
        <v>782</v>
      </c>
      <c r="B5" s="216" t="s">
        <v>2155</v>
      </c>
      <c r="C5" s="217">
        <f ca="1">C6+C7+C8</f>
        <v>2288.252962</v>
      </c>
      <c r="D5" s="217" t="s">
        <v>2156</v>
      </c>
      <c r="E5" s="218" t="s">
        <v>2157</v>
      </c>
      <c r="F5" s="218" t="s">
        <v>2158</v>
      </c>
      <c r="G5" s="219"/>
    </row>
    <row r="6" spans="1:9" s="220" customFormat="1" ht="13.5" customHeight="1">
      <c r="A6" s="886" t="s">
        <v>791</v>
      </c>
      <c r="B6" s="221" t="s">
        <v>2160</v>
      </c>
      <c r="C6" s="222">
        <f>'土地比较法-住宅、综合'!B3*'数据-汇总表'!F20/10000</f>
        <v>2199.252962</v>
      </c>
      <c r="D6" s="223"/>
      <c r="E6" s="224"/>
      <c r="F6" s="224"/>
      <c r="G6" s="225"/>
    </row>
    <row r="7" spans="1:9" s="220" customFormat="1" ht="13.5" customHeight="1">
      <c r="A7" s="886" t="s">
        <v>792</v>
      </c>
      <c r="B7" s="221" t="s">
        <v>2162</v>
      </c>
      <c r="C7" s="226">
        <f>ROUND(C6*F7,0)</f>
        <v>89</v>
      </c>
      <c r="D7" s="226"/>
      <c r="E7" s="224"/>
      <c r="F7" s="227">
        <f>IF(项目基本情况!B8="出让",0,'数据-取费表'!B48+'数据-取费表'!B49)</f>
        <v>4.0500000000000001E-2</v>
      </c>
      <c r="G7" s="225"/>
    </row>
    <row r="8" spans="1:9" s="229" customFormat="1">
      <c r="A8" s="886" t="s">
        <v>793</v>
      </c>
      <c r="B8" s="221" t="s">
        <v>2164</v>
      </c>
      <c r="C8" s="226">
        <f ca="1">IF(G8="已包含在土地购买价格中","0",IF(B1="",'数据-取费表'!B29,IF(G9="全部缴纳",C9+C10,H9)))</f>
        <v>0</v>
      </c>
      <c r="D8" s="228"/>
      <c r="E8" s="226"/>
      <c r="F8" s="227"/>
      <c r="G8" s="2044" t="s">
        <v>4141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5" t="s">
        <v>4142</v>
      </c>
      <c r="H9" s="1299"/>
      <c r="I9" s="2046" t="s">
        <v>2166</v>
      </c>
    </row>
    <row r="10" spans="1:9" s="220" customFormat="1" ht="13.5" customHeight="1">
      <c r="A10" s="887" t="s">
        <v>801</v>
      </c>
      <c r="B10" s="230" t="s">
        <v>2167</v>
      </c>
      <c r="C10" s="231">
        <f ca="1">ROUND(D10*E10/10000,0)</f>
        <v>0</v>
      </c>
      <c r="D10" s="954">
        <f ca="1">IF(B1="",'数据-汇总表'!E6,IF(INDIRECT("'数据-取费表'!c"&amp;$G$1)="住宅",INDIRECT("'数据-取费表'!s"&amp;$G$1),INDIRECT("'数据-取费表'!k"&amp;$G$1)+INDIRECT("'数据-取费表'!s"&amp;$G$1)))</f>
        <v>20786.89</v>
      </c>
      <c r="E10" s="231">
        <f>'数据-取费表'!B28</f>
        <v>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2164</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20786.89</v>
      </c>
      <c r="E19" s="217">
        <f>'数据-取费表'!B31</f>
        <v>200</v>
      </c>
      <c r="F19" s="237"/>
      <c r="G19" s="2044" t="s">
        <v>4143</v>
      </c>
    </row>
    <row r="20" spans="1:7" s="220" customFormat="1" ht="13.5" customHeight="1">
      <c r="A20" s="261" t="s">
        <v>2180</v>
      </c>
      <c r="B20" s="216" t="s">
        <v>2181</v>
      </c>
      <c r="C20" s="238">
        <f ca="1">ROUND((C5+C19)*F20,0)</f>
        <v>57</v>
      </c>
      <c r="D20" s="238"/>
      <c r="E20" s="238"/>
      <c r="F20" s="239">
        <f>'数据-取费表'!B37</f>
        <v>2.5000000000000001E-2</v>
      </c>
      <c r="G20" s="240" t="s">
        <v>2182</v>
      </c>
    </row>
    <row r="21" spans="1:7" s="220" customFormat="1" ht="13.5" customHeight="1">
      <c r="A21" s="261" t="s">
        <v>2183</v>
      </c>
      <c r="B21" s="216" t="s">
        <v>2184</v>
      </c>
      <c r="C21" s="241">
        <f>F21</f>
        <v>2.5000000000000001E-2</v>
      </c>
      <c r="D21" s="242" t="s">
        <v>2185</v>
      </c>
      <c r="E21" s="238"/>
      <c r="F21" s="239">
        <f>'数据-取费表'!B38</f>
        <v>2.5000000000000001E-2</v>
      </c>
      <c r="G21" s="240" t="s">
        <v>2186</v>
      </c>
    </row>
    <row r="22" spans="1:7" s="220" customFormat="1" ht="13.5" customHeight="1">
      <c r="A22" s="261" t="s">
        <v>2187</v>
      </c>
      <c r="B22" s="216" t="s">
        <v>2188</v>
      </c>
      <c r="C22" s="1264">
        <f ca="1">ROUND(SUM(C23:C25),0)</f>
        <v>346</v>
      </c>
      <c r="D22" s="241">
        <f ca="1">C26</f>
        <v>1.8E-3</v>
      </c>
      <c r="E22" s="242" t="s">
        <v>2185</v>
      </c>
      <c r="F22" s="243">
        <f ca="1">'数据-取费表'!B40</f>
        <v>4.7500000000000001E-2</v>
      </c>
      <c r="G22" s="240" t="str">
        <f>IF('数据-取费表'!B22&lt;=1,"单利计息","复利计息")</f>
        <v>复利计息</v>
      </c>
    </row>
    <row r="23" spans="1:7" s="220" customFormat="1" ht="13.5" customHeight="1">
      <c r="A23" s="888" t="s">
        <v>791</v>
      </c>
      <c r="B23" s="221" t="s">
        <v>2190</v>
      </c>
      <c r="C23" s="1265">
        <f ca="1">ROUND(IF('数据-取费表'!B22&lt;=1,C5*F22*'数据-取费表'!B23,C5*(POWER((1+F22),'数据-取费表'!B23)-1)),0)</f>
        <v>342</v>
      </c>
      <c r="D23" s="244"/>
      <c r="E23" s="244"/>
      <c r="F23" s="245"/>
      <c r="G23" s="246" t="s">
        <v>2191</v>
      </c>
    </row>
    <row r="24" spans="1:7" s="220" customFormat="1" ht="13.5" customHeight="1">
      <c r="A24" s="888" t="s">
        <v>792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793</v>
      </c>
      <c r="B25" s="221" t="s">
        <v>2196</v>
      </c>
      <c r="C25" s="1265">
        <f ca="1">ROUND(IF('数据-取费表'!B22&lt;=1,C20*F22*'数据-取费表'!B23/2,C20*(POWER((1+F22),'数据-取费表'!B23/2)-1)),0)</f>
        <v>4</v>
      </c>
      <c r="D25" s="244"/>
      <c r="E25" s="247"/>
      <c r="F25" s="245"/>
      <c r="G25" s="248" t="s">
        <v>2197</v>
      </c>
    </row>
    <row r="26" spans="1:7" s="220" customFormat="1">
      <c r="A26" s="888" t="s">
        <v>795</v>
      </c>
      <c r="B26" s="221" t="s">
        <v>2198</v>
      </c>
      <c r="C26" s="244">
        <f ca="1">ROUND(IF('数据-取费表'!B22&lt;=1,F21*F22*'数据-取费表'!B23/2,F21*(POWER((1+F22),'数据-取费表'!B23/2)-1)),4)</f>
        <v>1.8E-3</v>
      </c>
      <c r="D26" s="244"/>
      <c r="E26" s="247"/>
      <c r="F26" s="245"/>
      <c r="G26" s="249"/>
    </row>
    <row r="27" spans="1:7" s="220" customFormat="1" ht="24.75">
      <c r="A27" s="261" t="s">
        <v>2199</v>
      </c>
      <c r="B27" s="250" t="s">
        <v>2200</v>
      </c>
      <c r="C27" s="251">
        <f ca="1">C28</f>
        <v>469</v>
      </c>
      <c r="D27" s="241">
        <f ca="1">C29</f>
        <v>5.0000000000000001E-3</v>
      </c>
      <c r="E27" s="242" t="s">
        <v>2185</v>
      </c>
      <c r="F27" s="252">
        <f ca="1">IF(B1="",'数据-取费表'!Q16,INDIRECT("'数据-取费表'!q"&amp;$G$1))</f>
        <v>0.2</v>
      </c>
      <c r="G27" s="253" t="s">
        <v>2202</v>
      </c>
    </row>
    <row r="28" spans="1:7" s="220" customFormat="1" ht="13.5" customHeight="1">
      <c r="A28" s="888" t="s">
        <v>791</v>
      </c>
      <c r="B28" s="254" t="s">
        <v>2203</v>
      </c>
      <c r="C28" s="255">
        <f ca="1">ROUND((C5+C19+C20)*F27*'数据-取费表'!B21/'数据-取费表'!B20,0)</f>
        <v>469</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2185</v>
      </c>
      <c r="E30" s="247"/>
      <c r="F30" s="243">
        <f>'数据-取费表'!B41</f>
        <v>5.5000000000000007E-2</v>
      </c>
      <c r="G30" s="240" t="s">
        <v>2207</v>
      </c>
    </row>
    <row r="31" spans="1:7" ht="16.5" customHeight="1">
      <c r="A31" s="215">
        <v>1</v>
      </c>
      <c r="B31" s="216" t="s">
        <v>2208</v>
      </c>
      <c r="C31" s="217">
        <f ca="1">ROUND((C5+C19+C20+C22+C27)/(1-C21-D22-D27-C30),0)</f>
        <v>3451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8164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7275</v>
      </c>
      <c r="D34" s="223"/>
      <c r="E34" s="226"/>
      <c r="F34" s="263">
        <f ca="1">IF('数据-取费表'!B24=0,1,IF(B1="",'数据-取费表'!N16,INDIRECT("'数据-取费表'!n"&amp;$G$1)))</f>
        <v>1</v>
      </c>
      <c r="G34" s="225" t="s">
        <v>2213</v>
      </c>
    </row>
    <row r="35" spans="1:7" ht="13.5" customHeight="1">
      <c r="A35" s="888" t="s">
        <v>796</v>
      </c>
      <c r="B35" s="221" t="s">
        <v>2214</v>
      </c>
      <c r="C35" s="226">
        <f ca="1">ROUND(C34*F35,0)</f>
        <v>364</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416</v>
      </c>
      <c r="D37" s="223">
        <f ca="1">D19</f>
        <v>20786.89</v>
      </c>
      <c r="E37" s="255">
        <f>'数据-取费表'!B35</f>
        <v>200</v>
      </c>
      <c r="F37" s="265"/>
      <c r="G37" s="267" t="s">
        <v>2219</v>
      </c>
    </row>
    <row r="38" spans="1:7" ht="13.5" customHeight="1">
      <c r="A38" s="888" t="s">
        <v>799</v>
      </c>
      <c r="B38" s="221" t="s">
        <v>2220</v>
      </c>
      <c r="C38" s="226">
        <f ca="1">ROUND(C34*F38,0)</f>
        <v>109</v>
      </c>
      <c r="D38" s="226"/>
      <c r="E38" s="226"/>
      <c r="F38" s="265">
        <f>'数据-取费表'!B36</f>
        <v>1.4999999999999999E-2</v>
      </c>
      <c r="G38" s="225" t="s">
        <v>2215</v>
      </c>
    </row>
    <row r="39" spans="1:7" s="220" customFormat="1" ht="13.5" customHeight="1">
      <c r="A39" s="261" t="s">
        <v>2178</v>
      </c>
      <c r="B39" s="216" t="s">
        <v>2181</v>
      </c>
      <c r="C39" s="238">
        <f ca="1">ROUND(C33*F20,0)</f>
        <v>204</v>
      </c>
      <c r="D39" s="238"/>
      <c r="E39" s="238"/>
      <c r="F39" s="2537">
        <f>F20</f>
        <v>2.5000000000000001E-2</v>
      </c>
      <c r="G39" s="240" t="s">
        <v>2223</v>
      </c>
    </row>
    <row r="40" spans="1:7" s="220" customFormat="1" ht="13.5" customHeight="1">
      <c r="A40" s="261" t="s">
        <v>2180</v>
      </c>
      <c r="B40" s="216" t="s">
        <v>2184</v>
      </c>
      <c r="C40" s="1497">
        <f>F21</f>
        <v>2.5000000000000001E-2</v>
      </c>
      <c r="D40" s="242" t="s">
        <v>2226</v>
      </c>
      <c r="E40" s="238"/>
      <c r="F40" s="2537">
        <f>F21</f>
        <v>2.5000000000000001E-2</v>
      </c>
      <c r="G40" s="240" t="s">
        <v>2227</v>
      </c>
    </row>
    <row r="41" spans="1:7" s="220" customFormat="1" ht="13.5" customHeight="1">
      <c r="A41" s="261" t="s">
        <v>2183</v>
      </c>
      <c r="B41" s="216" t="s">
        <v>2188</v>
      </c>
      <c r="C41" s="238">
        <f ca="1">ROUND(SUM(C42:C43),0)</f>
        <v>604</v>
      </c>
      <c r="D41" s="241">
        <f ca="1">C44</f>
        <v>1.8E-3</v>
      </c>
      <c r="E41" s="242" t="s">
        <v>2226</v>
      </c>
      <c r="F41" s="2538">
        <f ca="1">F22</f>
        <v>4.7500000000000001E-2</v>
      </c>
      <c r="G41" s="240" t="str">
        <f>IF('数据-取费表'!B22&lt;=1,"单利计息","复利计息")</f>
        <v>复利计息</v>
      </c>
    </row>
    <row r="42" spans="1:7" ht="13.5" customHeight="1">
      <c r="A42" s="888" t="s">
        <v>791</v>
      </c>
      <c r="B42" s="221" t="s">
        <v>2190</v>
      </c>
      <c r="C42" s="244">
        <f ca="1">ROUND(IF('数据-取费表'!B22&lt;=1,C33*F22*'数据-取费表'!B21/2,C33*(POWER((1+F22),'数据-取费表'!B21/2)-1)),0)</f>
        <v>589</v>
      </c>
      <c r="D42" s="244"/>
      <c r="E42" s="244"/>
      <c r="F42" s="245"/>
      <c r="G42" s="3285" t="s">
        <v>2231</v>
      </c>
    </row>
    <row r="43" spans="1:7" ht="13.5" customHeight="1">
      <c r="A43" s="888" t="s">
        <v>792</v>
      </c>
      <c r="B43" s="221" t="s">
        <v>2193</v>
      </c>
      <c r="C43" s="244">
        <f ca="1">ROUND(IF('数据-取费表'!B22&lt;=1,C39*F22*'数据-取费表'!B21/2,C39*(POWER((1+F22),'数据-取费表'!B21/2)-1)),0)</f>
        <v>15</v>
      </c>
      <c r="D43" s="244"/>
      <c r="E43" s="244"/>
      <c r="F43" s="245"/>
      <c r="G43" s="3286"/>
    </row>
    <row r="44" spans="1:7" ht="13.5" customHeight="1">
      <c r="A44" s="888" t="s">
        <v>793</v>
      </c>
      <c r="B44" s="221" t="s">
        <v>2196</v>
      </c>
      <c r="C44" s="244">
        <f ca="1">ROUND(IF('数据-取费表'!B22&lt;=1,C40*F22*'数据-取费表'!B21/2,C40*(POWER((1+F22),'数据-取费表'!B21/2)-1)),4)</f>
        <v>1.8E-3</v>
      </c>
      <c r="D44" s="244"/>
      <c r="E44" s="244"/>
      <c r="F44" s="245"/>
      <c r="G44" s="3287"/>
    </row>
    <row r="45" spans="1:7" s="220" customFormat="1" ht="13.5" customHeight="1">
      <c r="A45" s="261" t="s">
        <v>2187</v>
      </c>
      <c r="B45" s="250" t="s">
        <v>2200</v>
      </c>
      <c r="C45" s="251">
        <f ca="1">C46</f>
        <v>1674</v>
      </c>
      <c r="D45" s="241">
        <f ca="1">C47</f>
        <v>5.0000000000000001E-3</v>
      </c>
      <c r="E45" s="242" t="s">
        <v>2226</v>
      </c>
      <c r="F45" s="2539">
        <f ca="1">F27</f>
        <v>0.2</v>
      </c>
      <c r="G45" s="253" t="s">
        <v>2235</v>
      </c>
    </row>
    <row r="46" spans="1:7" s="220" customFormat="1" ht="13.5" customHeight="1">
      <c r="A46" s="888" t="s">
        <v>791</v>
      </c>
      <c r="B46" s="254" t="s">
        <v>2236</v>
      </c>
      <c r="C46" s="255">
        <f ca="1">ROUND((C33+C39)*F27,0)</f>
        <v>1674</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8">
        <f>F30</f>
        <v>5.5000000000000007E-2</v>
      </c>
      <c r="G48" s="240" t="s">
        <v>2239</v>
      </c>
    </row>
    <row r="49" spans="1:7" ht="16.5" customHeight="1">
      <c r="A49" s="261" t="s">
        <v>2205</v>
      </c>
      <c r="B49" s="216" t="s">
        <v>2240</v>
      </c>
      <c r="C49" s="238">
        <f ca="1">ROUND((C33+C39+C41+C45)/(1-C40-D41-D45-C48),0)</f>
        <v>11625</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11625</v>
      </c>
      <c r="D51" s="238"/>
      <c r="E51" s="238"/>
      <c r="F51" s="270"/>
      <c r="G51" s="240" t="s">
        <v>2247</v>
      </c>
    </row>
    <row r="52" spans="1:7" s="214" customFormat="1" ht="16.5" thickBot="1">
      <c r="A52" s="271" t="s">
        <v>2248</v>
      </c>
      <c r="B52" s="272"/>
      <c r="C52" s="273">
        <f ca="1">C31+C51</f>
        <v>15076</v>
      </c>
      <c r="D52" s="272"/>
      <c r="E52" s="272"/>
      <c r="F52" s="272"/>
      <c r="G52" s="274"/>
    </row>
    <row r="55" spans="1:7" ht="15">
      <c r="B55" s="276" t="s">
        <v>2249</v>
      </c>
      <c r="C55" s="277"/>
    </row>
    <row r="56" spans="1:7">
      <c r="B56" s="279" t="s">
        <v>1478</v>
      </c>
      <c r="C56" s="281">
        <f ca="1">1-C57</f>
        <v>0.22899999999999998</v>
      </c>
    </row>
    <row r="57" spans="1:7">
      <c r="B57" s="279" t="s">
        <v>1479</v>
      </c>
      <c r="C57" s="280">
        <f ca="1">ROUND(C51/C52,3)</f>
        <v>0.77100000000000002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4" zoomScale="85" zoomScaleNormal="60" zoomScaleSheetLayoutView="85" workbookViewId="0">
      <selection activeCell="C47" sqref="C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6179</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1058</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2464</v>
      </c>
      <c r="B4" s="362"/>
      <c r="C4" s="3292" t="s">
        <v>2465</v>
      </c>
      <c r="D4" s="3305"/>
      <c r="E4" s="3306" t="s">
        <v>2466</v>
      </c>
      <c r="F4" s="3307"/>
      <c r="G4" s="3292" t="s">
        <v>2467</v>
      </c>
      <c r="H4" s="3305"/>
      <c r="I4" s="3292" t="s">
        <v>2468</v>
      </c>
      <c r="J4" s="3305"/>
      <c r="K4" s="567" t="s">
        <v>2469</v>
      </c>
      <c r="L4" s="2946"/>
      <c r="M4" s="2947"/>
      <c r="N4" s="2947"/>
      <c r="O4" s="2947"/>
      <c r="P4" s="3308" t="s">
        <v>2470</v>
      </c>
      <c r="Q4" s="3309"/>
      <c r="R4" s="3314" t="s">
        <v>2466</v>
      </c>
      <c r="S4" s="3315"/>
      <c r="T4" s="3314" t="s">
        <v>2467</v>
      </c>
      <c r="U4" s="3315"/>
      <c r="V4" s="3301" t="s">
        <v>2468</v>
      </c>
      <c r="W4" s="3301"/>
      <c r="X4" s="1541"/>
      <c r="Y4" s="3314" t="s">
        <v>2470</v>
      </c>
      <c r="Z4" s="3315"/>
      <c r="AA4" s="3302" t="s">
        <v>2466</v>
      </c>
      <c r="AB4" s="3303" t="s">
        <v>2467</v>
      </c>
      <c r="AC4" s="3302" t="s">
        <v>2468</v>
      </c>
    </row>
    <row r="5" spans="1:30" ht="15">
      <c r="A5" s="364"/>
      <c r="B5" s="365"/>
      <c r="C5" s="3322" t="s">
        <v>2361</v>
      </c>
      <c r="D5" s="3323"/>
      <c r="E5" s="3329" t="str">
        <f>土地案例!A3</f>
        <v>沙城镇东水泉村、土木镇西辛堡村</v>
      </c>
      <c r="F5" s="3330"/>
      <c r="G5" s="3322" t="str">
        <f>土地案例!A6</f>
        <v>怀来县沙城镇三街村</v>
      </c>
      <c r="H5" s="3323"/>
      <c r="I5" s="3322" t="str">
        <f>土地案例!A11</f>
        <v>怀来县狼山乡五街、六街村</v>
      </c>
      <c r="J5" s="3323"/>
      <c r="K5" s="567"/>
      <c r="L5" s="2946"/>
      <c r="M5" s="2947"/>
      <c r="N5" s="2947"/>
      <c r="O5" s="2947"/>
      <c r="P5" s="3310"/>
      <c r="Q5" s="3311"/>
      <c r="R5" s="3316"/>
      <c r="S5" s="3317"/>
      <c r="T5" s="3316"/>
      <c r="U5" s="3317"/>
      <c r="V5" s="3301"/>
      <c r="W5" s="3301"/>
      <c r="X5" s="1541"/>
      <c r="Y5" s="3316"/>
      <c r="Z5" s="3317"/>
      <c r="AA5" s="3303"/>
      <c r="AB5" s="3303"/>
      <c r="AC5" s="3303"/>
    </row>
    <row r="6" spans="1:30" ht="15.75" thickBot="1">
      <c r="A6" s="366"/>
      <c r="B6" s="367"/>
      <c r="C6" s="3320" t="s">
        <v>2365</v>
      </c>
      <c r="D6" s="3321"/>
      <c r="E6" s="3327" t="s">
        <v>2365</v>
      </c>
      <c r="F6" s="3328"/>
      <c r="G6" s="3320" t="s">
        <v>2365</v>
      </c>
      <c r="H6" s="3321"/>
      <c r="I6" s="3320" t="s">
        <v>2365</v>
      </c>
      <c r="J6" s="3321"/>
      <c r="K6" s="567" t="s">
        <v>2366</v>
      </c>
      <c r="L6" s="2946"/>
      <c r="M6" s="2947"/>
      <c r="N6" s="2947"/>
      <c r="O6" s="2947"/>
      <c r="P6" s="3312"/>
      <c r="Q6" s="3313"/>
      <c r="R6" s="3316"/>
      <c r="S6" s="3317"/>
      <c r="T6" s="3318"/>
      <c r="U6" s="3319"/>
      <c r="V6" s="3301"/>
      <c r="W6" s="3301"/>
      <c r="X6" s="1541"/>
      <c r="Y6" s="3318"/>
      <c r="Z6" s="3319"/>
      <c r="AA6" s="3304"/>
      <c r="AB6" s="3304"/>
      <c r="AC6" s="3304"/>
    </row>
    <row r="7" spans="1:30" s="113" customFormat="1" ht="15.75" thickBot="1">
      <c r="A7" s="368" t="s">
        <v>2367</v>
      </c>
      <c r="B7" s="369"/>
      <c r="C7" s="370">
        <f>'数据-取费表'!B2</f>
        <v>44153</v>
      </c>
      <c r="D7" s="371">
        <v>100</v>
      </c>
      <c r="E7" s="372" t="str">
        <f>土地案例!I3</f>
        <v>2020-09-28</v>
      </c>
      <c r="F7" s="373">
        <f>SUMIF(70:70,YEAR(E7)&amp;"-"&amp;INT((MONTH(E7)+2)/3),71:71)</f>
        <v>99.5</v>
      </c>
      <c r="G7" s="2162" t="str">
        <f>土地案例!I6</f>
        <v>2020-06-24</v>
      </c>
      <c r="H7" s="371">
        <f>SUMIF(70:70,YEAR(G7)&amp;"-"&amp;INT((MONTH(G7)+2)/3),71:71)</f>
        <v>99</v>
      </c>
      <c r="I7" s="2162" t="str">
        <f>土地案例!I11</f>
        <v>2019-06-26</v>
      </c>
      <c r="J7" s="371">
        <f>SUMIF(70:70,YEAR(I7)&amp;"-"&amp;INT((MONTH(I7)+2)/3),71:71)</f>
        <v>97</v>
      </c>
      <c r="K7" s="568"/>
      <c r="L7" s="2948"/>
      <c r="M7" s="2949"/>
      <c r="N7" s="2949"/>
      <c r="O7" s="2949"/>
      <c r="P7" s="3324" t="s">
        <v>2368</v>
      </c>
      <c r="Q7" s="3326"/>
      <c r="R7" s="710" t="s">
        <v>17</v>
      </c>
      <c r="S7" s="711">
        <f t="shared" ref="S7:S15" si="0">F7</f>
        <v>99.5</v>
      </c>
      <c r="T7" s="710" t="s">
        <v>17</v>
      </c>
      <c r="U7" s="711">
        <f t="shared" ref="U7:U15" si="1">H7</f>
        <v>99</v>
      </c>
      <c r="V7" s="710" t="s">
        <v>17</v>
      </c>
      <c r="W7" s="711">
        <f t="shared" ref="W7:W15" si="2">J7</f>
        <v>97</v>
      </c>
      <c r="X7" s="712"/>
      <c r="Y7" s="3324" t="s">
        <v>2368</v>
      </c>
      <c r="Z7" s="3325"/>
      <c r="AA7" s="713">
        <f>D7/F7</f>
        <v>1.0050251256281406</v>
      </c>
      <c r="AB7" s="713">
        <f>D7/H7</f>
        <v>1.0101010101010102</v>
      </c>
      <c r="AC7" s="713">
        <f>D7/J7</f>
        <v>1.0309278350515463</v>
      </c>
    </row>
    <row r="8" spans="1:30" s="113" customFormat="1" ht="15.75" thickBot="1">
      <c r="A8" s="368" t="s">
        <v>2369</v>
      </c>
      <c r="B8" s="369"/>
      <c r="C8" s="374" t="s">
        <v>2370</v>
      </c>
      <c r="D8" s="371">
        <v>100</v>
      </c>
      <c r="E8" s="374" t="s">
        <v>2370</v>
      </c>
      <c r="F8" s="373">
        <f>SUMIF(73:73,E8,74:74)-SUMIF(73:73,C8,74:74)+100</f>
        <v>100</v>
      </c>
      <c r="G8" s="374" t="s">
        <v>2370</v>
      </c>
      <c r="H8" s="371">
        <f>SUMIF(73:73,G8,74:74)-SUMIF(73:73,C8,74:74)+100</f>
        <v>100</v>
      </c>
      <c r="I8" s="374" t="s">
        <v>2370</v>
      </c>
      <c r="J8" s="371">
        <f>SUMIF(73:73,I8,74:74)-SUMIF(73:73,C8,74:74)+100</f>
        <v>100</v>
      </c>
      <c r="K8" s="568"/>
      <c r="L8" s="2948"/>
      <c r="M8" s="2949"/>
      <c r="N8" s="2949"/>
      <c r="O8" s="2949"/>
      <c r="P8" s="3324" t="s">
        <v>2371</v>
      </c>
      <c r="Q8" s="3325"/>
      <c r="R8" s="710" t="s">
        <v>17</v>
      </c>
      <c r="S8" s="711">
        <f t="shared" si="0"/>
        <v>100</v>
      </c>
      <c r="T8" s="710" t="s">
        <v>17</v>
      </c>
      <c r="U8" s="711">
        <f t="shared" si="1"/>
        <v>100</v>
      </c>
      <c r="V8" s="710" t="s">
        <v>17</v>
      </c>
      <c r="W8" s="711">
        <f t="shared" si="2"/>
        <v>100</v>
      </c>
      <c r="X8" s="712"/>
      <c r="Y8" s="3324" t="s">
        <v>2371</v>
      </c>
      <c r="Z8" s="3325"/>
      <c r="AA8" s="713">
        <f t="shared" ref="AA8:AA45" si="3">D8/F8</f>
        <v>1</v>
      </c>
      <c r="AB8" s="713">
        <f t="shared" ref="AB8:AB45" si="4">D8/H8</f>
        <v>1</v>
      </c>
      <c r="AC8" s="713">
        <f t="shared" ref="AC8:AC45" si="5">D8/J8</f>
        <v>1</v>
      </c>
    </row>
    <row r="9" spans="1:30" s="113" customFormat="1">
      <c r="A9" s="375" t="s">
        <v>2372</v>
      </c>
      <c r="B9" s="67" t="s">
        <v>2373</v>
      </c>
      <c r="C9" s="2165" t="s">
        <v>1343</v>
      </c>
      <c r="D9" s="131">
        <v>100</v>
      </c>
      <c r="E9" s="2165" t="s">
        <v>1343</v>
      </c>
      <c r="F9" s="131">
        <f>SUMIF(75:75,E9,76:76)-SUMIF(75:75,C9,76:76)+100</f>
        <v>100</v>
      </c>
      <c r="G9" s="2165" t="s">
        <v>1343</v>
      </c>
      <c r="H9" s="131">
        <f>SUMIF(75:75,G9,76:76)-SUMIF(75:75,C9,76:76)+100</f>
        <v>100</v>
      </c>
      <c r="I9" s="2165" t="s">
        <v>1343</v>
      </c>
      <c r="J9" s="131">
        <f>SUMIF(75:75,I9,76:76)-SUMIF(75:75,C9,76:76)+100</f>
        <v>100</v>
      </c>
      <c r="K9" s="568"/>
      <c r="L9" s="2948"/>
      <c r="M9" s="2949"/>
      <c r="N9" s="2949"/>
      <c r="O9" s="3003"/>
      <c r="P9" s="3295" t="s">
        <v>2374</v>
      </c>
      <c r="Q9" s="1529" t="str">
        <f t="shared" ref="Q9:Q15" si="6">B9</f>
        <v>用途</v>
      </c>
      <c r="R9" s="710" t="s">
        <v>17</v>
      </c>
      <c r="S9" s="711">
        <f t="shared" si="0"/>
        <v>100</v>
      </c>
      <c r="T9" s="710" t="s">
        <v>17</v>
      </c>
      <c r="U9" s="711">
        <f t="shared" si="1"/>
        <v>100</v>
      </c>
      <c r="V9" s="710" t="s">
        <v>17</v>
      </c>
      <c r="W9" s="711">
        <f t="shared" si="2"/>
        <v>100</v>
      </c>
      <c r="X9" s="712"/>
      <c r="Y9" s="3189" t="s">
        <v>2375</v>
      </c>
      <c r="Z9" s="55" t="str">
        <f t="shared" ref="Z9:Z15" si="7">Q9</f>
        <v>用途</v>
      </c>
      <c r="AA9" s="713">
        <f t="shared" si="3"/>
        <v>1</v>
      </c>
      <c r="AB9" s="713">
        <f t="shared" si="4"/>
        <v>1</v>
      </c>
      <c r="AC9" s="713">
        <f t="shared" si="5"/>
        <v>1</v>
      </c>
    </row>
    <row r="10" spans="1:30" s="386" customFormat="1" ht="27">
      <c r="A10" s="380"/>
      <c r="B10" s="381" t="s">
        <v>2376</v>
      </c>
      <c r="C10" s="391">
        <f>项目基本情况!E15</f>
        <v>37.880000000000003</v>
      </c>
      <c r="D10" s="132">
        <v>100</v>
      </c>
      <c r="E10" s="424" t="s">
        <v>4136</v>
      </c>
      <c r="F10" s="132">
        <f>ROUND(100/'数据-取费表'!G16,0)</f>
        <v>102</v>
      </c>
      <c r="G10" s="422" t="s">
        <v>4136</v>
      </c>
      <c r="H10" s="132">
        <f>ROUND(100/'数据-取费表'!G16,0)</f>
        <v>102</v>
      </c>
      <c r="I10" s="422" t="s">
        <v>4136</v>
      </c>
      <c r="J10" s="132">
        <f>ROUND(100/'数据-取费表'!G16,0)</f>
        <v>102</v>
      </c>
      <c r="K10" s="628"/>
      <c r="L10" s="2950"/>
      <c r="M10" s="2951"/>
      <c r="N10" s="2951"/>
      <c r="O10" s="3004"/>
      <c r="P10" s="3295"/>
      <c r="Q10" s="1529" t="str">
        <f t="shared" si="6"/>
        <v>土地使用年限（年）</v>
      </c>
      <c r="R10" s="710" t="s">
        <v>17</v>
      </c>
      <c r="S10" s="711">
        <f t="shared" si="0"/>
        <v>102</v>
      </c>
      <c r="T10" s="710" t="s">
        <v>17</v>
      </c>
      <c r="U10" s="711">
        <f t="shared" si="1"/>
        <v>102</v>
      </c>
      <c r="V10" s="710" t="s">
        <v>17</v>
      </c>
      <c r="W10" s="711">
        <f t="shared" si="2"/>
        <v>102</v>
      </c>
      <c r="X10" s="712"/>
      <c r="Y10" s="3189"/>
      <c r="Z10" s="55" t="str">
        <f t="shared" si="7"/>
        <v>土地使用年限（年）</v>
      </c>
      <c r="AA10" s="713">
        <f t="shared" si="3"/>
        <v>0.98039215686274506</v>
      </c>
      <c r="AB10" s="713">
        <f t="shared" si="4"/>
        <v>0.98039215686274506</v>
      </c>
      <c r="AC10" s="713">
        <f t="shared" si="5"/>
        <v>0.98039215686274506</v>
      </c>
    </row>
    <row r="11" spans="1:30" ht="15">
      <c r="A11" s="387"/>
      <c r="B11" s="381" t="s">
        <v>2377</v>
      </c>
      <c r="C11" s="388">
        <f>'数据-汇总表'!I4</f>
        <v>1.5</v>
      </c>
      <c r="D11" s="132">
        <v>100</v>
      </c>
      <c r="E11" s="388">
        <v>1.5</v>
      </c>
      <c r="F11" s="132">
        <f>LOOKUP(E11,80:80,81:81)-LOOKUP(C11,80:80,81:81)+100</f>
        <v>100</v>
      </c>
      <c r="G11" s="389">
        <v>3.5</v>
      </c>
      <c r="H11" s="132">
        <f>LOOKUP(G11,80:80,81:81)-LOOKUP(C11,80:80,81:81)+100</f>
        <v>94</v>
      </c>
      <c r="I11" s="388">
        <v>1.5</v>
      </c>
      <c r="J11" s="132">
        <f>LOOKUP(I11,80:80,81:81)-LOOKUP(C11,80:80,81:81)+100</f>
        <v>100</v>
      </c>
      <c r="K11" s="629">
        <v>3</v>
      </c>
      <c r="L11" s="2952"/>
      <c r="M11" s="2947"/>
      <c r="N11" s="2947"/>
      <c r="O11" s="3005"/>
      <c r="P11" s="3295"/>
      <c r="Q11" s="1529" t="str">
        <f t="shared" si="6"/>
        <v>容积率</v>
      </c>
      <c r="R11" s="710" t="s">
        <v>17</v>
      </c>
      <c r="S11" s="711">
        <f t="shared" si="0"/>
        <v>100</v>
      </c>
      <c r="T11" s="710" t="s">
        <v>17</v>
      </c>
      <c r="U11" s="711">
        <f t="shared" si="1"/>
        <v>94</v>
      </c>
      <c r="V11" s="710" t="s">
        <v>17</v>
      </c>
      <c r="W11" s="711">
        <f t="shared" si="2"/>
        <v>100</v>
      </c>
      <c r="X11" s="712"/>
      <c r="Y11" s="3189"/>
      <c r="Z11" s="55" t="str">
        <f t="shared" si="7"/>
        <v>容积率</v>
      </c>
      <c r="AA11" s="713">
        <f t="shared" si="3"/>
        <v>1</v>
      </c>
      <c r="AB11" s="713">
        <f t="shared" si="4"/>
        <v>1.0638297872340425</v>
      </c>
      <c r="AC11" s="713">
        <f t="shared" si="5"/>
        <v>1</v>
      </c>
    </row>
    <row r="12" spans="1:30" s="113" customFormat="1" ht="15" hidden="1">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95"/>
      <c r="Q12" s="1529" t="str">
        <f t="shared" si="6"/>
        <v>配建</v>
      </c>
      <c r="R12" s="710" t="s">
        <v>17</v>
      </c>
      <c r="S12" s="711">
        <f t="shared" si="0"/>
        <v>100</v>
      </c>
      <c r="T12" s="710" t="s">
        <v>17</v>
      </c>
      <c r="U12" s="711">
        <f t="shared" si="1"/>
        <v>100</v>
      </c>
      <c r="V12" s="710" t="s">
        <v>17</v>
      </c>
      <c r="W12" s="711">
        <f t="shared" si="2"/>
        <v>100</v>
      </c>
      <c r="X12" s="712"/>
      <c r="Y12" s="3189"/>
      <c r="Z12" s="55" t="str">
        <f t="shared" si="7"/>
        <v>配建</v>
      </c>
      <c r="AA12" s="713">
        <f>D12/F12</f>
        <v>1</v>
      </c>
      <c r="AB12" s="713">
        <f>D12/H12</f>
        <v>1</v>
      </c>
      <c r="AC12" s="713">
        <f>D12/J12</f>
        <v>1</v>
      </c>
    </row>
    <row r="13" spans="1:30" ht="15" hidden="1">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95"/>
      <c r="Q13" s="1529">
        <f t="shared" si="6"/>
        <v>111</v>
      </c>
      <c r="R13" s="710" t="s">
        <v>17</v>
      </c>
      <c r="S13" s="711">
        <f t="shared" si="0"/>
        <v>100</v>
      </c>
      <c r="T13" s="710" t="s">
        <v>17</v>
      </c>
      <c r="U13" s="711">
        <f t="shared" si="1"/>
        <v>100</v>
      </c>
      <c r="V13" s="710" t="s">
        <v>17</v>
      </c>
      <c r="W13" s="711">
        <f t="shared" si="2"/>
        <v>100</v>
      </c>
      <c r="X13" s="712"/>
      <c r="Y13" s="3189"/>
      <c r="Z13" s="55">
        <f t="shared" si="7"/>
        <v>111</v>
      </c>
      <c r="AA13" s="713">
        <f>D13/F13</f>
        <v>1</v>
      </c>
      <c r="AB13" s="713">
        <f>D13/H13</f>
        <v>1</v>
      </c>
      <c r="AC13" s="713">
        <f>D13/J13</f>
        <v>1</v>
      </c>
    </row>
    <row r="14" spans="1:30" ht="15.75" hidden="1"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95"/>
      <c r="Q14" s="1529">
        <f t="shared" si="6"/>
        <v>111</v>
      </c>
      <c r="R14" s="710" t="s">
        <v>17</v>
      </c>
      <c r="S14" s="711">
        <f t="shared" si="0"/>
        <v>100</v>
      </c>
      <c r="T14" s="710" t="s">
        <v>17</v>
      </c>
      <c r="U14" s="711">
        <f t="shared" si="1"/>
        <v>100</v>
      </c>
      <c r="V14" s="710" t="s">
        <v>17</v>
      </c>
      <c r="W14" s="711">
        <f t="shared" si="2"/>
        <v>100</v>
      </c>
      <c r="X14" s="712"/>
      <c r="Y14" s="3189"/>
      <c r="Z14" s="55">
        <f t="shared" si="7"/>
        <v>111</v>
      </c>
      <c r="AA14" s="713">
        <f>D14/F14</f>
        <v>1</v>
      </c>
      <c r="AB14" s="713">
        <f>D14/H14</f>
        <v>1</v>
      </c>
      <c r="AC14" s="713">
        <f>D14/J14</f>
        <v>1</v>
      </c>
    </row>
    <row r="15" spans="1:30" ht="99.75" hidden="1">
      <c r="A15" s="399" t="s">
        <v>2378</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97" t="s">
        <v>2379</v>
      </c>
      <c r="Q15" s="1538" t="str">
        <f t="shared" si="6"/>
        <v>居住社区成熟度</v>
      </c>
      <c r="R15" s="714" t="s">
        <v>17</v>
      </c>
      <c r="S15" s="715">
        <f t="shared" si="0"/>
        <v>100</v>
      </c>
      <c r="T15" s="714" t="s">
        <v>17</v>
      </c>
      <c r="U15" s="715">
        <f t="shared" si="1"/>
        <v>100</v>
      </c>
      <c r="V15" s="714" t="s">
        <v>17</v>
      </c>
      <c r="W15" s="715">
        <f t="shared" si="2"/>
        <v>100</v>
      </c>
      <c r="X15" s="1541"/>
      <c r="Y15" s="3297" t="s">
        <v>2379</v>
      </c>
      <c r="Z15" s="1542" t="str">
        <f t="shared" si="7"/>
        <v>居住社区成熟度</v>
      </c>
      <c r="AA15" s="1539">
        <f t="shared" si="3"/>
        <v>1</v>
      </c>
      <c r="AB15" s="1539">
        <f t="shared" si="4"/>
        <v>1</v>
      </c>
      <c r="AC15" s="1539">
        <f t="shared" si="5"/>
        <v>1</v>
      </c>
    </row>
    <row r="16" spans="1:30" ht="15" hidden="1">
      <c r="A16" s="387"/>
      <c r="B16" s="405"/>
      <c r="C16" s="406"/>
      <c r="D16" s="407"/>
      <c r="E16" s="2086"/>
      <c r="F16" s="407"/>
      <c r="G16" s="2086"/>
      <c r="H16" s="409"/>
      <c r="I16" s="2085"/>
      <c r="J16" s="407"/>
      <c r="K16" s="628"/>
      <c r="L16" s="2953"/>
      <c r="M16" s="2947"/>
      <c r="N16" s="2947"/>
      <c r="O16" s="3005"/>
      <c r="P16" s="3298"/>
      <c r="Q16" s="1538"/>
      <c r="R16" s="714"/>
      <c r="S16" s="715"/>
      <c r="T16" s="714"/>
      <c r="U16" s="715"/>
      <c r="V16" s="714"/>
      <c r="W16" s="715"/>
      <c r="X16" s="1541"/>
      <c r="Y16" s="3298"/>
      <c r="Z16" s="1542"/>
      <c r="AA16" s="1539">
        <v>1</v>
      </c>
      <c r="AB16" s="1539">
        <v>1</v>
      </c>
      <c r="AC16" s="1539">
        <v>1</v>
      </c>
    </row>
    <row r="17" spans="1:29" ht="71.25">
      <c r="A17" s="387"/>
      <c r="B17" s="410" t="s">
        <v>2472</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102</v>
      </c>
      <c r="I17" s="413"/>
      <c r="J17" s="414">
        <f>SUMIF(90:90,I18,91:91)-SUMIF(90:90,C18,91:91)+100</f>
        <v>102</v>
      </c>
      <c r="K17" s="629">
        <v>2</v>
      </c>
      <c r="L17" s="2953"/>
      <c r="M17" s="2947"/>
      <c r="N17" s="2947"/>
      <c r="O17" s="3005"/>
      <c r="P17" s="3298"/>
      <c r="Q17" s="1538" t="str">
        <f>B17</f>
        <v>商业繁华度</v>
      </c>
      <c r="R17" s="714" t="s">
        <v>17</v>
      </c>
      <c r="S17" s="715">
        <f>F17</f>
        <v>100</v>
      </c>
      <c r="T17" s="714" t="s">
        <v>17</v>
      </c>
      <c r="U17" s="715">
        <f>H17</f>
        <v>102</v>
      </c>
      <c r="V17" s="714" t="s">
        <v>17</v>
      </c>
      <c r="W17" s="715">
        <f>J17</f>
        <v>102</v>
      </c>
      <c r="X17" s="1541"/>
      <c r="Y17" s="3298"/>
      <c r="Z17" s="1542" t="str">
        <f>Q17</f>
        <v>商业繁华度</v>
      </c>
      <c r="AA17" s="1539">
        <f t="shared" si="3"/>
        <v>1</v>
      </c>
      <c r="AB17" s="1539">
        <f t="shared" si="4"/>
        <v>0.98039215686274506</v>
      </c>
      <c r="AC17" s="1539">
        <f t="shared" si="5"/>
        <v>0.98039215686274506</v>
      </c>
    </row>
    <row r="18" spans="1:29" ht="15">
      <c r="A18" s="387"/>
      <c r="B18" s="415"/>
      <c r="C18" s="2089" t="s">
        <v>4150</v>
      </c>
      <c r="D18" s="409"/>
      <c r="E18" s="2089" t="s">
        <v>4150</v>
      </c>
      <c r="F18" s="409"/>
      <c r="G18" s="2089" t="s">
        <v>4140</v>
      </c>
      <c r="H18" s="407"/>
      <c r="I18" s="2089" t="s">
        <v>4140</v>
      </c>
      <c r="J18" s="407"/>
      <c r="K18" s="628"/>
      <c r="L18" s="2953"/>
      <c r="M18" s="2947"/>
      <c r="N18" s="2947"/>
      <c r="O18" s="3005"/>
      <c r="P18" s="3298"/>
      <c r="Q18" s="1538"/>
      <c r="R18" s="714"/>
      <c r="S18" s="715"/>
      <c r="T18" s="714"/>
      <c r="U18" s="715"/>
      <c r="V18" s="714"/>
      <c r="W18" s="715"/>
      <c r="X18" s="1541"/>
      <c r="Y18" s="3298"/>
      <c r="Z18" s="1542"/>
      <c r="AA18" s="1539">
        <v>1</v>
      </c>
      <c r="AB18" s="1539">
        <v>1</v>
      </c>
      <c r="AC18" s="1539">
        <v>1</v>
      </c>
    </row>
    <row r="19" spans="1:29" ht="71.25" hidden="1">
      <c r="A19" s="387"/>
      <c r="B19" s="410" t="s">
        <v>2506</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98"/>
      <c r="Q19" s="1538" t="str">
        <f>B19</f>
        <v>办公集聚程度</v>
      </c>
      <c r="R19" s="714" t="s">
        <v>17</v>
      </c>
      <c r="S19" s="715">
        <f>F19</f>
        <v>100</v>
      </c>
      <c r="T19" s="714" t="s">
        <v>17</v>
      </c>
      <c r="U19" s="715">
        <f>H19</f>
        <v>100</v>
      </c>
      <c r="V19" s="714" t="s">
        <v>17</v>
      </c>
      <c r="W19" s="715">
        <f>J19</f>
        <v>100</v>
      </c>
      <c r="X19" s="1541"/>
      <c r="Y19" s="3298"/>
      <c r="Z19" s="1542" t="str">
        <f>Q19</f>
        <v>办公集聚程度</v>
      </c>
      <c r="AA19" s="1539">
        <f t="shared" si="3"/>
        <v>1</v>
      </c>
      <c r="AB19" s="1539">
        <f t="shared" si="4"/>
        <v>1</v>
      </c>
      <c r="AC19" s="1539">
        <f t="shared" si="5"/>
        <v>1</v>
      </c>
    </row>
    <row r="20" spans="1:29" ht="15" hidden="1">
      <c r="A20" s="387"/>
      <c r="B20" s="415"/>
      <c r="C20" s="406"/>
      <c r="D20" s="407"/>
      <c r="E20" s="2086"/>
      <c r="F20" s="407"/>
      <c r="G20" s="2086"/>
      <c r="H20" s="407"/>
      <c r="I20" s="2085"/>
      <c r="J20" s="407"/>
      <c r="K20" s="628"/>
      <c r="L20" s="2953"/>
      <c r="M20" s="2947"/>
      <c r="N20" s="2947"/>
      <c r="O20" s="3005"/>
      <c r="P20" s="3298"/>
      <c r="Q20" s="1538"/>
      <c r="R20" s="714"/>
      <c r="S20" s="715"/>
      <c r="T20" s="714"/>
      <c r="U20" s="715"/>
      <c r="V20" s="714"/>
      <c r="W20" s="715"/>
      <c r="X20" s="1541"/>
      <c r="Y20" s="3298"/>
      <c r="Z20" s="1542"/>
      <c r="AA20" s="1539">
        <v>1</v>
      </c>
      <c r="AB20" s="1539">
        <v>1</v>
      </c>
      <c r="AC20" s="1539">
        <v>1</v>
      </c>
    </row>
    <row r="21" spans="1:29" ht="85.5">
      <c r="A21" s="387"/>
      <c r="B21" s="410" t="s">
        <v>2528</v>
      </c>
      <c r="C21" s="2088"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102</v>
      </c>
      <c r="I21" s="413"/>
      <c r="J21" s="409">
        <f>SUMIF(94:94,I22,95:95)-SUMIF(94:94,C22,95:95)+100</f>
        <v>102</v>
      </c>
      <c r="K21" s="629">
        <v>2</v>
      </c>
      <c r="L21" s="2953"/>
      <c r="M21" s="2947"/>
      <c r="N21" s="2947"/>
      <c r="O21" s="3005"/>
      <c r="P21" s="3298"/>
      <c r="Q21" s="1538" t="str">
        <f>B21</f>
        <v>交通便捷度</v>
      </c>
      <c r="R21" s="714" t="s">
        <v>17</v>
      </c>
      <c r="S21" s="715">
        <f>F21</f>
        <v>98</v>
      </c>
      <c r="T21" s="714" t="s">
        <v>17</v>
      </c>
      <c r="U21" s="715">
        <f>H21</f>
        <v>102</v>
      </c>
      <c r="V21" s="714" t="s">
        <v>17</v>
      </c>
      <c r="W21" s="715">
        <f>J21</f>
        <v>102</v>
      </c>
      <c r="X21" s="1541"/>
      <c r="Y21" s="3298"/>
      <c r="Z21" s="1542" t="str">
        <f>Q21</f>
        <v>交通便捷度</v>
      </c>
      <c r="AA21" s="1539">
        <f t="shared" si="3"/>
        <v>1.0204081632653061</v>
      </c>
      <c r="AB21" s="1539">
        <f t="shared" si="4"/>
        <v>0.98039215686274506</v>
      </c>
      <c r="AC21" s="1539">
        <f t="shared" si="5"/>
        <v>0.98039215686274506</v>
      </c>
    </row>
    <row r="22" spans="1:29" ht="15">
      <c r="A22" s="387"/>
      <c r="B22" s="1293"/>
      <c r="C22" s="406" t="s">
        <v>4140</v>
      </c>
      <c r="D22" s="409"/>
      <c r="E22" s="406" t="s">
        <v>4150</v>
      </c>
      <c r="F22" s="407"/>
      <c r="G22" s="406" t="s">
        <v>4137</v>
      </c>
      <c r="H22" s="407"/>
      <c r="I22" s="406" t="s">
        <v>4137</v>
      </c>
      <c r="J22" s="407"/>
      <c r="K22" s="628"/>
      <c r="L22" s="2953"/>
      <c r="M22" s="2947"/>
      <c r="N22" s="2947"/>
      <c r="O22" s="3005"/>
      <c r="P22" s="3298"/>
      <c r="Q22" s="1538"/>
      <c r="R22" s="714"/>
      <c r="S22" s="715"/>
      <c r="T22" s="714"/>
      <c r="U22" s="715"/>
      <c r="V22" s="714"/>
      <c r="W22" s="715"/>
      <c r="X22" s="1541"/>
      <c r="Y22" s="3298"/>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53"/>
      <c r="M23" s="2947"/>
      <c r="N23" s="2947"/>
      <c r="O23" s="3005"/>
      <c r="P23" s="3298"/>
      <c r="Q23" s="1538" t="str">
        <f t="shared" ref="Q23:Q37" si="8">B23</f>
        <v>区域土地利用方向</v>
      </c>
      <c r="R23" s="714" t="s">
        <v>17</v>
      </c>
      <c r="S23" s="715">
        <f>F23</f>
        <v>100</v>
      </c>
      <c r="T23" s="714" t="s">
        <v>17</v>
      </c>
      <c r="U23" s="715">
        <f>H23</f>
        <v>100</v>
      </c>
      <c r="V23" s="714" t="s">
        <v>17</v>
      </c>
      <c r="W23" s="715">
        <f>J23</f>
        <v>100</v>
      </c>
      <c r="X23" s="1541"/>
      <c r="Y23" s="3298"/>
      <c r="Z23" s="1542" t="str">
        <f>Q23</f>
        <v>区域土地利用方向</v>
      </c>
      <c r="AA23" s="1539">
        <f t="shared" si="3"/>
        <v>1</v>
      </c>
      <c r="AB23" s="1539">
        <f t="shared" si="4"/>
        <v>1</v>
      </c>
      <c r="AC23" s="1539">
        <f t="shared" si="5"/>
        <v>1</v>
      </c>
    </row>
    <row r="24" spans="1:29" ht="15">
      <c r="A24" s="364"/>
      <c r="B24" s="415"/>
      <c r="C24" s="573" t="s">
        <v>4138</v>
      </c>
      <c r="D24" s="407"/>
      <c r="E24" s="573" t="s">
        <v>4138</v>
      </c>
      <c r="F24" s="407"/>
      <c r="G24" s="573" t="s">
        <v>4138</v>
      </c>
      <c r="H24" s="407"/>
      <c r="I24" s="573" t="s">
        <v>4138</v>
      </c>
      <c r="J24" s="407"/>
      <c r="K24" s="751"/>
      <c r="L24" s="2953"/>
      <c r="M24" s="2947"/>
      <c r="N24" s="2947"/>
      <c r="O24" s="3005"/>
      <c r="P24" s="3298"/>
      <c r="Q24" s="1538"/>
      <c r="R24" s="714"/>
      <c r="S24" s="715"/>
      <c r="T24" s="714"/>
      <c r="U24" s="715"/>
      <c r="V24" s="714"/>
      <c r="W24" s="715"/>
      <c r="X24" s="1541"/>
      <c r="Y24" s="3298"/>
      <c r="Z24" s="1542"/>
      <c r="AA24" s="1539"/>
      <c r="AB24" s="1539"/>
      <c r="AC24" s="1539"/>
    </row>
    <row r="25" spans="1:29" ht="57">
      <c r="A25" s="364"/>
      <c r="B25" s="1293" t="s">
        <v>2568</v>
      </c>
      <c r="C25" s="2143" t="str">
        <f>估价对象房地状况!C20</f>
        <v>区域自然环境：；人文环境；综合评价环境状况一般</v>
      </c>
      <c r="D25" s="409">
        <v>100</v>
      </c>
      <c r="E25" s="411"/>
      <c r="F25" s="409">
        <f>SUMIF(98:98,E26,99:99)-SUMIF(98:98,C26,99:99)+100</f>
        <v>98</v>
      </c>
      <c r="G25" s="411"/>
      <c r="H25" s="409">
        <f>SUMIF(98:98,G26,99:99)-SUMIF(98:98,C26,99:99)+100</f>
        <v>100</v>
      </c>
      <c r="I25" s="413"/>
      <c r="J25" s="409">
        <f>SUMIF(98:98,I26,99:99)-SUMIF(98:98,C26,99:99)+100</f>
        <v>100</v>
      </c>
      <c r="K25" s="629">
        <v>2</v>
      </c>
      <c r="L25" s="2953"/>
      <c r="M25" s="2947"/>
      <c r="N25" s="2947"/>
      <c r="O25" s="3005"/>
      <c r="P25" s="3298"/>
      <c r="Q25" s="1538" t="str">
        <f t="shared" si="8"/>
        <v>自然及人文环境状况</v>
      </c>
      <c r="R25" s="714" t="s">
        <v>17</v>
      </c>
      <c r="S25" s="715">
        <f>F25</f>
        <v>98</v>
      </c>
      <c r="T25" s="714" t="s">
        <v>17</v>
      </c>
      <c r="U25" s="715">
        <f>H25</f>
        <v>100</v>
      </c>
      <c r="V25" s="714" t="s">
        <v>17</v>
      </c>
      <c r="W25" s="715">
        <f>J25</f>
        <v>100</v>
      </c>
      <c r="X25" s="1541"/>
      <c r="Y25" s="3298"/>
      <c r="Z25" s="1542" t="str">
        <f>Q25</f>
        <v>自然及人文环境状况</v>
      </c>
      <c r="AA25" s="1539">
        <f t="shared" si="3"/>
        <v>1.0204081632653061</v>
      </c>
      <c r="AB25" s="1539">
        <f t="shared" si="4"/>
        <v>1</v>
      </c>
      <c r="AC25" s="1539">
        <f t="shared" si="5"/>
        <v>1</v>
      </c>
    </row>
    <row r="26" spans="1:29" ht="15">
      <c r="A26" s="364"/>
      <c r="B26" s="415"/>
      <c r="C26" s="406" t="s">
        <v>4140</v>
      </c>
      <c r="D26" s="407"/>
      <c r="E26" s="406" t="s">
        <v>4150</v>
      </c>
      <c r="F26" s="407"/>
      <c r="G26" s="406" t="s">
        <v>4140</v>
      </c>
      <c r="H26" s="407"/>
      <c r="I26" s="406" t="s">
        <v>4140</v>
      </c>
      <c r="J26" s="407"/>
      <c r="K26" s="628"/>
      <c r="L26" s="2953"/>
      <c r="M26" s="2947"/>
      <c r="N26" s="2947"/>
      <c r="O26" s="3005"/>
      <c r="P26" s="3298"/>
      <c r="Q26" s="1538"/>
      <c r="R26" s="714"/>
      <c r="S26" s="715"/>
      <c r="T26" s="714"/>
      <c r="U26" s="715"/>
      <c r="V26" s="714"/>
      <c r="W26" s="715"/>
      <c r="X26" s="1541"/>
      <c r="Y26" s="3298"/>
      <c r="Z26" s="1542"/>
      <c r="AA26" s="1539">
        <v>1</v>
      </c>
      <c r="AB26" s="1539">
        <v>1</v>
      </c>
      <c r="AC26" s="1539">
        <v>1</v>
      </c>
    </row>
    <row r="27" spans="1:29" s="113" customFormat="1" ht="42.75">
      <c r="A27" s="605"/>
      <c r="B27" s="1293" t="s">
        <v>2473</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102</v>
      </c>
      <c r="I27" s="413"/>
      <c r="J27" s="409">
        <f>SUMIF(100:100,I28,101:101)-SUMIF(100:100,C28,101:101)+100</f>
        <v>102</v>
      </c>
      <c r="K27" s="629">
        <v>2</v>
      </c>
      <c r="L27" s="2948"/>
      <c r="M27" s="2949"/>
      <c r="N27" s="2949"/>
      <c r="O27" s="3003"/>
      <c r="P27" s="3298"/>
      <c r="Q27" s="1529" t="str">
        <f t="shared" si="8"/>
        <v>公共配套设施</v>
      </c>
      <c r="R27" s="710" t="s">
        <v>17</v>
      </c>
      <c r="S27" s="711">
        <f>F27</f>
        <v>100</v>
      </c>
      <c r="T27" s="710" t="s">
        <v>17</v>
      </c>
      <c r="U27" s="711">
        <f>H27</f>
        <v>102</v>
      </c>
      <c r="V27" s="710" t="s">
        <v>17</v>
      </c>
      <c r="W27" s="711">
        <f>J27</f>
        <v>102</v>
      </c>
      <c r="X27" s="712"/>
      <c r="Y27" s="3298"/>
      <c r="Z27" s="55" t="str">
        <f>Q27</f>
        <v>公共配套设施</v>
      </c>
      <c r="AA27" s="1539">
        <f>D27/F27</f>
        <v>1</v>
      </c>
      <c r="AB27" s="1539">
        <f>D27/H27</f>
        <v>0.98039215686274506</v>
      </c>
      <c r="AC27" s="1539">
        <f>D27/J27</f>
        <v>0.98039215686274506</v>
      </c>
    </row>
    <row r="28" spans="1:29" s="113" customFormat="1" ht="15">
      <c r="A28" s="605"/>
      <c r="B28" s="415"/>
      <c r="C28" s="2166" t="s">
        <v>4150</v>
      </c>
      <c r="D28" s="407"/>
      <c r="E28" s="2166" t="s">
        <v>4150</v>
      </c>
      <c r="F28" s="407"/>
      <c r="G28" s="2166" t="s">
        <v>4140</v>
      </c>
      <c r="H28" s="407"/>
      <c r="I28" s="2166" t="s">
        <v>4140</v>
      </c>
      <c r="J28" s="407"/>
      <c r="K28" s="628"/>
      <c r="L28" s="2948"/>
      <c r="M28" s="2949"/>
      <c r="N28" s="2949"/>
      <c r="O28" s="3003"/>
      <c r="P28" s="3298"/>
      <c r="Q28" s="1529"/>
      <c r="R28" s="710"/>
      <c r="S28" s="711"/>
      <c r="T28" s="710"/>
      <c r="U28" s="711"/>
      <c r="V28" s="710"/>
      <c r="W28" s="711"/>
      <c r="X28" s="712"/>
      <c r="Y28" s="3298"/>
      <c r="Z28" s="55"/>
      <c r="AA28" s="1539">
        <v>1</v>
      </c>
      <c r="AB28" s="1539">
        <v>1</v>
      </c>
      <c r="AC28" s="1539">
        <v>1</v>
      </c>
    </row>
    <row r="29" spans="1:29" s="113" customFormat="1" ht="28.5">
      <c r="A29" s="605"/>
      <c r="B29" s="1293" t="s">
        <v>2474</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8"/>
      <c r="M29" s="2949"/>
      <c r="N29" s="2949"/>
      <c r="O29" s="3003"/>
      <c r="P29" s="3298"/>
      <c r="Q29" s="1529" t="str">
        <f t="shared" ref="Q29" si="9">B29</f>
        <v>基础设施水平</v>
      </c>
      <c r="R29" s="710" t="s">
        <v>17</v>
      </c>
      <c r="S29" s="711">
        <f>F29</f>
        <v>100</v>
      </c>
      <c r="T29" s="710" t="s">
        <v>17</v>
      </c>
      <c r="U29" s="711">
        <f>H29</f>
        <v>100</v>
      </c>
      <c r="V29" s="710" t="s">
        <v>17</v>
      </c>
      <c r="W29" s="711">
        <f>J29</f>
        <v>100</v>
      </c>
      <c r="X29" s="712"/>
      <c r="Y29" s="3298"/>
      <c r="Z29" s="55" t="str">
        <f>Q29</f>
        <v>基础设施水平</v>
      </c>
      <c r="AA29" s="1539">
        <f>D29/F29</f>
        <v>1</v>
      </c>
      <c r="AB29" s="1539">
        <f>D29/H29</f>
        <v>1</v>
      </c>
      <c r="AC29" s="1539">
        <f>D29/J29</f>
        <v>1</v>
      </c>
    </row>
    <row r="30" spans="1:29" s="113" customFormat="1" ht="15.75" thickBot="1">
      <c r="A30" s="605"/>
      <c r="B30" s="415"/>
      <c r="C30" s="2166" t="s">
        <v>4139</v>
      </c>
      <c r="D30" s="407"/>
      <c r="E30" s="2166" t="s">
        <v>4139</v>
      </c>
      <c r="F30" s="407"/>
      <c r="G30" s="2166" t="s">
        <v>4139</v>
      </c>
      <c r="H30" s="407"/>
      <c r="I30" s="2166" t="s">
        <v>4139</v>
      </c>
      <c r="J30" s="407"/>
      <c r="K30" s="628"/>
      <c r="L30" s="2948"/>
      <c r="M30" s="2949"/>
      <c r="N30" s="2949"/>
      <c r="O30" s="3003"/>
      <c r="P30" s="3298"/>
      <c r="Q30" s="1529"/>
      <c r="R30" s="710"/>
      <c r="S30" s="711"/>
      <c r="T30" s="710"/>
      <c r="U30" s="711"/>
      <c r="V30" s="710"/>
      <c r="W30" s="711"/>
      <c r="X30" s="712"/>
      <c r="Y30" s="3298"/>
      <c r="Z30" s="55"/>
      <c r="AA30" s="1539">
        <v>1</v>
      </c>
      <c r="AB30" s="1539">
        <v>1</v>
      </c>
      <c r="AC30" s="1539">
        <v>1</v>
      </c>
    </row>
    <row r="31" spans="1:29" ht="15" hidden="1">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98"/>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98"/>
      <c r="Z31" s="1542" t="str">
        <f t="shared" ref="Z31:Z45" si="13">Q31</f>
        <v>临街状况</v>
      </c>
      <c r="AA31" s="1539">
        <f t="shared" si="3"/>
        <v>1</v>
      </c>
      <c r="AB31" s="1539">
        <f t="shared" si="4"/>
        <v>1</v>
      </c>
      <c r="AC31" s="1539">
        <f t="shared" si="5"/>
        <v>1</v>
      </c>
    </row>
    <row r="32" spans="1:29" ht="27" hidden="1">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98"/>
      <c r="Q32" s="1538" t="str">
        <f t="shared" si="8"/>
        <v>毗邻道路的类型与等级</v>
      </c>
      <c r="R32" s="714" t="s">
        <v>17</v>
      </c>
      <c r="S32" s="715">
        <f t="shared" si="10"/>
        <v>100</v>
      </c>
      <c r="T32" s="714" t="s">
        <v>17</v>
      </c>
      <c r="U32" s="715">
        <f t="shared" si="11"/>
        <v>100</v>
      </c>
      <c r="V32" s="714" t="s">
        <v>17</v>
      </c>
      <c r="W32" s="715">
        <f t="shared" si="12"/>
        <v>100</v>
      </c>
      <c r="X32" s="1541"/>
      <c r="Y32" s="3298"/>
      <c r="Z32" s="1542" t="str">
        <f t="shared" si="13"/>
        <v>毗邻道路的类型与等级</v>
      </c>
      <c r="AA32" s="1539">
        <f t="shared" si="3"/>
        <v>1</v>
      </c>
      <c r="AB32" s="1539">
        <f t="shared" si="4"/>
        <v>1</v>
      </c>
      <c r="AC32" s="1539">
        <f t="shared" si="5"/>
        <v>1</v>
      </c>
    </row>
    <row r="33" spans="1:29" ht="15" hidden="1">
      <c r="A33" s="387"/>
      <c r="B33" s="415"/>
      <c r="C33" s="406"/>
      <c r="D33" s="407"/>
      <c r="E33" s="2092"/>
      <c r="F33" s="407"/>
      <c r="G33" s="2092"/>
      <c r="H33" s="407"/>
      <c r="I33" s="406"/>
      <c r="J33" s="407"/>
      <c r="K33" s="570"/>
      <c r="L33" s="2953"/>
      <c r="M33" s="2947"/>
      <c r="N33" s="2947"/>
      <c r="O33" s="3005"/>
      <c r="P33" s="3298"/>
      <c r="Q33" s="1538"/>
      <c r="R33" s="714"/>
      <c r="S33" s="715"/>
      <c r="T33" s="714"/>
      <c r="U33" s="715"/>
      <c r="V33" s="714"/>
      <c r="W33" s="715"/>
      <c r="X33" s="1541"/>
      <c r="Y33" s="3298"/>
      <c r="Z33" s="1542"/>
      <c r="AA33" s="1539">
        <v>1</v>
      </c>
      <c r="AB33" s="1539">
        <v>1</v>
      </c>
      <c r="AC33" s="1539">
        <v>1</v>
      </c>
    </row>
    <row r="34" spans="1:29" ht="15" hidden="1">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98"/>
      <c r="Q34" s="1538" t="str">
        <f t="shared" si="8"/>
        <v>土地级别</v>
      </c>
      <c r="R34" s="714" t="s">
        <v>17</v>
      </c>
      <c r="S34" s="715">
        <f t="shared" si="10"/>
        <v>100</v>
      </c>
      <c r="T34" s="714" t="s">
        <v>17</v>
      </c>
      <c r="U34" s="715">
        <f t="shared" si="11"/>
        <v>100</v>
      </c>
      <c r="V34" s="714" t="s">
        <v>17</v>
      </c>
      <c r="W34" s="715">
        <f t="shared" si="12"/>
        <v>100</v>
      </c>
      <c r="X34" s="1541"/>
      <c r="Y34" s="3298"/>
      <c r="Z34" s="1542" t="str">
        <f t="shared" si="13"/>
        <v>土地级别</v>
      </c>
      <c r="AA34" s="1539">
        <f t="shared" si="3"/>
        <v>1</v>
      </c>
      <c r="AB34" s="1539">
        <f t="shared" si="4"/>
        <v>1</v>
      </c>
      <c r="AC34" s="1539">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98"/>
      <c r="Q35" s="1538">
        <f t="shared" si="8"/>
        <v>111</v>
      </c>
      <c r="R35" s="714" t="s">
        <v>17</v>
      </c>
      <c r="S35" s="715">
        <f t="shared" si="10"/>
        <v>100</v>
      </c>
      <c r="T35" s="714" t="s">
        <v>17</v>
      </c>
      <c r="U35" s="715">
        <f t="shared" si="11"/>
        <v>100</v>
      </c>
      <c r="V35" s="714" t="s">
        <v>17</v>
      </c>
      <c r="W35" s="715">
        <f t="shared" si="12"/>
        <v>100</v>
      </c>
      <c r="X35" s="1541"/>
      <c r="Y35" s="3298"/>
      <c r="Z35" s="1542">
        <f t="shared" si="13"/>
        <v>111</v>
      </c>
      <c r="AA35" s="1539">
        <f t="shared" si="3"/>
        <v>1</v>
      </c>
      <c r="AB35" s="1539">
        <f t="shared" si="4"/>
        <v>1</v>
      </c>
      <c r="AC35" s="1539">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299" t="s">
        <v>2384</v>
      </c>
      <c r="Q36" s="1538">
        <f t="shared" si="8"/>
        <v>111</v>
      </c>
      <c r="R36" s="714" t="s">
        <v>17</v>
      </c>
      <c r="S36" s="715">
        <f t="shared" si="10"/>
        <v>100</v>
      </c>
      <c r="T36" s="714" t="s">
        <v>17</v>
      </c>
      <c r="U36" s="715">
        <f t="shared" si="11"/>
        <v>100</v>
      </c>
      <c r="V36" s="714" t="s">
        <v>17</v>
      </c>
      <c r="W36" s="715">
        <f t="shared" si="12"/>
        <v>100</v>
      </c>
      <c r="X36" s="1541"/>
      <c r="Y36" s="3300" t="s">
        <v>2384</v>
      </c>
      <c r="Z36" s="1542">
        <f t="shared" si="13"/>
        <v>111</v>
      </c>
      <c r="AA36" s="1539">
        <f t="shared" si="3"/>
        <v>1</v>
      </c>
      <c r="AB36" s="1539">
        <f t="shared" si="4"/>
        <v>1</v>
      </c>
      <c r="AC36" s="1539">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00"/>
      <c r="Q37" s="1538">
        <f t="shared" si="8"/>
        <v>111</v>
      </c>
      <c r="R37" s="717" t="s">
        <v>17</v>
      </c>
      <c r="S37" s="718">
        <f t="shared" si="10"/>
        <v>100</v>
      </c>
      <c r="T37" s="717" t="s">
        <v>17</v>
      </c>
      <c r="U37" s="718">
        <f t="shared" si="11"/>
        <v>100</v>
      </c>
      <c r="V37" s="717" t="s">
        <v>17</v>
      </c>
      <c r="W37" s="718">
        <f t="shared" si="12"/>
        <v>100</v>
      </c>
      <c r="X37" s="719"/>
      <c r="Y37" s="3300"/>
      <c r="Z37" s="720">
        <f t="shared" si="13"/>
        <v>111</v>
      </c>
      <c r="AA37" s="1539">
        <f t="shared" si="3"/>
        <v>1</v>
      </c>
      <c r="AB37" s="1539">
        <f t="shared" si="4"/>
        <v>1</v>
      </c>
      <c r="AC37" s="1539">
        <f t="shared" si="5"/>
        <v>1</v>
      </c>
    </row>
    <row r="38" spans="1:29" ht="15">
      <c r="A38" s="431" t="s">
        <v>2382</v>
      </c>
      <c r="B38" s="415" t="s">
        <v>2570</v>
      </c>
      <c r="C38" s="635">
        <v>199999.88</v>
      </c>
      <c r="D38" s="426">
        <v>100</v>
      </c>
      <c r="E38" s="635">
        <f>土地案例!C3</f>
        <v>13533.78</v>
      </c>
      <c r="F38" s="426">
        <f>LOOKUP(E38,117:117,118:118)-LOOKUP(C38,117:117,118:118)+100</f>
        <v>102</v>
      </c>
      <c r="G38" s="635">
        <f>土地案例!C6</f>
        <v>8080.6</v>
      </c>
      <c r="H38" s="426">
        <f>LOOKUP(G38,117:117,118:118)-LOOKUP(C38,117:117,118:118)+100</f>
        <v>100</v>
      </c>
      <c r="I38" s="487">
        <f>土地案例!C11</f>
        <v>41467.11</v>
      </c>
      <c r="J38" s="426">
        <f>LOOKUP(I38,117:117,118:118)-LOOKUP(C38,117:117,118:118)+100</f>
        <v>102</v>
      </c>
      <c r="K38" s="570"/>
      <c r="L38" s="2953"/>
      <c r="M38" s="2947"/>
      <c r="N38" s="2947"/>
      <c r="O38" s="3005"/>
      <c r="P38" s="3300"/>
      <c r="Q38" s="1538" t="str">
        <f>B38</f>
        <v>宗地面积</v>
      </c>
      <c r="R38" s="714" t="s">
        <v>17</v>
      </c>
      <c r="S38" s="715">
        <f t="shared" si="10"/>
        <v>102</v>
      </c>
      <c r="T38" s="714" t="s">
        <v>17</v>
      </c>
      <c r="U38" s="715">
        <f t="shared" si="11"/>
        <v>100</v>
      </c>
      <c r="V38" s="714" t="s">
        <v>17</v>
      </c>
      <c r="W38" s="715">
        <f t="shared" si="12"/>
        <v>102</v>
      </c>
      <c r="X38" s="1541"/>
      <c r="Y38" s="3300"/>
      <c r="Z38" s="1542" t="str">
        <f t="shared" si="13"/>
        <v>宗地面积</v>
      </c>
      <c r="AA38" s="1539">
        <f t="shared" si="3"/>
        <v>0.98039215686274506</v>
      </c>
      <c r="AB38" s="1539">
        <f t="shared" si="4"/>
        <v>1</v>
      </c>
      <c r="AC38" s="1539">
        <f t="shared" si="5"/>
        <v>0.98039215686274506</v>
      </c>
    </row>
    <row r="39" spans="1:29" ht="15">
      <c r="A39" s="431"/>
      <c r="B39" s="381" t="s">
        <v>2571</v>
      </c>
      <c r="C39" s="2094" t="s">
        <v>4181</v>
      </c>
      <c r="D39" s="394">
        <v>100</v>
      </c>
      <c r="E39" s="2094" t="s">
        <v>4181</v>
      </c>
      <c r="F39" s="394">
        <f>SUMIF(119:119,E39,120:120)-SUMIF(119:119,C39,120:120)+100</f>
        <v>100</v>
      </c>
      <c r="G39" s="2094" t="s">
        <v>4181</v>
      </c>
      <c r="H39" s="394">
        <f>SUMIF(119:119,G39,120:120)-SUMIF(119:119,C39,120:120)+100</f>
        <v>100</v>
      </c>
      <c r="I39" s="2094" t="s">
        <v>4181</v>
      </c>
      <c r="J39" s="394">
        <f>SUMIF(119:119,I39,120:120)-SUMIF(119:119,C39,120:120)+100</f>
        <v>100</v>
      </c>
      <c r="K39" s="569">
        <v>2</v>
      </c>
      <c r="L39" s="2953"/>
      <c r="M39" s="2947"/>
      <c r="N39" s="2947"/>
      <c r="O39" s="3005"/>
      <c r="P39" s="3300"/>
      <c r="Q39" s="1538" t="str">
        <f t="shared" ref="Q39:Q45" si="14">B39</f>
        <v>宗地形状</v>
      </c>
      <c r="R39" s="714" t="s">
        <v>17</v>
      </c>
      <c r="S39" s="715">
        <f t="shared" si="10"/>
        <v>100</v>
      </c>
      <c r="T39" s="714" t="s">
        <v>17</v>
      </c>
      <c r="U39" s="715">
        <f t="shared" si="11"/>
        <v>100</v>
      </c>
      <c r="V39" s="714" t="s">
        <v>17</v>
      </c>
      <c r="W39" s="715">
        <f t="shared" si="12"/>
        <v>100</v>
      </c>
      <c r="X39" s="1541"/>
      <c r="Y39" s="3300"/>
      <c r="Z39" s="1542" t="str">
        <f t="shared" si="13"/>
        <v>宗地形状</v>
      </c>
      <c r="AA39" s="1539">
        <f t="shared" si="3"/>
        <v>1</v>
      </c>
      <c r="AB39" s="1539">
        <f t="shared" si="4"/>
        <v>1</v>
      </c>
      <c r="AC39" s="1539">
        <f t="shared" si="5"/>
        <v>1</v>
      </c>
    </row>
    <row r="40" spans="1:29" ht="15" hidden="1">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00"/>
      <c r="Q40" s="1538" t="str">
        <f t="shared" si="14"/>
        <v>临街宽度及深度</v>
      </c>
      <c r="R40" s="714" t="s">
        <v>17</v>
      </c>
      <c r="S40" s="715">
        <f t="shared" si="10"/>
        <v>100</v>
      </c>
      <c r="T40" s="714" t="s">
        <v>17</v>
      </c>
      <c r="U40" s="715">
        <f t="shared" si="11"/>
        <v>100</v>
      </c>
      <c r="V40" s="714" t="s">
        <v>17</v>
      </c>
      <c r="W40" s="715">
        <f t="shared" si="12"/>
        <v>100</v>
      </c>
      <c r="X40" s="1541"/>
      <c r="Y40" s="3300"/>
      <c r="Z40" s="1542" t="str">
        <f t="shared" si="13"/>
        <v>临街宽度及深度</v>
      </c>
      <c r="AA40" s="1539">
        <f t="shared" si="3"/>
        <v>1</v>
      </c>
      <c r="AB40" s="1539">
        <f t="shared" si="4"/>
        <v>1</v>
      </c>
      <c r="AC40" s="1539">
        <f t="shared" si="5"/>
        <v>1</v>
      </c>
    </row>
    <row r="41" spans="1:29" s="113" customFormat="1" ht="15">
      <c r="A41" s="432"/>
      <c r="B41" s="381" t="s">
        <v>2573</v>
      </c>
      <c r="C41" s="2168" t="s">
        <v>4184</v>
      </c>
      <c r="D41" s="132">
        <v>100</v>
      </c>
      <c r="E41" s="2168" t="s">
        <v>4187</v>
      </c>
      <c r="F41" s="394">
        <f>SUMIF(123:123,E41,124:124)-SUMIF(123:123,C41,124:124)+100</f>
        <v>98</v>
      </c>
      <c r="G41" s="2168" t="s">
        <v>4187</v>
      </c>
      <c r="H41" s="394">
        <f>SUMIF(123:123,G41,124:124)-SUMIF(123:123,C41,124:124)+100</f>
        <v>98</v>
      </c>
      <c r="I41" s="2168" t="s">
        <v>4187</v>
      </c>
      <c r="J41" s="394">
        <f>SUMIF(123:123,I41,124:124)-SUMIF(123:123,C41,124:124)+100</f>
        <v>98</v>
      </c>
      <c r="K41" s="569">
        <v>1</v>
      </c>
      <c r="L41" s="2948"/>
      <c r="M41" s="2949"/>
      <c r="N41" s="2949"/>
      <c r="O41" s="3003"/>
      <c r="P41" s="3300"/>
      <c r="Q41" s="1538" t="str">
        <f t="shared" si="14"/>
        <v>宗地开发程度</v>
      </c>
      <c r="R41" s="710" t="s">
        <v>17</v>
      </c>
      <c r="S41" s="711">
        <f t="shared" si="10"/>
        <v>98</v>
      </c>
      <c r="T41" s="710" t="s">
        <v>17</v>
      </c>
      <c r="U41" s="711">
        <f t="shared" si="11"/>
        <v>98</v>
      </c>
      <c r="V41" s="710" t="s">
        <v>17</v>
      </c>
      <c r="W41" s="711">
        <f t="shared" si="12"/>
        <v>98</v>
      </c>
      <c r="X41" s="712"/>
      <c r="Y41" s="3300"/>
      <c r="Z41" s="55" t="str">
        <f t="shared" si="13"/>
        <v>宗地开发程度</v>
      </c>
      <c r="AA41" s="713">
        <f t="shared" si="3"/>
        <v>1.0204081632653061</v>
      </c>
      <c r="AB41" s="713">
        <f t="shared" si="4"/>
        <v>1.0204081632653061</v>
      </c>
      <c r="AC41" s="713">
        <f t="shared" si="5"/>
        <v>1.0204081632653061</v>
      </c>
    </row>
    <row r="42" spans="1:29" ht="15.75" thickBot="1">
      <c r="A42" s="431"/>
      <c r="B42" s="381" t="s">
        <v>2574</v>
      </c>
      <c r="C42" s="2094" t="s">
        <v>4138</v>
      </c>
      <c r="D42" s="394">
        <v>100</v>
      </c>
      <c r="E42" s="2094" t="s">
        <v>4138</v>
      </c>
      <c r="F42" s="394">
        <f>SUMIF(125:125,E42,126:126)-SUMIF(125:125,C42,126:126)+100</f>
        <v>100</v>
      </c>
      <c r="G42" s="2094" t="s">
        <v>4138</v>
      </c>
      <c r="H42" s="394">
        <f>SUMIF(125:125,G42,126:126)-SUMIF(125:125,C42,126:126)+100</f>
        <v>100</v>
      </c>
      <c r="I42" s="2094" t="s">
        <v>4138</v>
      </c>
      <c r="J42" s="394">
        <f>SUMIF(125:125,I42,126:126)-SUMIF(125:125,C42,126:126)+100</f>
        <v>100</v>
      </c>
      <c r="K42" s="569">
        <v>1</v>
      </c>
      <c r="L42" s="2953"/>
      <c r="M42" s="2947"/>
      <c r="N42" s="2947"/>
      <c r="O42" s="3005"/>
      <c r="P42" s="3300" t="s">
        <v>2384</v>
      </c>
      <c r="Q42" s="1538" t="str">
        <f t="shared" si="14"/>
        <v>工程地质条件</v>
      </c>
      <c r="R42" s="714" t="s">
        <v>17</v>
      </c>
      <c r="S42" s="715">
        <f t="shared" si="10"/>
        <v>100</v>
      </c>
      <c r="T42" s="714" t="s">
        <v>17</v>
      </c>
      <c r="U42" s="715">
        <f t="shared" si="11"/>
        <v>100</v>
      </c>
      <c r="V42" s="714" t="s">
        <v>17</v>
      </c>
      <c r="W42" s="715">
        <f t="shared" si="12"/>
        <v>100</v>
      </c>
      <c r="X42" s="1541"/>
      <c r="Y42" s="3300" t="s">
        <v>2384</v>
      </c>
      <c r="Z42" s="1542" t="str">
        <f t="shared" si="13"/>
        <v>工程地质条件</v>
      </c>
      <c r="AA42" s="1539">
        <f t="shared" si="3"/>
        <v>1</v>
      </c>
      <c r="AB42" s="1539">
        <f t="shared" si="4"/>
        <v>1</v>
      </c>
      <c r="AC42" s="1539">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00"/>
      <c r="Q43" s="1538">
        <f t="shared" si="14"/>
        <v>111</v>
      </c>
      <c r="R43" s="714" t="s">
        <v>17</v>
      </c>
      <c r="S43" s="715">
        <f t="shared" si="10"/>
        <v>100</v>
      </c>
      <c r="T43" s="714" t="s">
        <v>17</v>
      </c>
      <c r="U43" s="715">
        <f t="shared" si="11"/>
        <v>100</v>
      </c>
      <c r="V43" s="714" t="s">
        <v>17</v>
      </c>
      <c r="W43" s="715">
        <f t="shared" si="12"/>
        <v>100</v>
      </c>
      <c r="X43" s="1541"/>
      <c r="Y43" s="3300"/>
      <c r="Z43" s="1542">
        <f t="shared" si="13"/>
        <v>111</v>
      </c>
      <c r="AA43" s="1539">
        <f t="shared" si="3"/>
        <v>1</v>
      </c>
      <c r="AB43" s="1539">
        <f t="shared" si="4"/>
        <v>1</v>
      </c>
      <c r="AC43" s="1539">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00"/>
      <c r="Q44" s="1538">
        <f t="shared" si="14"/>
        <v>111</v>
      </c>
      <c r="R44" s="714" t="s">
        <v>17</v>
      </c>
      <c r="S44" s="715">
        <f t="shared" si="10"/>
        <v>100</v>
      </c>
      <c r="T44" s="714" t="s">
        <v>17</v>
      </c>
      <c r="U44" s="715">
        <f t="shared" si="11"/>
        <v>100</v>
      </c>
      <c r="V44" s="714" t="s">
        <v>17</v>
      </c>
      <c r="W44" s="715">
        <f t="shared" si="12"/>
        <v>100</v>
      </c>
      <c r="X44" s="1541"/>
      <c r="Y44" s="3300"/>
      <c r="Z44" s="1542">
        <f t="shared" si="13"/>
        <v>111</v>
      </c>
      <c r="AA44" s="1539">
        <f t="shared" si="3"/>
        <v>1</v>
      </c>
      <c r="AB44" s="1539">
        <f t="shared" si="4"/>
        <v>1</v>
      </c>
      <c r="AC44" s="1539">
        <f t="shared" si="5"/>
        <v>1</v>
      </c>
    </row>
    <row r="45" spans="1:29" s="430" customFormat="1" ht="15.75" hidden="1"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00"/>
      <c r="Q45" s="1538">
        <f t="shared" si="14"/>
        <v>111</v>
      </c>
      <c r="R45" s="717" t="s">
        <v>17</v>
      </c>
      <c r="S45" s="718">
        <f t="shared" si="10"/>
        <v>100</v>
      </c>
      <c r="T45" s="717" t="s">
        <v>17</v>
      </c>
      <c r="U45" s="718">
        <f t="shared" si="11"/>
        <v>100</v>
      </c>
      <c r="V45" s="717" t="s">
        <v>17</v>
      </c>
      <c r="W45" s="718">
        <f t="shared" si="12"/>
        <v>100</v>
      </c>
      <c r="X45" s="719"/>
      <c r="Y45" s="3300"/>
      <c r="Z45" s="720">
        <f t="shared" si="13"/>
        <v>111</v>
      </c>
      <c r="AA45" s="1539">
        <f t="shared" si="3"/>
        <v>1</v>
      </c>
      <c r="AB45" s="1539">
        <f t="shared" si="4"/>
        <v>1</v>
      </c>
      <c r="AC45" s="1539">
        <f t="shared" si="5"/>
        <v>1</v>
      </c>
    </row>
    <row r="46" spans="1:29" ht="15">
      <c r="A46" s="438" t="s">
        <v>2539</v>
      </c>
      <c r="B46" s="2170" t="s">
        <v>2575</v>
      </c>
      <c r="C46" s="638" t="s">
        <v>1</v>
      </c>
      <c r="D46" s="440"/>
      <c r="E46" s="441">
        <f>ROUND(土地案例!L3,0)</f>
        <v>921</v>
      </c>
      <c r="F46" s="442"/>
      <c r="G46" s="443">
        <f>ROUND(土地案例!L6,0)</f>
        <v>1196</v>
      </c>
      <c r="H46" s="444"/>
      <c r="I46" s="441">
        <f>ROUND(土地案例!L11,0)</f>
        <v>1066</v>
      </c>
      <c r="J46" s="444"/>
      <c r="K46" s="723"/>
      <c r="L46" s="2955"/>
      <c r="M46" s="2956"/>
      <c r="N46" s="2947"/>
      <c r="O46" s="2956"/>
      <c r="P46" s="3295" t="str">
        <f>A46</f>
        <v>成交单价</v>
      </c>
      <c r="Q46" s="3295"/>
      <c r="R46" s="3301">
        <f>E46</f>
        <v>921</v>
      </c>
      <c r="S46" s="3301"/>
      <c r="T46" s="3301">
        <f>G46</f>
        <v>1196</v>
      </c>
      <c r="U46" s="3301"/>
      <c r="V46" s="3301">
        <f>I46</f>
        <v>1066</v>
      </c>
      <c r="W46" s="3301"/>
      <c r="X46" s="699"/>
      <c r="Y46" s="721"/>
      <c r="Z46" s="699"/>
      <c r="AA46" s="699"/>
      <c r="AB46" s="699"/>
      <c r="AC46" s="699"/>
    </row>
    <row r="47" spans="1:29" ht="15.75" thickBot="1">
      <c r="A47" s="445" t="s">
        <v>2488</v>
      </c>
      <c r="B47" s="639"/>
      <c r="C47" s="448">
        <f>R48</f>
        <v>1058</v>
      </c>
      <c r="D47" s="2540" t="s">
        <v>2879</v>
      </c>
      <c r="E47" s="448">
        <f>R47</f>
        <v>945</v>
      </c>
      <c r="F47" s="2541"/>
      <c r="G47" s="447">
        <f>T47</f>
        <v>1212</v>
      </c>
      <c r="H47" s="2541"/>
      <c r="I47" s="448">
        <f>V47</f>
        <v>1016</v>
      </c>
      <c r="J47" s="2541"/>
      <c r="K47" s="2543">
        <f>F47+H47+J47</f>
        <v>0</v>
      </c>
      <c r="L47" s="2955"/>
      <c r="M47" s="2956"/>
      <c r="N47" s="2956"/>
      <c r="O47" s="2956"/>
      <c r="P47" s="3295" t="str">
        <f>A47</f>
        <v>比较价值（元/平方米）</v>
      </c>
      <c r="Q47" s="3295"/>
      <c r="R47" s="3288">
        <f>ROUND(PRODUCT(R46,AA7:AA45),0)</f>
        <v>945</v>
      </c>
      <c r="S47" s="3288"/>
      <c r="T47" s="3288">
        <f>ROUND(PRODUCT(T46,AB7:AB45),0)</f>
        <v>1212</v>
      </c>
      <c r="U47" s="3288"/>
      <c r="V47" s="3288">
        <f>ROUND(PRODUCT(V46,AC7:AC45),0)</f>
        <v>1016</v>
      </c>
      <c r="W47" s="3288"/>
      <c r="X47" s="699"/>
      <c r="Y47" s="699"/>
      <c r="Z47" s="699"/>
      <c r="AA47" s="699"/>
      <c r="AB47" s="699"/>
      <c r="AC47" s="699"/>
    </row>
    <row r="48" spans="1:29" ht="15.75" thickBot="1">
      <c r="A48" s="449" t="s">
        <v>2576</v>
      </c>
      <c r="B48" s="450"/>
      <c r="C48" s="451">
        <f>R48</f>
        <v>1058</v>
      </c>
      <c r="D48" s="451"/>
      <c r="E48" s="451"/>
      <c r="F48" s="451"/>
      <c r="G48" s="451"/>
      <c r="H48" s="451"/>
      <c r="I48" s="451"/>
      <c r="J48" s="451"/>
      <c r="K48" s="724"/>
      <c r="L48" s="2955"/>
      <c r="M48" s="2956"/>
      <c r="N48" s="2956"/>
      <c r="O48" s="2956"/>
      <c r="P48" s="3289" t="str">
        <f>A48</f>
        <v>估价对象XX用房的比较价值（楼面单价，元/平方米）</v>
      </c>
      <c r="Q48" s="3290"/>
      <c r="R48" s="3291">
        <f>ROUND(IF(D47="简单平均",AVERAGE(R47:W47),R47*F47+T47*H47+V47*J47),0)</f>
        <v>1058</v>
      </c>
      <c r="S48" s="3291"/>
      <c r="T48" s="3291"/>
      <c r="U48" s="3291"/>
      <c r="V48" s="3291"/>
      <c r="W48" s="3291"/>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2490</v>
      </c>
      <c r="D51" s="455"/>
      <c r="E51" s="456">
        <f>IF(E46&lt;E47,E47/E46-1,E46/E47-1)</f>
        <v>2.6058631921824116E-2</v>
      </c>
      <c r="F51" s="457" t="str">
        <f>IF(OR(E51&gt;=0.3,E51&lt;=-0.3),"超过30%","")</f>
        <v/>
      </c>
      <c r="G51" s="456">
        <f>IF(G46&lt;G47,G47/G46-1,G46/G47-1)</f>
        <v>1.3377926421404673E-2</v>
      </c>
      <c r="H51" s="457" t="str">
        <f>IF(OR(G51&gt;=0.3,G51&lt;=-0.3),"超过30%","")</f>
        <v/>
      </c>
      <c r="I51" s="456">
        <f>IF(I46&lt;I47,I47/I46-1,I46/I47-1)</f>
        <v>4.9212598425196763E-2</v>
      </c>
      <c r="J51" s="457" t="str">
        <f>IF(OR(I51&gt;=0.3,I51&lt;=-0.3),"超过30%","")</f>
        <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2491</v>
      </c>
      <c r="D52" s="458"/>
      <c r="E52" s="456">
        <f>IF(E47&lt;G47,G47/E47-1,E47/G47-1)</f>
        <v>0.28253968253968265</v>
      </c>
      <c r="F52" s="457" t="str">
        <f>IF(OR(E52&gt;=0.2,E52&lt;=-0.2),"超过20%","")</f>
        <v>超过20%</v>
      </c>
      <c r="G52" s="456">
        <f>IF(G47&lt;I47,I47/G47-1,G47/I47-1)</f>
        <v>0.19291338582677175</v>
      </c>
      <c r="H52" s="457" t="str">
        <f>IF(OR(G52&gt;=0.2,G52&lt;=-0.2),"超过20%","")</f>
        <v/>
      </c>
      <c r="I52" s="456">
        <f>IF(I47&lt;E47,E47/I47-1,I47/E47-1)</f>
        <v>7.5132275132275161E-2</v>
      </c>
      <c r="J52" s="457" t="str">
        <f>IF(OR(I52&gt;=0.2,I52&lt;=-0.2),"超过20%","")</f>
        <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2492</v>
      </c>
      <c r="D53" s="458"/>
      <c r="E53" s="456">
        <f>IF(E46&lt;G46,G46/E46-1,E46/G46-1)</f>
        <v>0.2985884907709011</v>
      </c>
      <c r="F53" s="457" t="str">
        <f>IF(OR(E53&gt;=0.3,E53&lt;=-0.3),"超过30%","")</f>
        <v/>
      </c>
      <c r="G53" s="456">
        <f>IF(G46&lt;I46,I46/G46-1,G46/I46-1)</f>
        <v>0.12195121951219523</v>
      </c>
      <c r="H53" s="457" t="str">
        <f>IF(OR(G53&gt;=0.3,G53&lt;=-0.3),"超过30%","")</f>
        <v/>
      </c>
      <c r="I53" s="456">
        <f>IF(I46&lt;E46,E46/I46-1,I46/E46-1)</f>
        <v>0.1574375678610207</v>
      </c>
      <c r="J53" s="457" t="str">
        <f>IF(OR(I53&gt;=0.3,I53&lt;=-0.3),"超过30%","")</f>
        <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2577</v>
      </c>
      <c r="B55" s="641" t="s">
        <v>2578</v>
      </c>
      <c r="C55" s="2171" t="s">
        <v>2579</v>
      </c>
      <c r="D55" s="2172" t="s">
        <v>2580</v>
      </c>
      <c r="E55" s="642" t="s">
        <v>2581</v>
      </c>
      <c r="F55" s="1021" t="s">
        <v>2582</v>
      </c>
      <c r="G55" s="3292" t="s">
        <v>2583</v>
      </c>
      <c r="H55" s="3293"/>
      <c r="I55" s="140" t="s">
        <v>2584</v>
      </c>
      <c r="J55" s="2173">
        <f>项目基本情况!F35</f>
        <v>0</v>
      </c>
      <c r="K55" s="2174" t="s">
        <v>2585</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2586</v>
      </c>
      <c r="B56" s="645">
        <f>C48</f>
        <v>1058</v>
      </c>
      <c r="C56" s="646">
        <v>1</v>
      </c>
      <c r="D56" s="1075">
        <v>1</v>
      </c>
      <c r="E56" s="646">
        <f>'数据-汇总表'!E8+'数据-汇总表'!E9</f>
        <v>58402.819999999992</v>
      </c>
      <c r="F56" s="1017">
        <f t="shared" ref="F56:F65" si="15">ROUND(B56*E56/10000,0)</f>
        <v>6179</v>
      </c>
      <c r="G56" s="3294"/>
      <c r="H56" s="3295"/>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2587</v>
      </c>
      <c r="B57" s="224">
        <f>ROUND($C$48*C57*D57,0)</f>
        <v>0</v>
      </c>
      <c r="C57" s="176">
        <f t="shared" ref="C57:C65" si="16">IF($C$55="北京市系数",I57,J57)</f>
        <v>0</v>
      </c>
      <c r="D57" s="1076">
        <v>0.25</v>
      </c>
      <c r="E57" s="650"/>
      <c r="F57" s="1017">
        <f t="shared" si="15"/>
        <v>0</v>
      </c>
      <c r="G57" s="3296" t="s">
        <v>2588</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2589</v>
      </c>
      <c r="B58" s="224">
        <f t="shared" ref="B58:B65" si="17">ROUND($C$48*C58*D58,0)</f>
        <v>0</v>
      </c>
      <c r="C58" s="176">
        <f t="shared" si="16"/>
        <v>0</v>
      </c>
      <c r="D58" s="1076">
        <v>0.25</v>
      </c>
      <c r="E58" s="650"/>
      <c r="F58" s="1017">
        <f t="shared" si="15"/>
        <v>0</v>
      </c>
      <c r="G58" s="3296"/>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2590</v>
      </c>
      <c r="B59" s="224">
        <f t="shared" si="17"/>
        <v>0</v>
      </c>
      <c r="C59" s="176">
        <f t="shared" si="16"/>
        <v>0</v>
      </c>
      <c r="D59" s="1076">
        <v>0.25</v>
      </c>
      <c r="E59" s="650"/>
      <c r="F59" s="1017">
        <f t="shared" si="15"/>
        <v>0</v>
      </c>
      <c r="G59" s="3296"/>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2591</v>
      </c>
      <c r="B60" s="224">
        <f t="shared" si="17"/>
        <v>0</v>
      </c>
      <c r="C60" s="176">
        <f t="shared" si="16"/>
        <v>0</v>
      </c>
      <c r="D60" s="1076">
        <v>0.25</v>
      </c>
      <c r="E60" s="650"/>
      <c r="F60" s="1017">
        <f t="shared" si="15"/>
        <v>0</v>
      </c>
      <c r="G60" s="3296"/>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2592</v>
      </c>
      <c r="B61" s="224">
        <f t="shared" si="17"/>
        <v>0</v>
      </c>
      <c r="C61" s="176">
        <f t="shared" si="16"/>
        <v>0</v>
      </c>
      <c r="D61" s="1076">
        <v>0.25</v>
      </c>
      <c r="E61" s="223">
        <f>'数据-汇总表'!E11</f>
        <v>0</v>
      </c>
      <c r="F61" s="1017">
        <f t="shared" si="15"/>
        <v>0</v>
      </c>
      <c r="G61" s="2175" t="s">
        <v>2593</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2598</v>
      </c>
      <c r="B64" s="224">
        <f t="shared" si="17"/>
        <v>0</v>
      </c>
      <c r="C64" s="176">
        <f t="shared" si="16"/>
        <v>0</v>
      </c>
      <c r="D64" s="1076">
        <v>0.25</v>
      </c>
      <c r="E64" s="223">
        <f>'数据-汇总表'!E14</f>
        <v>0</v>
      </c>
      <c r="F64" s="1017">
        <f t="shared" si="15"/>
        <v>0</v>
      </c>
      <c r="G64" s="2175" t="s">
        <v>2588</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2599</v>
      </c>
      <c r="B65" s="224">
        <f t="shared" si="17"/>
        <v>0</v>
      </c>
      <c r="C65" s="176">
        <f t="shared" si="16"/>
        <v>0</v>
      </c>
      <c r="D65" s="1076">
        <v>0.25</v>
      </c>
      <c r="E65" s="223">
        <f>'数据-汇总表'!E15</f>
        <v>0</v>
      </c>
      <c r="F65" s="1017">
        <f t="shared" si="15"/>
        <v>0</v>
      </c>
      <c r="G65" s="2176" t="s">
        <v>2593</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2600</v>
      </c>
      <c r="B66" s="652" t="s">
        <v>28</v>
      </c>
      <c r="C66" s="652" t="s">
        <v>29</v>
      </c>
      <c r="D66" s="652" t="s">
        <v>997</v>
      </c>
      <c r="E66" s="652">
        <f>IF(B46="楼面地价",SUM(E56:E65),'数据-汇总表'!D3)</f>
        <v>58402.819999999992</v>
      </c>
      <c r="F66" s="653">
        <f>IF(B46="楼面地价",SUM(F56:F65),ROUND(C48*E66/10000,0))</f>
        <v>6179</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6"/>
      <c r="Q68" s="2956"/>
      <c r="R68" s="2956"/>
      <c r="S68" s="2956"/>
      <c r="T68" s="2956"/>
      <c r="U68" s="2956"/>
      <c r="V68" s="2956"/>
      <c r="W68" s="2956"/>
      <c r="X68" s="2956"/>
      <c r="Y68" s="2956"/>
      <c r="Z68" s="2956"/>
      <c r="AA68" s="2956"/>
      <c r="AB68" s="2956"/>
      <c r="AC68" s="2956"/>
    </row>
    <row r="69" spans="1:29" ht="21.75" thickBot="1">
      <c r="A69" s="703" t="s">
        <v>2493</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2601</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2602</v>
      </c>
      <c r="B71" s="294" t="str">
        <f>"北京市平均增长率"&amp;TEXT(SUMIF(基准地价修正!N21:N25,A71,基准地价修正!P21:P25),"0.00%")</f>
        <v>北京市平均增长率1.92%</v>
      </c>
      <c r="C71" s="560">
        <v>100</v>
      </c>
      <c r="D71" s="552">
        <f>C71-0.5</f>
        <v>99.5</v>
      </c>
      <c r="E71" s="552">
        <f t="shared" ref="E71:M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2404</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2369</v>
      </c>
      <c r="B73" s="467"/>
      <c r="C73" s="479" t="s">
        <v>2471</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2407</v>
      </c>
      <c r="B75" s="485" t="s">
        <v>2373</v>
      </c>
      <c r="C75" s="3091" t="s">
        <v>4135</v>
      </c>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v>100</v>
      </c>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2376</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2377</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v>0</v>
      </c>
      <c r="D80" s="506">
        <v>1</v>
      </c>
      <c r="E80" s="506">
        <v>2</v>
      </c>
      <c r="F80" s="506">
        <v>3</v>
      </c>
      <c r="G80" s="506">
        <v>4</v>
      </c>
      <c r="H80" s="506">
        <v>5</v>
      </c>
      <c r="I80" s="506">
        <v>6</v>
      </c>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2">IF($B$46="单位面积地价",C81+$K11,C81-$K11)</f>
        <v>97</v>
      </c>
      <c r="E81" s="501">
        <f t="shared" si="22"/>
        <v>94</v>
      </c>
      <c r="F81" s="501">
        <f t="shared" si="22"/>
        <v>91</v>
      </c>
      <c r="G81" s="501">
        <f t="shared" si="22"/>
        <v>88</v>
      </c>
      <c r="H81" s="501">
        <f t="shared" si="22"/>
        <v>85</v>
      </c>
      <c r="I81" s="501">
        <f t="shared" si="22"/>
        <v>82</v>
      </c>
      <c r="J81" s="501">
        <f t="shared" si="22"/>
        <v>79</v>
      </c>
      <c r="K81" s="501">
        <f t="shared" si="22"/>
        <v>76</v>
      </c>
      <c r="L81" s="501">
        <f t="shared" si="22"/>
        <v>73</v>
      </c>
      <c r="M81" s="501">
        <f t="shared" si="22"/>
        <v>70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2378</v>
      </c>
      <c r="B88" s="485" t="s">
        <v>2415</v>
      </c>
      <c r="C88" s="530" t="s">
        <v>2416</v>
      </c>
      <c r="D88" s="530" t="s">
        <v>2417</v>
      </c>
      <c r="E88" s="530" t="s">
        <v>2418</v>
      </c>
      <c r="F88" s="530" t="s">
        <v>2419</v>
      </c>
      <c r="G88" s="530" t="s">
        <v>2420</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2603</v>
      </c>
      <c r="C90" s="535" t="s">
        <v>2416</v>
      </c>
      <c r="D90" s="535" t="s">
        <v>2417</v>
      </c>
      <c r="E90" s="535" t="s">
        <v>2418</v>
      </c>
      <c r="F90" s="535" t="s">
        <v>2419</v>
      </c>
      <c r="G90" s="535" t="s">
        <v>2420</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98</v>
      </c>
      <c r="E91" s="501">
        <f>D91-$K17</f>
        <v>96</v>
      </c>
      <c r="F91" s="501">
        <f>E91-$K17</f>
        <v>94</v>
      </c>
      <c r="G91" s="501">
        <f>F91-$K17</f>
        <v>92</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2516</v>
      </c>
      <c r="C92" s="535" t="s">
        <v>2416</v>
      </c>
      <c r="D92" s="535" t="s">
        <v>2417</v>
      </c>
      <c r="E92" s="535" t="s">
        <v>2418</v>
      </c>
      <c r="F92" s="535" t="s">
        <v>2419</v>
      </c>
      <c r="G92" s="535" t="s">
        <v>2420</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2421</v>
      </c>
      <c r="C94" s="535" t="s">
        <v>2416</v>
      </c>
      <c r="D94" s="535" t="s">
        <v>2417</v>
      </c>
      <c r="E94" s="535" t="s">
        <v>2418</v>
      </c>
      <c r="F94" s="535" t="s">
        <v>2419</v>
      </c>
      <c r="G94" s="535" t="s">
        <v>2420</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98</v>
      </c>
      <c r="E95" s="501">
        <f>D95-$K21</f>
        <v>96</v>
      </c>
      <c r="F95" s="501">
        <f>E95-$K21</f>
        <v>94</v>
      </c>
      <c r="G95" s="501">
        <f>F95-$K21</f>
        <v>92</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2510</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2569</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ht="28.5">
      <c r="A116" s="484" t="s">
        <v>2382</v>
      </c>
      <c r="B116" s="485" t="s">
        <v>2610</v>
      </c>
      <c r="C116" s="486" t="str">
        <f>C117&amp;"(含)"&amp;"-"&amp;D117</f>
        <v>0(含)-10000</v>
      </c>
      <c r="D116" s="486" t="str">
        <f t="shared" ref="D116:M116" si="26">D117&amp;"(含)"&amp;"-"&amp;E117</f>
        <v>10000(含)-50000</v>
      </c>
      <c r="E116" s="486" t="str">
        <f t="shared" si="26"/>
        <v>50000(含)-100000</v>
      </c>
      <c r="F116" s="486" t="str">
        <f t="shared" si="26"/>
        <v>100000(含)-150000</v>
      </c>
      <c r="G116" s="486" t="str">
        <f t="shared" si="26"/>
        <v>150000(含)-200000</v>
      </c>
      <c r="H116" s="486" t="str">
        <f t="shared" si="26"/>
        <v>200000(含)-</v>
      </c>
      <c r="I116" s="486" t="str">
        <f t="shared" si="26"/>
        <v>(含)-</v>
      </c>
      <c r="J116" s="486" t="str">
        <f t="shared" si="26"/>
        <v>(含)-</v>
      </c>
      <c r="K116" s="486" t="str">
        <f t="shared" si="26"/>
        <v>(含)-</v>
      </c>
      <c r="L116" s="486" t="str">
        <f t="shared" si="26"/>
        <v>(含)-</v>
      </c>
      <c r="M116" s="486" t="str">
        <f t="shared" si="26"/>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v>0</v>
      </c>
      <c r="D117" s="552">
        <v>10000</v>
      </c>
      <c r="E117" s="552">
        <v>50000</v>
      </c>
      <c r="F117" s="552">
        <v>100000</v>
      </c>
      <c r="G117" s="552">
        <v>150000</v>
      </c>
      <c r="H117" s="552">
        <v>200000</v>
      </c>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v>96</v>
      </c>
      <c r="D118" s="548">
        <v>98</v>
      </c>
      <c r="E118" s="548">
        <v>100</v>
      </c>
      <c r="F118" s="548">
        <v>98</v>
      </c>
      <c r="G118" s="548">
        <v>96</v>
      </c>
      <c r="H118" s="548">
        <v>94</v>
      </c>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2611</v>
      </c>
      <c r="C119" s="3095" t="s">
        <v>4182</v>
      </c>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2612</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2613</v>
      </c>
      <c r="C123" s="3094" t="s">
        <v>4183</v>
      </c>
      <c r="D123" s="3094" t="s">
        <v>4185</v>
      </c>
      <c r="E123" s="3094" t="s">
        <v>4186</v>
      </c>
      <c r="F123" s="3094" t="s">
        <v>4188</v>
      </c>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2614</v>
      </c>
      <c r="C125" s="3094" t="s">
        <v>4189</v>
      </c>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30">C126-$K42</f>
        <v>99</v>
      </c>
      <c r="E126" s="501">
        <f t="shared" si="30"/>
        <v>98</v>
      </c>
      <c r="F126" s="501">
        <f t="shared" si="30"/>
        <v>97</v>
      </c>
      <c r="G126" s="501">
        <f t="shared" si="30"/>
        <v>96</v>
      </c>
      <c r="H126" s="501">
        <f t="shared" si="30"/>
        <v>95</v>
      </c>
      <c r="I126" s="501">
        <f t="shared" si="30"/>
        <v>94</v>
      </c>
      <c r="J126" s="501">
        <f t="shared" si="30"/>
        <v>93</v>
      </c>
      <c r="K126" s="501">
        <f t="shared" si="30"/>
        <v>92</v>
      </c>
      <c r="L126" s="501">
        <f t="shared" si="30"/>
        <v>91</v>
      </c>
      <c r="M126" s="502">
        <f t="shared" si="30"/>
        <v>90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B2" sqref="B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t="s">
        <v>4144</v>
      </c>
      <c r="E1" s="2545"/>
      <c r="F1" s="2067" t="s">
        <v>4134</v>
      </c>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28769</v>
      </c>
      <c r="C2" s="2069" t="s">
        <v>70</v>
      </c>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7648</v>
      </c>
      <c r="C3" s="360" t="s">
        <v>2463</v>
      </c>
      <c r="D3" s="359">
        <f>IF(D1="",'数据-汇总表'!E3,SUMIF('数据-汇总表'!$C19:$C33,D1,'数据-汇总表'!$E19:$E33))</f>
        <v>37615.929999999993</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2464</v>
      </c>
      <c r="B4" s="362"/>
      <c r="C4" s="3292" t="s">
        <v>2465</v>
      </c>
      <c r="D4" s="3305"/>
      <c r="E4" s="3306" t="s">
        <v>2466</v>
      </c>
      <c r="F4" s="3307"/>
      <c r="G4" s="3292" t="s">
        <v>2467</v>
      </c>
      <c r="H4" s="3305"/>
      <c r="I4" s="3292" t="s">
        <v>2468</v>
      </c>
      <c r="J4" s="3305"/>
      <c r="K4" s="567" t="s">
        <v>2469</v>
      </c>
      <c r="L4" s="2946"/>
      <c r="M4" s="2947"/>
      <c r="N4" s="2947"/>
      <c r="O4" s="2947"/>
      <c r="P4" s="3308" t="s">
        <v>2470</v>
      </c>
      <c r="Q4" s="3309"/>
      <c r="R4" s="3314" t="s">
        <v>2466</v>
      </c>
      <c r="S4" s="3315"/>
      <c r="T4" s="3314" t="s">
        <v>2467</v>
      </c>
      <c r="U4" s="3315"/>
      <c r="V4" s="3301" t="s">
        <v>2468</v>
      </c>
      <c r="W4" s="3301"/>
      <c r="X4" s="1541"/>
      <c r="Y4" s="3314" t="s">
        <v>2470</v>
      </c>
      <c r="Z4" s="3315"/>
      <c r="AA4" s="3302" t="s">
        <v>2466</v>
      </c>
      <c r="AB4" s="3301" t="s">
        <v>2467</v>
      </c>
      <c r="AC4" s="3302" t="s">
        <v>2468</v>
      </c>
    </row>
    <row r="5" spans="1:29" ht="15">
      <c r="A5" s="364"/>
      <c r="B5" s="365"/>
      <c r="C5" s="3322" t="s">
        <v>2361</v>
      </c>
      <c r="D5" s="3323"/>
      <c r="E5" s="3340" t="s">
        <v>4146</v>
      </c>
      <c r="F5" s="3330"/>
      <c r="G5" s="3339" t="s">
        <v>4147</v>
      </c>
      <c r="H5" s="3323"/>
      <c r="I5" s="3339" t="s">
        <v>4157</v>
      </c>
      <c r="J5" s="3323"/>
      <c r="K5" s="567"/>
      <c r="L5" s="2946"/>
      <c r="M5" s="2947"/>
      <c r="N5" s="2947"/>
      <c r="O5" s="2947"/>
      <c r="P5" s="3310"/>
      <c r="Q5" s="3311"/>
      <c r="R5" s="3316"/>
      <c r="S5" s="3317"/>
      <c r="T5" s="3316"/>
      <c r="U5" s="3317"/>
      <c r="V5" s="3301"/>
      <c r="W5" s="3301"/>
      <c r="X5" s="1541"/>
      <c r="Y5" s="3316"/>
      <c r="Z5" s="3317"/>
      <c r="AA5" s="3303"/>
      <c r="AB5" s="3301"/>
      <c r="AC5" s="3303"/>
    </row>
    <row r="6" spans="1:29" ht="15.75" thickBot="1">
      <c r="A6" s="366"/>
      <c r="B6" s="367"/>
      <c r="C6" s="3320" t="s">
        <v>2365</v>
      </c>
      <c r="D6" s="3321"/>
      <c r="E6" s="3327" t="s">
        <v>2365</v>
      </c>
      <c r="F6" s="3328"/>
      <c r="G6" s="3320" t="s">
        <v>2365</v>
      </c>
      <c r="H6" s="3321"/>
      <c r="I6" s="3320" t="s">
        <v>2365</v>
      </c>
      <c r="J6" s="3321"/>
      <c r="K6" s="567" t="s">
        <v>2366</v>
      </c>
      <c r="L6" s="2946"/>
      <c r="M6" s="2947"/>
      <c r="N6" s="2947"/>
      <c r="O6" s="2947"/>
      <c r="P6" s="3312"/>
      <c r="Q6" s="3313"/>
      <c r="R6" s="3316"/>
      <c r="S6" s="3317"/>
      <c r="T6" s="3318"/>
      <c r="U6" s="3319"/>
      <c r="V6" s="3301"/>
      <c r="W6" s="3301"/>
      <c r="X6" s="1541"/>
      <c r="Y6" s="3318"/>
      <c r="Z6" s="3319"/>
      <c r="AA6" s="3304"/>
      <c r="AB6" s="3301"/>
      <c r="AC6" s="3304"/>
    </row>
    <row r="7" spans="1:29" s="113" customFormat="1" ht="15.75" thickBot="1">
      <c r="A7" s="368" t="s">
        <v>2367</v>
      </c>
      <c r="B7" s="369"/>
      <c r="C7" s="370">
        <f>'数据-取费表'!B2</f>
        <v>44153</v>
      </c>
      <c r="D7" s="371">
        <v>100</v>
      </c>
      <c r="E7" s="372">
        <f>C7</f>
        <v>44153</v>
      </c>
      <c r="F7" s="373">
        <f>SUMIF(58:58,YEAR(E7)&amp;"-"&amp;MONTH(E7),59:59)</f>
        <v>100</v>
      </c>
      <c r="G7" s="372">
        <f>C7</f>
        <v>44153</v>
      </c>
      <c r="H7" s="371">
        <f>SUMIF(58:58,YEAR(G7)&amp;"-"&amp;MONTH(G7),59:59)</f>
        <v>100</v>
      </c>
      <c r="I7" s="372">
        <f>C7</f>
        <v>44153</v>
      </c>
      <c r="J7" s="371">
        <f>SUMIF(58:58,YEAR(I7)&amp;"-"&amp;MONTH(I7),59:59)</f>
        <v>100</v>
      </c>
      <c r="K7" s="568"/>
      <c r="L7" s="2948"/>
      <c r="M7" s="2949"/>
      <c r="N7" s="2949"/>
      <c r="O7" s="2949"/>
      <c r="P7" s="3324" t="s">
        <v>2368</v>
      </c>
      <c r="Q7" s="3326"/>
      <c r="R7" s="710" t="s">
        <v>17</v>
      </c>
      <c r="S7" s="711">
        <f t="shared" ref="S7:S15" si="0">F7</f>
        <v>100</v>
      </c>
      <c r="T7" s="710" t="s">
        <v>17</v>
      </c>
      <c r="U7" s="711">
        <f t="shared" ref="U7:U15" si="1">H7</f>
        <v>100</v>
      </c>
      <c r="V7" s="710" t="s">
        <v>17</v>
      </c>
      <c r="W7" s="711">
        <f t="shared" ref="W7:W15" si="2">J7</f>
        <v>100</v>
      </c>
      <c r="X7" s="712"/>
      <c r="Y7" s="3324" t="s">
        <v>2368</v>
      </c>
      <c r="Z7" s="3325"/>
      <c r="AA7" s="713">
        <f>D7/F7</f>
        <v>1</v>
      </c>
      <c r="AB7" s="713">
        <f>D7/H7</f>
        <v>1</v>
      </c>
      <c r="AC7" s="713">
        <f>D7/J7</f>
        <v>1</v>
      </c>
    </row>
    <row r="8" spans="1:29" s="113" customFormat="1" ht="15.75" thickBot="1">
      <c r="A8" s="368" t="s">
        <v>2369</v>
      </c>
      <c r="B8" s="369"/>
      <c r="C8" s="374" t="s">
        <v>2471</v>
      </c>
      <c r="D8" s="371">
        <v>100</v>
      </c>
      <c r="E8" s="374" t="s">
        <v>2406</v>
      </c>
      <c r="F8" s="373">
        <f>SUMIF(61:61,E8,62:62)-SUMIF(61:61,C8,62:62)+100</f>
        <v>100</v>
      </c>
      <c r="G8" s="374" t="s">
        <v>2406</v>
      </c>
      <c r="H8" s="371">
        <f>SUMIF(61:61,G8,62:62)-SUMIF(61:61,C8,62:62)+100</f>
        <v>100</v>
      </c>
      <c r="I8" s="374" t="s">
        <v>2406</v>
      </c>
      <c r="J8" s="371">
        <f>SUMIF(61:61,I8,62:62)-SUMIF(61:61,C8,62:62)+100</f>
        <v>100</v>
      </c>
      <c r="K8" s="568"/>
      <c r="L8" s="2948"/>
      <c r="M8" s="2949"/>
      <c r="N8" s="2949"/>
      <c r="O8" s="2949"/>
      <c r="P8" s="3324" t="s">
        <v>2371</v>
      </c>
      <c r="Q8" s="3325"/>
      <c r="R8" s="710" t="s">
        <v>17</v>
      </c>
      <c r="S8" s="711">
        <f t="shared" si="0"/>
        <v>100</v>
      </c>
      <c r="T8" s="710" t="s">
        <v>17</v>
      </c>
      <c r="U8" s="711">
        <f t="shared" si="1"/>
        <v>100</v>
      </c>
      <c r="V8" s="710" t="s">
        <v>17</v>
      </c>
      <c r="W8" s="711">
        <f t="shared" si="2"/>
        <v>100</v>
      </c>
      <c r="X8" s="712"/>
      <c r="Y8" s="3324" t="s">
        <v>2371</v>
      </c>
      <c r="Z8" s="3325"/>
      <c r="AA8" s="713">
        <f t="shared" ref="AA8:AA46" si="3">D8/F8</f>
        <v>1</v>
      </c>
      <c r="AB8" s="713">
        <f t="shared" ref="AB8:AB46" si="4">D8/H8</f>
        <v>1</v>
      </c>
      <c r="AC8" s="713">
        <f t="shared" ref="AC8:AC46" si="5">D8/J8</f>
        <v>1</v>
      </c>
    </row>
    <row r="9" spans="1:29" s="113" customFormat="1">
      <c r="A9" s="375" t="s">
        <v>2372</v>
      </c>
      <c r="B9" s="67" t="s">
        <v>2373</v>
      </c>
      <c r="C9" s="3093" t="s">
        <v>4148</v>
      </c>
      <c r="D9" s="131">
        <v>100</v>
      </c>
      <c r="E9" s="377" t="s">
        <v>4038</v>
      </c>
      <c r="F9" s="378">
        <f>SUMIF(63:63,E9,64:64)-SUMIF(63:63,C9,64:64)+100</f>
        <v>100</v>
      </c>
      <c r="G9" s="377" t="s">
        <v>4038</v>
      </c>
      <c r="H9" s="131">
        <f>SUMIF(63:63,G9,64:64)-SUMIF(63:63,C9,64:64)+100</f>
        <v>100</v>
      </c>
      <c r="I9" s="377" t="s">
        <v>4038</v>
      </c>
      <c r="J9" s="131">
        <f>SUMIF(63:63,I9,64:64)-SUMIF(63:63,C9,64:64)+100</f>
        <v>100</v>
      </c>
      <c r="K9" s="568"/>
      <c r="L9" s="2948"/>
      <c r="M9" s="2949"/>
      <c r="N9" s="2949"/>
      <c r="O9" s="2949"/>
      <c r="P9" s="3294" t="s">
        <v>2374</v>
      </c>
      <c r="Q9" s="1529" t="str">
        <f t="shared" ref="Q9:Q15" si="6">B9</f>
        <v>用途</v>
      </c>
      <c r="R9" s="710" t="s">
        <v>17</v>
      </c>
      <c r="S9" s="711">
        <f t="shared" si="0"/>
        <v>100</v>
      </c>
      <c r="T9" s="710" t="s">
        <v>17</v>
      </c>
      <c r="U9" s="711">
        <f t="shared" si="1"/>
        <v>100</v>
      </c>
      <c r="V9" s="710" t="s">
        <v>17</v>
      </c>
      <c r="W9" s="711">
        <f t="shared" si="2"/>
        <v>100</v>
      </c>
      <c r="X9" s="712"/>
      <c r="Y9" s="3189" t="s">
        <v>2375</v>
      </c>
      <c r="Z9" s="55" t="str">
        <f t="shared" ref="Z9:Z15" si="7">Q9</f>
        <v>用途</v>
      </c>
      <c r="AA9" s="713">
        <f t="shared" si="3"/>
        <v>1</v>
      </c>
      <c r="AB9" s="713">
        <f t="shared" si="4"/>
        <v>1</v>
      </c>
      <c r="AC9" s="713">
        <f t="shared" si="5"/>
        <v>1</v>
      </c>
    </row>
    <row r="10" spans="1:29" s="386" customFormat="1" ht="27">
      <c r="A10" s="380"/>
      <c r="B10" s="381" t="s">
        <v>2376</v>
      </c>
      <c r="C10" s="382" t="s">
        <v>4149</v>
      </c>
      <c r="D10" s="132">
        <v>100</v>
      </c>
      <c r="E10" s="383" t="s">
        <v>4149</v>
      </c>
      <c r="F10" s="384">
        <f>SUMIF(65:65,E10,66:66)-SUMIF(65:65,C10,66:66)+100</f>
        <v>100</v>
      </c>
      <c r="G10" s="382" t="s">
        <v>4149</v>
      </c>
      <c r="H10" s="132">
        <f>SUMIF(65:65,G10,66:66)-SUMIF(65:65,C10,66:66)+100</f>
        <v>100</v>
      </c>
      <c r="I10" s="382" t="s">
        <v>4149</v>
      </c>
      <c r="J10" s="132">
        <f>SUMIF(65:65,I10,66:66)-SUMIF(65:65,C10,66:66)+100</f>
        <v>100</v>
      </c>
      <c r="K10" s="569">
        <v>2</v>
      </c>
      <c r="L10" s="2950"/>
      <c r="M10" s="2951"/>
      <c r="N10" s="2951"/>
      <c r="O10" s="2951"/>
      <c r="P10" s="3294"/>
      <c r="Q10" s="1529"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75" thickBot="1">
      <c r="A11" s="387"/>
      <c r="B11" s="381" t="s">
        <v>2377</v>
      </c>
      <c r="C11" s="388">
        <f>'数据-汇总表'!I4</f>
        <v>1.5</v>
      </c>
      <c r="D11" s="132">
        <v>100</v>
      </c>
      <c r="E11" s="389">
        <v>1.5</v>
      </c>
      <c r="F11" s="384">
        <f>LOOKUP(E11,68:68,69:69)-LOOKUP(C11,68:68,69:69)+100</f>
        <v>100</v>
      </c>
      <c r="G11" s="388">
        <v>1.9</v>
      </c>
      <c r="H11" s="132">
        <f>LOOKUP(G11,68:68,69:69)-LOOKUP(C11,68:68,69:69)+100</f>
        <v>100</v>
      </c>
      <c r="I11" s="388">
        <v>2.7</v>
      </c>
      <c r="J11" s="132">
        <f>LOOKUP(I11,68:68,69:69)-LOOKUP(C11,68:68,69:69)+100</f>
        <v>97</v>
      </c>
      <c r="K11" s="569">
        <v>3</v>
      </c>
      <c r="L11" s="2952"/>
      <c r="M11" s="2947"/>
      <c r="N11" s="2947"/>
      <c r="O11" s="2947"/>
      <c r="P11" s="3294"/>
      <c r="Q11" s="1529" t="str">
        <f t="shared" si="6"/>
        <v>容积率</v>
      </c>
      <c r="R11" s="710" t="s">
        <v>17</v>
      </c>
      <c r="S11" s="711">
        <f t="shared" si="0"/>
        <v>100</v>
      </c>
      <c r="T11" s="710" t="s">
        <v>17</v>
      </c>
      <c r="U11" s="711">
        <f t="shared" si="1"/>
        <v>100</v>
      </c>
      <c r="V11" s="710" t="s">
        <v>17</v>
      </c>
      <c r="W11" s="711">
        <f t="shared" si="2"/>
        <v>97</v>
      </c>
      <c r="X11" s="712"/>
      <c r="Y11" s="3189"/>
      <c r="Z11" s="55" t="str">
        <f t="shared" si="7"/>
        <v>容积率</v>
      </c>
      <c r="AA11" s="713">
        <f t="shared" si="3"/>
        <v>1</v>
      </c>
      <c r="AB11" s="713">
        <f t="shared" si="4"/>
        <v>1</v>
      </c>
      <c r="AC11" s="713">
        <f t="shared" si="5"/>
        <v>1.0309278350515463</v>
      </c>
    </row>
    <row r="12" spans="1:29" s="113" customFormat="1" ht="15" hidden="1">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94"/>
      <c r="Q12" s="1529">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 hidden="1">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94"/>
      <c r="Q13" s="1529">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15.75" hidden="1"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94"/>
      <c r="Q14" s="1529">
        <f t="shared" si="6"/>
        <v>111</v>
      </c>
      <c r="R14" s="710" t="s">
        <v>17</v>
      </c>
      <c r="S14" s="711">
        <f t="shared" si="0"/>
        <v>100</v>
      </c>
      <c r="T14" s="710" t="s">
        <v>17</v>
      </c>
      <c r="U14" s="711">
        <f t="shared" si="1"/>
        <v>100</v>
      </c>
      <c r="V14" s="710" t="s">
        <v>17</v>
      </c>
      <c r="W14" s="711">
        <f t="shared" si="2"/>
        <v>100</v>
      </c>
      <c r="X14" s="712"/>
      <c r="Y14" s="3189"/>
      <c r="Z14" s="55">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53"/>
      <c r="M15" s="2947"/>
      <c r="N15" s="2947"/>
      <c r="O15" s="2947"/>
      <c r="P15" s="3333" t="s">
        <v>2379</v>
      </c>
      <c r="Q15" s="1538" t="str">
        <f t="shared" si="6"/>
        <v>商业繁华度</v>
      </c>
      <c r="R15" s="714" t="s">
        <v>17</v>
      </c>
      <c r="S15" s="715">
        <f t="shared" si="0"/>
        <v>100</v>
      </c>
      <c r="T15" s="714" t="s">
        <v>17</v>
      </c>
      <c r="U15" s="715">
        <f t="shared" si="1"/>
        <v>100</v>
      </c>
      <c r="V15" s="714" t="s">
        <v>17</v>
      </c>
      <c r="W15" s="715">
        <f t="shared" si="2"/>
        <v>100</v>
      </c>
      <c r="X15" s="1541"/>
      <c r="Y15" s="3297" t="s">
        <v>2379</v>
      </c>
      <c r="Z15" s="1542" t="str">
        <f t="shared" si="7"/>
        <v>商业繁华度</v>
      </c>
      <c r="AA15" s="1539">
        <f t="shared" si="3"/>
        <v>1</v>
      </c>
      <c r="AB15" s="1539">
        <f t="shared" si="4"/>
        <v>1</v>
      </c>
      <c r="AC15" s="1539">
        <f t="shared" si="5"/>
        <v>1</v>
      </c>
    </row>
    <row r="16" spans="1:29" ht="15">
      <c r="A16" s="387"/>
      <c r="B16" s="405"/>
      <c r="C16" s="406" t="s">
        <v>4150</v>
      </c>
      <c r="D16" s="407"/>
      <c r="E16" s="406" t="s">
        <v>4150</v>
      </c>
      <c r="F16" s="408"/>
      <c r="G16" s="406" t="s">
        <v>4150</v>
      </c>
      <c r="H16" s="409"/>
      <c r="I16" s="406" t="s">
        <v>4150</v>
      </c>
      <c r="J16" s="407"/>
      <c r="K16" s="572"/>
      <c r="L16" s="2953"/>
      <c r="M16" s="2947"/>
      <c r="N16" s="2947"/>
      <c r="O16" s="2947"/>
      <c r="P16" s="3334"/>
      <c r="Q16" s="1538"/>
      <c r="R16" s="714"/>
      <c r="S16" s="715"/>
      <c r="T16" s="714"/>
      <c r="U16" s="715"/>
      <c r="V16" s="714"/>
      <c r="W16" s="715"/>
      <c r="X16" s="1541"/>
      <c r="Y16" s="329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102</v>
      </c>
      <c r="K17" s="571">
        <v>2</v>
      </c>
      <c r="L17" s="2953"/>
      <c r="M17" s="2947"/>
      <c r="N17" s="2947"/>
      <c r="O17" s="2947"/>
      <c r="P17" s="3334"/>
      <c r="Q17" s="1538" t="str">
        <f>B17</f>
        <v>交通便捷度</v>
      </c>
      <c r="R17" s="714" t="s">
        <v>17</v>
      </c>
      <c r="S17" s="715">
        <f>F17</f>
        <v>100</v>
      </c>
      <c r="T17" s="714" t="s">
        <v>17</v>
      </c>
      <c r="U17" s="715">
        <f>H17</f>
        <v>100</v>
      </c>
      <c r="V17" s="714" t="s">
        <v>17</v>
      </c>
      <c r="W17" s="715">
        <f>J17</f>
        <v>102</v>
      </c>
      <c r="X17" s="1541"/>
      <c r="Y17" s="3298"/>
      <c r="Z17" s="1542" t="str">
        <f>Q17</f>
        <v>交通便捷度</v>
      </c>
      <c r="AA17" s="1539">
        <f t="shared" si="3"/>
        <v>1</v>
      </c>
      <c r="AB17" s="1539">
        <f t="shared" si="4"/>
        <v>1</v>
      </c>
      <c r="AC17" s="1539">
        <f t="shared" si="5"/>
        <v>0.98039215686274506</v>
      </c>
    </row>
    <row r="18" spans="1:29" ht="15">
      <c r="A18" s="387"/>
      <c r="B18" s="415"/>
      <c r="C18" s="2089" t="s">
        <v>4140</v>
      </c>
      <c r="D18" s="409"/>
      <c r="E18" s="2089" t="s">
        <v>4140</v>
      </c>
      <c r="F18" s="412"/>
      <c r="G18" s="2089" t="s">
        <v>4140</v>
      </c>
      <c r="H18" s="407"/>
      <c r="I18" s="2089" t="s">
        <v>4137</v>
      </c>
      <c r="J18" s="407"/>
      <c r="K18" s="572"/>
      <c r="L18" s="2953"/>
      <c r="M18" s="2947"/>
      <c r="N18" s="2947"/>
      <c r="O18" s="2947"/>
      <c r="P18" s="3334"/>
      <c r="Q18" s="1538"/>
      <c r="R18" s="714"/>
      <c r="S18" s="715"/>
      <c r="T18" s="714"/>
      <c r="U18" s="715"/>
      <c r="V18" s="714"/>
      <c r="W18" s="715"/>
      <c r="X18" s="1541"/>
      <c r="Y18" s="3298"/>
      <c r="Z18" s="1542"/>
      <c r="AA18" s="1539">
        <v>1</v>
      </c>
      <c r="AB18" s="1539">
        <v>1</v>
      </c>
      <c r="AC18" s="1539">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3"/>
      <c r="M19" s="2947"/>
      <c r="N19" s="2947"/>
      <c r="O19" s="2947"/>
      <c r="P19" s="3334"/>
      <c r="Q19" s="1538" t="str">
        <f>B19</f>
        <v>公共配套设施</v>
      </c>
      <c r="R19" s="714" t="s">
        <v>17</v>
      </c>
      <c r="S19" s="715">
        <f>F19</f>
        <v>100</v>
      </c>
      <c r="T19" s="714" t="s">
        <v>17</v>
      </c>
      <c r="U19" s="715">
        <f>H19</f>
        <v>100</v>
      </c>
      <c r="V19" s="714" t="s">
        <v>17</v>
      </c>
      <c r="W19" s="715">
        <f>J19</f>
        <v>100</v>
      </c>
      <c r="X19" s="1541"/>
      <c r="Y19" s="3298"/>
      <c r="Z19" s="1542" t="str">
        <f>Q19</f>
        <v>公共配套设施</v>
      </c>
      <c r="AA19" s="1539">
        <f t="shared" si="3"/>
        <v>1</v>
      </c>
      <c r="AB19" s="1539">
        <f t="shared" si="4"/>
        <v>1</v>
      </c>
      <c r="AC19" s="1539">
        <f t="shared" si="5"/>
        <v>1</v>
      </c>
    </row>
    <row r="20" spans="1:29" ht="15">
      <c r="A20" s="387"/>
      <c r="B20" s="415"/>
      <c r="C20" s="406" t="s">
        <v>4150</v>
      </c>
      <c r="D20" s="407"/>
      <c r="E20" s="406" t="s">
        <v>4150</v>
      </c>
      <c r="F20" s="408"/>
      <c r="G20" s="406" t="s">
        <v>4150</v>
      </c>
      <c r="H20" s="407"/>
      <c r="I20" s="2086" t="s">
        <v>4150</v>
      </c>
      <c r="J20" s="407"/>
      <c r="K20" s="572"/>
      <c r="L20" s="2953"/>
      <c r="M20" s="2947"/>
      <c r="N20" s="2947"/>
      <c r="O20" s="2947"/>
      <c r="P20" s="3334"/>
      <c r="Q20" s="1538"/>
      <c r="R20" s="714"/>
      <c r="S20" s="715"/>
      <c r="T20" s="714"/>
      <c r="U20" s="715"/>
      <c r="V20" s="714"/>
      <c r="W20" s="715"/>
      <c r="X20" s="1541"/>
      <c r="Y20" s="3298"/>
      <c r="Z20" s="1542"/>
      <c r="AA20" s="1539">
        <v>1</v>
      </c>
      <c r="AB20" s="1539">
        <v>1</v>
      </c>
      <c r="AC20" s="1539">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53"/>
      <c r="M21" s="2947"/>
      <c r="N21" s="2947"/>
      <c r="O21" s="2947"/>
      <c r="P21" s="3334"/>
      <c r="Q21" s="1538" t="str">
        <f>B21</f>
        <v>基础设施水平</v>
      </c>
      <c r="R21" s="714" t="s">
        <v>17</v>
      </c>
      <c r="S21" s="715">
        <f>F21</f>
        <v>100</v>
      </c>
      <c r="T21" s="714" t="s">
        <v>17</v>
      </c>
      <c r="U21" s="715">
        <f>H21</f>
        <v>100</v>
      </c>
      <c r="V21" s="714" t="s">
        <v>17</v>
      </c>
      <c r="W21" s="715">
        <f>J21</f>
        <v>100</v>
      </c>
      <c r="X21" s="1541"/>
      <c r="Y21" s="3298"/>
      <c r="Z21" s="1542" t="str">
        <f>Q21</f>
        <v>基础设施水平</v>
      </c>
      <c r="AA21" s="1539">
        <f t="shared" ref="AA21" si="8">D21/F21</f>
        <v>1</v>
      </c>
      <c r="AB21" s="1539">
        <f t="shared" ref="AB21" si="9">D21/H21</f>
        <v>1</v>
      </c>
      <c r="AC21" s="1539">
        <f t="shared" ref="AC21" si="10">D21/J21</f>
        <v>1</v>
      </c>
    </row>
    <row r="22" spans="1:29" ht="15">
      <c r="A22" s="387"/>
      <c r="B22" s="1293"/>
      <c r="C22" s="2089" t="s">
        <v>4139</v>
      </c>
      <c r="D22" s="407"/>
      <c r="E22" s="2089" t="s">
        <v>4139</v>
      </c>
      <c r="F22" s="408"/>
      <c r="G22" s="2089" t="s">
        <v>4139</v>
      </c>
      <c r="H22" s="407"/>
      <c r="I22" s="2089" t="s">
        <v>4139</v>
      </c>
      <c r="J22" s="407"/>
      <c r="K22" s="1292"/>
      <c r="L22" s="2953"/>
      <c r="M22" s="2947"/>
      <c r="N22" s="2947"/>
      <c r="O22" s="2947"/>
      <c r="P22" s="3334"/>
      <c r="Q22" s="1538"/>
      <c r="R22" s="714"/>
      <c r="S22" s="715"/>
      <c r="T22" s="714"/>
      <c r="U22" s="715"/>
      <c r="V22" s="714"/>
      <c r="W22" s="715"/>
      <c r="X22" s="1541"/>
      <c r="Y22" s="3298"/>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3"/>
      <c r="M23" s="2947"/>
      <c r="N23" s="2947"/>
      <c r="O23" s="2947"/>
      <c r="P23" s="3334"/>
      <c r="Q23" s="1538" t="str">
        <f>B23</f>
        <v>自然及人文环境</v>
      </c>
      <c r="R23" s="714" t="s">
        <v>17</v>
      </c>
      <c r="S23" s="715">
        <f>F23</f>
        <v>100</v>
      </c>
      <c r="T23" s="714" t="s">
        <v>17</v>
      </c>
      <c r="U23" s="715">
        <f>H23</f>
        <v>100</v>
      </c>
      <c r="V23" s="714" t="s">
        <v>17</v>
      </c>
      <c r="W23" s="715">
        <f>J23</f>
        <v>100</v>
      </c>
      <c r="X23" s="1541"/>
      <c r="Y23" s="3298"/>
      <c r="Z23" s="1542" t="str">
        <f>Q23</f>
        <v>自然及人文环境</v>
      </c>
      <c r="AA23" s="1539">
        <f t="shared" si="3"/>
        <v>1</v>
      </c>
      <c r="AB23" s="1539">
        <f t="shared" si="4"/>
        <v>1</v>
      </c>
      <c r="AC23" s="1539">
        <f t="shared" si="5"/>
        <v>1</v>
      </c>
    </row>
    <row r="24" spans="1:29" ht="15.75" thickBot="1">
      <c r="A24" s="387"/>
      <c r="B24" s="415"/>
      <c r="C24" s="406" t="s">
        <v>4140</v>
      </c>
      <c r="D24" s="407"/>
      <c r="E24" s="406" t="s">
        <v>4140</v>
      </c>
      <c r="F24" s="408"/>
      <c r="G24" s="406" t="s">
        <v>4140</v>
      </c>
      <c r="H24" s="407"/>
      <c r="I24" s="406" t="s">
        <v>4140</v>
      </c>
      <c r="J24" s="407"/>
      <c r="K24" s="572"/>
      <c r="L24" s="2953"/>
      <c r="M24" s="2947"/>
      <c r="N24" s="2947"/>
      <c r="O24" s="2947"/>
      <c r="P24" s="3334"/>
      <c r="Q24" s="1538"/>
      <c r="R24" s="714"/>
      <c r="S24" s="715"/>
      <c r="T24" s="714"/>
      <c r="U24" s="715"/>
      <c r="V24" s="714"/>
      <c r="W24" s="715"/>
      <c r="X24" s="1541"/>
      <c r="Y24" s="3298"/>
      <c r="Z24" s="1542"/>
      <c r="AA24" s="1539">
        <v>1</v>
      </c>
      <c r="AB24" s="1539">
        <v>1</v>
      </c>
      <c r="AC24" s="1539">
        <v>1</v>
      </c>
    </row>
    <row r="25" spans="1:29" ht="15" hidden="1">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34"/>
      <c r="Q25" s="1538" t="str">
        <f t="shared" ref="Q25:Q46" si="11">B25</f>
        <v>临街状况</v>
      </c>
      <c r="R25" s="714" t="s">
        <v>17</v>
      </c>
      <c r="S25" s="715">
        <f>F25</f>
        <v>100</v>
      </c>
      <c r="T25" s="714" t="s">
        <v>17</v>
      </c>
      <c r="U25" s="715">
        <f>H25</f>
        <v>100</v>
      </c>
      <c r="V25" s="714" t="s">
        <v>17</v>
      </c>
      <c r="W25" s="715">
        <f>J25</f>
        <v>100</v>
      </c>
      <c r="X25" s="1541"/>
      <c r="Y25" s="3298"/>
      <c r="Z25" s="1542" t="str">
        <f>Q25</f>
        <v>临街状况</v>
      </c>
      <c r="AA25" s="1539">
        <f t="shared" si="3"/>
        <v>1</v>
      </c>
      <c r="AB25" s="1539">
        <f t="shared" si="4"/>
        <v>1</v>
      </c>
      <c r="AC25" s="1539">
        <f t="shared" si="5"/>
        <v>1</v>
      </c>
    </row>
    <row r="26" spans="1:29" ht="15" hidden="1">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34"/>
      <c r="Q26" s="1538" t="str">
        <f t="shared" si="11"/>
        <v>平面位置/可视性</v>
      </c>
      <c r="R26" s="714" t="s">
        <v>17</v>
      </c>
      <c r="S26" s="715">
        <f>F26</f>
        <v>100</v>
      </c>
      <c r="T26" s="714" t="s">
        <v>17</v>
      </c>
      <c r="U26" s="715">
        <f>H26</f>
        <v>100</v>
      </c>
      <c r="V26" s="714" t="s">
        <v>17</v>
      </c>
      <c r="W26" s="715">
        <f>J26</f>
        <v>100</v>
      </c>
      <c r="X26" s="1541"/>
      <c r="Y26" s="3298"/>
      <c r="Z26" s="1542" t="str">
        <f>Q26</f>
        <v>平面位置/可视性</v>
      </c>
      <c r="AA26" s="1539">
        <f t="shared" si="3"/>
        <v>1</v>
      </c>
      <c r="AB26" s="1539">
        <f t="shared" si="4"/>
        <v>1</v>
      </c>
      <c r="AC26" s="1539">
        <f t="shared" si="5"/>
        <v>1</v>
      </c>
    </row>
    <row r="27" spans="1:29" s="113" customFormat="1" ht="15" hidden="1">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34"/>
      <c r="Q27" s="1529" t="str">
        <f t="shared" si="11"/>
        <v>人流量</v>
      </c>
      <c r="R27" s="710" t="s">
        <v>17</v>
      </c>
      <c r="S27" s="711">
        <f>F27</f>
        <v>100</v>
      </c>
      <c r="T27" s="710" t="s">
        <v>17</v>
      </c>
      <c r="U27" s="711">
        <f>H27</f>
        <v>100</v>
      </c>
      <c r="V27" s="710" t="s">
        <v>17</v>
      </c>
      <c r="W27" s="711">
        <f>J27</f>
        <v>100</v>
      </c>
      <c r="X27" s="712"/>
      <c r="Y27" s="3298"/>
      <c r="Z27" s="55" t="str">
        <f>Q27</f>
        <v>人流量</v>
      </c>
      <c r="AA27" s="1539">
        <f>D27/F27</f>
        <v>1</v>
      </c>
      <c r="AB27" s="1539">
        <f>D27/H27</f>
        <v>1</v>
      </c>
      <c r="AC27" s="1539">
        <f>D27/J27</f>
        <v>1</v>
      </c>
    </row>
    <row r="28" spans="1:29" ht="15" hidden="1">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34"/>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98"/>
      <c r="Z28" s="1542" t="str">
        <f t="shared" ref="Z28:Z46" si="15">Q28</f>
        <v>楼层</v>
      </c>
      <c r="AA28" s="1539">
        <f t="shared" si="3"/>
        <v>1</v>
      </c>
      <c r="AB28" s="1539">
        <f t="shared" si="4"/>
        <v>1</v>
      </c>
      <c r="AC28" s="1539">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34"/>
      <c r="Q29" s="1538">
        <f t="shared" si="11"/>
        <v>111</v>
      </c>
      <c r="R29" s="714" t="s">
        <v>17</v>
      </c>
      <c r="S29" s="715">
        <f t="shared" si="12"/>
        <v>100</v>
      </c>
      <c r="T29" s="714" t="s">
        <v>17</v>
      </c>
      <c r="U29" s="715">
        <f t="shared" si="13"/>
        <v>100</v>
      </c>
      <c r="V29" s="714" t="s">
        <v>17</v>
      </c>
      <c r="W29" s="715">
        <f t="shared" si="14"/>
        <v>100</v>
      </c>
      <c r="X29" s="1541"/>
      <c r="Y29" s="3298"/>
      <c r="Z29" s="1542">
        <f t="shared" si="15"/>
        <v>111</v>
      </c>
      <c r="AA29" s="1539">
        <f t="shared" si="3"/>
        <v>1</v>
      </c>
      <c r="AB29" s="1539">
        <f t="shared" si="4"/>
        <v>1</v>
      </c>
      <c r="AC29" s="1539">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34"/>
      <c r="Q30" s="1538">
        <f t="shared" si="11"/>
        <v>111</v>
      </c>
      <c r="R30" s="714" t="s">
        <v>17</v>
      </c>
      <c r="S30" s="715">
        <f t="shared" si="12"/>
        <v>100</v>
      </c>
      <c r="T30" s="714" t="s">
        <v>17</v>
      </c>
      <c r="U30" s="715">
        <f t="shared" si="13"/>
        <v>100</v>
      </c>
      <c r="V30" s="714" t="s">
        <v>17</v>
      </c>
      <c r="W30" s="715">
        <f t="shared" si="14"/>
        <v>100</v>
      </c>
      <c r="X30" s="1541"/>
      <c r="Y30" s="3298"/>
      <c r="Z30" s="1542">
        <f t="shared" si="15"/>
        <v>111</v>
      </c>
      <c r="AA30" s="1539">
        <f t="shared" si="3"/>
        <v>1</v>
      </c>
      <c r="AB30" s="1539">
        <f t="shared" si="4"/>
        <v>1</v>
      </c>
      <c r="AC30" s="1539">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34"/>
      <c r="Q31" s="1538">
        <f t="shared" si="11"/>
        <v>111</v>
      </c>
      <c r="R31" s="714" t="s">
        <v>17</v>
      </c>
      <c r="S31" s="715">
        <f t="shared" si="12"/>
        <v>100</v>
      </c>
      <c r="T31" s="714" t="s">
        <v>17</v>
      </c>
      <c r="U31" s="715">
        <f t="shared" si="13"/>
        <v>100</v>
      </c>
      <c r="V31" s="714" t="s">
        <v>17</v>
      </c>
      <c r="W31" s="715">
        <f t="shared" si="14"/>
        <v>100</v>
      </c>
      <c r="X31" s="1541"/>
      <c r="Y31" s="3298"/>
      <c r="Z31" s="1542">
        <f t="shared" si="15"/>
        <v>111</v>
      </c>
      <c r="AA31" s="1539">
        <f t="shared" si="3"/>
        <v>1</v>
      </c>
      <c r="AB31" s="1539">
        <f t="shared" si="4"/>
        <v>1</v>
      </c>
      <c r="AC31" s="1539">
        <f t="shared" si="5"/>
        <v>1</v>
      </c>
    </row>
    <row r="32" spans="1:29" ht="15">
      <c r="A32" s="399" t="s">
        <v>2382</v>
      </c>
      <c r="B32" s="67" t="s">
        <v>2479</v>
      </c>
      <c r="C32" s="2098" t="s">
        <v>4144</v>
      </c>
      <c r="D32" s="426">
        <v>100</v>
      </c>
      <c r="E32" s="2098" t="s">
        <v>4144</v>
      </c>
      <c r="F32" s="420">
        <f>SUMIF(100:100,E32,101:101)-SUMIF(100:100,C32,101:101)+100</f>
        <v>100</v>
      </c>
      <c r="G32" s="2098" t="s">
        <v>4144</v>
      </c>
      <c r="H32" s="394">
        <f>SUMIF(100:100,G32,101:101)-SUMIF(100:100,C32,101:101)+100</f>
        <v>100</v>
      </c>
      <c r="I32" s="2098" t="s">
        <v>4144</v>
      </c>
      <c r="J32" s="426">
        <f>SUMIF(100:100,I32,101:101)-SUMIF(100:100,C32,101:101)+100</f>
        <v>100</v>
      </c>
      <c r="K32" s="569"/>
      <c r="L32" s="2953"/>
      <c r="M32" s="2947"/>
      <c r="N32" s="2947"/>
      <c r="O32" s="2947"/>
      <c r="P32" s="3335" t="s">
        <v>2384</v>
      </c>
      <c r="Q32" s="1538" t="str">
        <f t="shared" si="11"/>
        <v>商业类型</v>
      </c>
      <c r="R32" s="714" t="s">
        <v>17</v>
      </c>
      <c r="S32" s="715">
        <f t="shared" si="12"/>
        <v>100</v>
      </c>
      <c r="T32" s="714" t="s">
        <v>17</v>
      </c>
      <c r="U32" s="715">
        <f t="shared" si="13"/>
        <v>100</v>
      </c>
      <c r="V32" s="714" t="s">
        <v>17</v>
      </c>
      <c r="W32" s="715">
        <f t="shared" si="14"/>
        <v>100</v>
      </c>
      <c r="X32" s="1541"/>
      <c r="Y32" s="3300" t="s">
        <v>2384</v>
      </c>
      <c r="Z32" s="1542" t="str">
        <f t="shared" si="15"/>
        <v>商业类型</v>
      </c>
      <c r="AA32" s="1539">
        <f t="shared" si="3"/>
        <v>1</v>
      </c>
      <c r="AB32" s="1539">
        <f t="shared" si="4"/>
        <v>1</v>
      </c>
      <c r="AC32" s="1539">
        <f t="shared" si="5"/>
        <v>1</v>
      </c>
    </row>
    <row r="33" spans="1:29" s="430" customFormat="1" ht="15">
      <c r="A33" s="427"/>
      <c r="B33" s="381" t="s">
        <v>2385</v>
      </c>
      <c r="C33" s="428">
        <v>350000</v>
      </c>
      <c r="D33" s="132">
        <v>100</v>
      </c>
      <c r="E33" s="389">
        <v>2663500</v>
      </c>
      <c r="F33" s="384">
        <f>LOOKUP(E33,103:103,104:104)-LOOKUP(C33,103:103,104:104)+100</f>
        <v>102</v>
      </c>
      <c r="G33" s="388">
        <v>532036.34</v>
      </c>
      <c r="H33" s="132">
        <f>LOOKUP(G33,103:103,104:104)-LOOKUP(C33,103:103,104:104)+100</f>
        <v>100</v>
      </c>
      <c r="I33" s="388">
        <v>186076.86</v>
      </c>
      <c r="J33" s="132">
        <f>LOOKUP(I33,103:103,104:104)-LOOKUP(C33,103:103,104:104)+100</f>
        <v>100</v>
      </c>
      <c r="K33" s="570"/>
      <c r="L33" s="2952"/>
      <c r="M33" s="2954"/>
      <c r="N33" s="2954"/>
      <c r="O33" s="2954"/>
      <c r="P33" s="3336"/>
      <c r="Q33" s="716" t="str">
        <f t="shared" si="11"/>
        <v>项目建筑规模</v>
      </c>
      <c r="R33" s="717" t="s">
        <v>17</v>
      </c>
      <c r="S33" s="718">
        <f t="shared" si="12"/>
        <v>102</v>
      </c>
      <c r="T33" s="717" t="s">
        <v>17</v>
      </c>
      <c r="U33" s="718">
        <f t="shared" si="13"/>
        <v>100</v>
      </c>
      <c r="V33" s="717" t="s">
        <v>17</v>
      </c>
      <c r="W33" s="718">
        <f t="shared" si="14"/>
        <v>100</v>
      </c>
      <c r="X33" s="719"/>
      <c r="Y33" s="3300"/>
      <c r="Z33" s="720" t="str">
        <f t="shared" si="15"/>
        <v>项目建筑规模</v>
      </c>
      <c r="AA33" s="1539">
        <f t="shared" si="3"/>
        <v>0.98039215686274506</v>
      </c>
      <c r="AB33" s="1539">
        <f t="shared" si="4"/>
        <v>1</v>
      </c>
      <c r="AC33" s="1539">
        <f t="shared" si="5"/>
        <v>1</v>
      </c>
    </row>
    <row r="34" spans="1:29" ht="15">
      <c r="A34" s="431"/>
      <c r="B34" s="381" t="s">
        <v>2386</v>
      </c>
      <c r="C34" s="2100" t="s">
        <v>4191</v>
      </c>
      <c r="D34" s="394">
        <v>100</v>
      </c>
      <c r="E34" s="2100" t="s">
        <v>4191</v>
      </c>
      <c r="F34" s="420">
        <f>SUMIF(105:105,E34,106:106)-SUMIF(105:105,C34,106:106)+100</f>
        <v>100</v>
      </c>
      <c r="G34" s="2100" t="s">
        <v>4191</v>
      </c>
      <c r="H34" s="394">
        <f>SUMIF(105:105,G34,106:106)-SUMIF(105:105,C34,106:106)+100</f>
        <v>100</v>
      </c>
      <c r="I34" s="2100" t="s">
        <v>4191</v>
      </c>
      <c r="J34" s="394">
        <f>SUMIF(105:105,I34,106:106)-SUMIF(105:105,C34,106:106)+100</f>
        <v>100</v>
      </c>
      <c r="K34" s="569">
        <v>1</v>
      </c>
      <c r="L34" s="2953"/>
      <c r="M34" s="2947"/>
      <c r="N34" s="2947"/>
      <c r="O34" s="2947"/>
      <c r="P34" s="3336"/>
      <c r="Q34" s="1538" t="str">
        <f t="shared" si="11"/>
        <v>建筑结构</v>
      </c>
      <c r="R34" s="714" t="s">
        <v>17</v>
      </c>
      <c r="S34" s="715">
        <f t="shared" si="12"/>
        <v>100</v>
      </c>
      <c r="T34" s="714" t="s">
        <v>17</v>
      </c>
      <c r="U34" s="715">
        <f t="shared" si="13"/>
        <v>100</v>
      </c>
      <c r="V34" s="714" t="s">
        <v>17</v>
      </c>
      <c r="W34" s="715">
        <f t="shared" si="14"/>
        <v>100</v>
      </c>
      <c r="X34" s="1541"/>
      <c r="Y34" s="3300"/>
      <c r="Z34" s="1542" t="str">
        <f t="shared" si="15"/>
        <v>建筑结构</v>
      </c>
      <c r="AA34" s="1539">
        <f t="shared" si="3"/>
        <v>1</v>
      </c>
      <c r="AB34" s="1539">
        <f t="shared" si="4"/>
        <v>1</v>
      </c>
      <c r="AC34" s="1539">
        <f t="shared" si="5"/>
        <v>1</v>
      </c>
    </row>
    <row r="35" spans="1:29" ht="15">
      <c r="A35" s="431"/>
      <c r="B35" s="381" t="s">
        <v>2480</v>
      </c>
      <c r="C35" s="2094" t="s">
        <v>4151</v>
      </c>
      <c r="D35" s="394">
        <v>100</v>
      </c>
      <c r="E35" s="2094" t="s">
        <v>4151</v>
      </c>
      <c r="F35" s="420">
        <f>SUMIF(107:107,E35,108:108)-SUMIF(107:107,C35,108:108)+100</f>
        <v>100</v>
      </c>
      <c r="G35" s="2094" t="s">
        <v>4151</v>
      </c>
      <c r="H35" s="394">
        <f>SUMIF(107:107,G35,108:108)-SUMIF(107:107,C35,108:108)+100</f>
        <v>100</v>
      </c>
      <c r="I35" s="2094" t="s">
        <v>4151</v>
      </c>
      <c r="J35" s="394">
        <f>SUMIF(107:107,I35,108:108)-SUMIF(107:107,C35,108:108)+100</f>
        <v>100</v>
      </c>
      <c r="K35" s="569">
        <v>1</v>
      </c>
      <c r="L35" s="2953"/>
      <c r="M35" s="2947"/>
      <c r="N35" s="2947"/>
      <c r="O35" s="2947"/>
      <c r="P35" s="3336"/>
      <c r="Q35" s="1538" t="str">
        <f t="shared" si="11"/>
        <v>公共部分装修</v>
      </c>
      <c r="R35" s="714" t="s">
        <v>17</v>
      </c>
      <c r="S35" s="715">
        <f t="shared" si="12"/>
        <v>100</v>
      </c>
      <c r="T35" s="714" t="s">
        <v>17</v>
      </c>
      <c r="U35" s="715">
        <f t="shared" si="13"/>
        <v>100</v>
      </c>
      <c r="V35" s="714" t="s">
        <v>17</v>
      </c>
      <c r="W35" s="715">
        <f t="shared" si="14"/>
        <v>100</v>
      </c>
      <c r="X35" s="1541"/>
      <c r="Y35" s="3300"/>
      <c r="Z35" s="1542" t="str">
        <f t="shared" si="15"/>
        <v>公共部分装修</v>
      </c>
      <c r="AA35" s="1539">
        <f t="shared" si="3"/>
        <v>1</v>
      </c>
      <c r="AB35" s="1539">
        <f t="shared" si="4"/>
        <v>1</v>
      </c>
      <c r="AC35" s="1539">
        <f t="shared" si="5"/>
        <v>1</v>
      </c>
    </row>
    <row r="36" spans="1:29" ht="15">
      <c r="A36" s="431"/>
      <c r="B36" s="381" t="s">
        <v>2481</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v>1</v>
      </c>
      <c r="L36" s="2953"/>
      <c r="M36" s="2947"/>
      <c r="N36" s="2947"/>
      <c r="O36" s="2947"/>
      <c r="P36" s="3336"/>
      <c r="Q36" s="1538" t="str">
        <f t="shared" si="11"/>
        <v>成新度</v>
      </c>
      <c r="R36" s="714" t="s">
        <v>17</v>
      </c>
      <c r="S36" s="715">
        <f t="shared" si="12"/>
        <v>100</v>
      </c>
      <c r="T36" s="714" t="s">
        <v>17</v>
      </c>
      <c r="U36" s="715">
        <f t="shared" si="13"/>
        <v>100</v>
      </c>
      <c r="V36" s="714" t="s">
        <v>17</v>
      </c>
      <c r="W36" s="715">
        <f t="shared" si="14"/>
        <v>100</v>
      </c>
      <c r="X36" s="1541"/>
      <c r="Y36" s="3300"/>
      <c r="Z36" s="1542" t="str">
        <f t="shared" si="15"/>
        <v>成新度</v>
      </c>
      <c r="AA36" s="1539">
        <f t="shared" si="3"/>
        <v>1</v>
      </c>
      <c r="AB36" s="1539">
        <f t="shared" si="4"/>
        <v>1</v>
      </c>
      <c r="AC36" s="1539">
        <f t="shared" si="5"/>
        <v>1</v>
      </c>
    </row>
    <row r="37" spans="1:29" s="113" customFormat="1" ht="15">
      <c r="A37" s="432"/>
      <c r="B37" s="381" t="s">
        <v>2482</v>
      </c>
      <c r="C37" s="2094" t="s">
        <v>4139</v>
      </c>
      <c r="D37" s="132">
        <v>100</v>
      </c>
      <c r="E37" s="2094" t="s">
        <v>4139</v>
      </c>
      <c r="F37" s="420">
        <f>SUMIF(112:112,E37,113:113)-SUMIF(112:112,C37,113:113)+100</f>
        <v>100</v>
      </c>
      <c r="G37" s="2094" t="s">
        <v>4139</v>
      </c>
      <c r="H37" s="394">
        <f>SUMIF(112:112,G37,113:113)-SUMIF(112:112,C37,113:113)+100</f>
        <v>100</v>
      </c>
      <c r="I37" s="2094" t="s">
        <v>4139</v>
      </c>
      <c r="J37" s="394">
        <f>SUMIF(112:112,I37,113:113)-SUMIF(112:112,C37,113:113)+100</f>
        <v>100</v>
      </c>
      <c r="K37" s="569">
        <v>1</v>
      </c>
      <c r="L37" s="2948"/>
      <c r="M37" s="2949"/>
      <c r="N37" s="2949"/>
      <c r="O37" s="2949"/>
      <c r="P37" s="3336"/>
      <c r="Q37" s="1529" t="str">
        <f t="shared" si="11"/>
        <v>市政基础设施</v>
      </c>
      <c r="R37" s="710" t="s">
        <v>17</v>
      </c>
      <c r="S37" s="711">
        <f t="shared" si="12"/>
        <v>100</v>
      </c>
      <c r="T37" s="710" t="s">
        <v>17</v>
      </c>
      <c r="U37" s="711">
        <f t="shared" si="13"/>
        <v>100</v>
      </c>
      <c r="V37" s="710" t="s">
        <v>17</v>
      </c>
      <c r="W37" s="711">
        <f t="shared" si="14"/>
        <v>100</v>
      </c>
      <c r="X37" s="712"/>
      <c r="Y37" s="3300"/>
      <c r="Z37" s="55" t="str">
        <f t="shared" si="15"/>
        <v>市政基础设施</v>
      </c>
      <c r="AA37" s="713">
        <f t="shared" si="3"/>
        <v>1</v>
      </c>
      <c r="AB37" s="713">
        <f t="shared" si="4"/>
        <v>1</v>
      </c>
      <c r="AC37" s="713">
        <f t="shared" si="5"/>
        <v>1</v>
      </c>
    </row>
    <row r="38" spans="1:29" ht="15" hidden="1">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36" t="s">
        <v>2384</v>
      </c>
      <c r="Q38" s="1538" t="str">
        <f t="shared" si="11"/>
        <v>业态</v>
      </c>
      <c r="R38" s="714" t="s">
        <v>17</v>
      </c>
      <c r="S38" s="715">
        <f t="shared" si="12"/>
        <v>100</v>
      </c>
      <c r="T38" s="714" t="s">
        <v>17</v>
      </c>
      <c r="U38" s="715">
        <f t="shared" si="13"/>
        <v>100</v>
      </c>
      <c r="V38" s="714" t="s">
        <v>17</v>
      </c>
      <c r="W38" s="715">
        <f t="shared" si="14"/>
        <v>100</v>
      </c>
      <c r="X38" s="1541"/>
      <c r="Y38" s="3300" t="s">
        <v>2384</v>
      </c>
      <c r="Z38" s="1542" t="str">
        <f t="shared" si="15"/>
        <v>业态</v>
      </c>
      <c r="AA38" s="1539">
        <f t="shared" si="3"/>
        <v>1</v>
      </c>
      <c r="AB38" s="1539">
        <f t="shared" si="4"/>
        <v>1</v>
      </c>
      <c r="AC38" s="1539">
        <f t="shared" si="5"/>
        <v>1</v>
      </c>
    </row>
    <row r="39" spans="1:29" ht="15">
      <c r="A39" s="431"/>
      <c r="B39" s="381" t="s">
        <v>2484</v>
      </c>
      <c r="C39" s="2094" t="s">
        <v>4158</v>
      </c>
      <c r="D39" s="394">
        <v>100</v>
      </c>
      <c r="E39" s="2094" t="s">
        <v>4158</v>
      </c>
      <c r="F39" s="420">
        <f>SUMIF(116:116,E39,117:117)-SUMIF(116:116,C39,117:117)+100</f>
        <v>100</v>
      </c>
      <c r="G39" s="2094" t="s">
        <v>4158</v>
      </c>
      <c r="H39" s="394">
        <f>SUMIF(116:116,G39,117:117)-SUMIF(116:116,C39,117:117)+100</f>
        <v>100</v>
      </c>
      <c r="I39" s="2094" t="s">
        <v>4158</v>
      </c>
      <c r="J39" s="394">
        <f>SUMIF(116:116,I39,117:117)-SUMIF(116:116,C39,117:117)+100</f>
        <v>100</v>
      </c>
      <c r="K39" s="569"/>
      <c r="L39" s="2953"/>
      <c r="M39" s="2947"/>
      <c r="N39" s="2947"/>
      <c r="O39" s="2947"/>
      <c r="P39" s="3336"/>
      <c r="Q39" s="1538" t="str">
        <f t="shared" si="11"/>
        <v>层高</v>
      </c>
      <c r="R39" s="714" t="s">
        <v>17</v>
      </c>
      <c r="S39" s="715">
        <f t="shared" si="12"/>
        <v>100</v>
      </c>
      <c r="T39" s="714" t="s">
        <v>17</v>
      </c>
      <c r="U39" s="715">
        <f t="shared" si="13"/>
        <v>100</v>
      </c>
      <c r="V39" s="714" t="s">
        <v>17</v>
      </c>
      <c r="W39" s="715">
        <f t="shared" si="14"/>
        <v>100</v>
      </c>
      <c r="X39" s="1541"/>
      <c r="Y39" s="3300"/>
      <c r="Z39" s="1542" t="str">
        <f t="shared" si="15"/>
        <v>层高</v>
      </c>
      <c r="AA39" s="1539">
        <f t="shared" si="3"/>
        <v>1</v>
      </c>
      <c r="AB39" s="1539">
        <f t="shared" si="4"/>
        <v>1</v>
      </c>
      <c r="AC39" s="1539">
        <f t="shared" si="5"/>
        <v>1</v>
      </c>
    </row>
    <row r="40" spans="1:29" ht="15" hidden="1">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36"/>
      <c r="Q40" s="1538" t="str">
        <f t="shared" si="11"/>
        <v>单套建筑面积</v>
      </c>
      <c r="R40" s="714" t="s">
        <v>17</v>
      </c>
      <c r="S40" s="715">
        <f t="shared" si="12"/>
        <v>100</v>
      </c>
      <c r="T40" s="714" t="s">
        <v>17</v>
      </c>
      <c r="U40" s="715">
        <f t="shared" si="13"/>
        <v>100</v>
      </c>
      <c r="V40" s="714" t="s">
        <v>17</v>
      </c>
      <c r="W40" s="715">
        <f t="shared" si="14"/>
        <v>100</v>
      </c>
      <c r="X40" s="1541"/>
      <c r="Y40" s="3300"/>
      <c r="Z40" s="1542" t="str">
        <f t="shared" si="15"/>
        <v>单套建筑面积</v>
      </c>
      <c r="AA40" s="1539">
        <f t="shared" si="3"/>
        <v>1</v>
      </c>
      <c r="AB40" s="1539">
        <f t="shared" si="4"/>
        <v>1</v>
      </c>
      <c r="AC40" s="1539">
        <f t="shared" si="5"/>
        <v>1</v>
      </c>
    </row>
    <row r="41" spans="1:29" s="430" customFormat="1" ht="15" hidden="1">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36"/>
      <c r="Q41" s="716" t="str">
        <f t="shared" si="11"/>
        <v>进深比</v>
      </c>
      <c r="R41" s="717" t="s">
        <v>17</v>
      </c>
      <c r="S41" s="718">
        <f t="shared" si="12"/>
        <v>100</v>
      </c>
      <c r="T41" s="717" t="s">
        <v>17</v>
      </c>
      <c r="U41" s="718">
        <f t="shared" si="13"/>
        <v>100</v>
      </c>
      <c r="V41" s="717" t="s">
        <v>17</v>
      </c>
      <c r="W41" s="718">
        <f t="shared" si="14"/>
        <v>100</v>
      </c>
      <c r="X41" s="719"/>
      <c r="Y41" s="3300"/>
      <c r="Z41" s="720" t="str">
        <f t="shared" si="15"/>
        <v>进深比</v>
      </c>
      <c r="AA41" s="1539">
        <f t="shared" si="3"/>
        <v>1</v>
      </c>
      <c r="AB41" s="1539">
        <f t="shared" si="4"/>
        <v>1</v>
      </c>
      <c r="AC41" s="1539">
        <f t="shared" si="5"/>
        <v>1</v>
      </c>
    </row>
    <row r="42" spans="1:29" ht="15.75" thickBot="1">
      <c r="A42" s="431"/>
      <c r="B42" s="381" t="s">
        <v>2487</v>
      </c>
      <c r="C42" s="2094" t="s">
        <v>4155</v>
      </c>
      <c r="D42" s="394">
        <v>100</v>
      </c>
      <c r="E42" s="2094" t="s">
        <v>4151</v>
      </c>
      <c r="F42" s="420">
        <f>SUMIF(122:122,E42,123:123)-SUMIF(122:122,C42,123:123)+100</f>
        <v>109</v>
      </c>
      <c r="G42" s="2094" t="s">
        <v>4155</v>
      </c>
      <c r="H42" s="394">
        <f>SUMIF(122:122,G42,123:123)-SUMIF(122:122,C42,123:123)+100</f>
        <v>100</v>
      </c>
      <c r="I42" s="2094" t="s">
        <v>4151</v>
      </c>
      <c r="J42" s="394">
        <f>SUMIF(122:122,I42,123:123)-SUMIF(122:122,C42,123:123)+100</f>
        <v>109</v>
      </c>
      <c r="K42" s="569">
        <v>3</v>
      </c>
      <c r="L42" s="2953"/>
      <c r="M42" s="2947"/>
      <c r="N42" s="2947"/>
      <c r="O42" s="2947"/>
      <c r="P42" s="3336"/>
      <c r="Q42" s="1538" t="str">
        <f t="shared" si="11"/>
        <v>内部装修</v>
      </c>
      <c r="R42" s="714" t="s">
        <v>17</v>
      </c>
      <c r="S42" s="715">
        <f t="shared" si="12"/>
        <v>109</v>
      </c>
      <c r="T42" s="714" t="s">
        <v>17</v>
      </c>
      <c r="U42" s="715">
        <f t="shared" si="13"/>
        <v>100</v>
      </c>
      <c r="V42" s="714" t="s">
        <v>17</v>
      </c>
      <c r="W42" s="715">
        <f t="shared" si="14"/>
        <v>109</v>
      </c>
      <c r="X42" s="1541"/>
      <c r="Y42" s="3300"/>
      <c r="Z42" s="1542" t="str">
        <f t="shared" si="15"/>
        <v>内部装修</v>
      </c>
      <c r="AA42" s="1539">
        <f t="shared" si="3"/>
        <v>0.91743119266055051</v>
      </c>
      <c r="AB42" s="1539">
        <f t="shared" si="4"/>
        <v>1</v>
      </c>
      <c r="AC42" s="1539">
        <f t="shared" si="5"/>
        <v>0.91743119266055051</v>
      </c>
    </row>
    <row r="43" spans="1:29" ht="15" hidden="1">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36"/>
      <c r="Q43" s="1538" t="str">
        <f t="shared" si="11"/>
        <v>内部装修维护情况</v>
      </c>
      <c r="R43" s="714" t="s">
        <v>17</v>
      </c>
      <c r="S43" s="715">
        <f t="shared" si="12"/>
        <v>100</v>
      </c>
      <c r="T43" s="714" t="s">
        <v>17</v>
      </c>
      <c r="U43" s="715">
        <f t="shared" si="13"/>
        <v>100</v>
      </c>
      <c r="V43" s="714" t="s">
        <v>17</v>
      </c>
      <c r="W43" s="715">
        <f t="shared" si="14"/>
        <v>100</v>
      </c>
      <c r="X43" s="1541"/>
      <c r="Y43" s="3300"/>
      <c r="Z43" s="1542" t="str">
        <f t="shared" si="15"/>
        <v>内部装修维护情况</v>
      </c>
      <c r="AA43" s="1539">
        <f t="shared" si="3"/>
        <v>1</v>
      </c>
      <c r="AB43" s="1539">
        <f t="shared" si="4"/>
        <v>1</v>
      </c>
      <c r="AC43" s="1539">
        <f t="shared" si="5"/>
        <v>1</v>
      </c>
    </row>
    <row r="44" spans="1:29" s="113" customFormat="1" ht="15" hidden="1">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36"/>
      <c r="Q44" s="1529">
        <f t="shared" si="11"/>
        <v>111</v>
      </c>
      <c r="R44" s="710" t="s">
        <v>17</v>
      </c>
      <c r="S44" s="711">
        <f t="shared" si="12"/>
        <v>100</v>
      </c>
      <c r="T44" s="710" t="s">
        <v>17</v>
      </c>
      <c r="U44" s="711">
        <f t="shared" si="13"/>
        <v>100</v>
      </c>
      <c r="V44" s="710" t="s">
        <v>17</v>
      </c>
      <c r="W44" s="711">
        <f t="shared" si="14"/>
        <v>100</v>
      </c>
      <c r="X44" s="712"/>
      <c r="Y44" s="3300"/>
      <c r="Z44" s="55">
        <f t="shared" si="15"/>
        <v>111</v>
      </c>
      <c r="AA44" s="713">
        <f t="shared" si="3"/>
        <v>1</v>
      </c>
      <c r="AB44" s="713">
        <f t="shared" si="4"/>
        <v>1</v>
      </c>
      <c r="AC44" s="713">
        <f t="shared" si="5"/>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36"/>
      <c r="Q45" s="1538">
        <f t="shared" si="11"/>
        <v>111</v>
      </c>
      <c r="R45" s="714" t="s">
        <v>17</v>
      </c>
      <c r="S45" s="715">
        <f t="shared" si="12"/>
        <v>100</v>
      </c>
      <c r="T45" s="714" t="s">
        <v>17</v>
      </c>
      <c r="U45" s="715">
        <f t="shared" si="13"/>
        <v>100</v>
      </c>
      <c r="V45" s="714" t="s">
        <v>17</v>
      </c>
      <c r="W45" s="715">
        <f t="shared" si="14"/>
        <v>100</v>
      </c>
      <c r="X45" s="1541"/>
      <c r="Y45" s="3300"/>
      <c r="Z45" s="1542">
        <f t="shared" si="15"/>
        <v>111</v>
      </c>
      <c r="AA45" s="1539">
        <f t="shared" si="3"/>
        <v>1</v>
      </c>
      <c r="AB45" s="1539">
        <f t="shared" si="4"/>
        <v>1</v>
      </c>
      <c r="AC45" s="1539">
        <f t="shared" si="5"/>
        <v>1</v>
      </c>
    </row>
    <row r="46" spans="1:29" ht="15.75" hidden="1"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37"/>
      <c r="Q46" s="1538">
        <f t="shared" si="11"/>
        <v>111</v>
      </c>
      <c r="R46" s="714" t="s">
        <v>17</v>
      </c>
      <c r="S46" s="715">
        <f t="shared" si="12"/>
        <v>100</v>
      </c>
      <c r="T46" s="714" t="s">
        <v>17</v>
      </c>
      <c r="U46" s="715">
        <f t="shared" si="13"/>
        <v>100</v>
      </c>
      <c r="V46" s="714" t="s">
        <v>17</v>
      </c>
      <c r="W46" s="715">
        <f t="shared" si="14"/>
        <v>100</v>
      </c>
      <c r="X46" s="1541"/>
      <c r="Y46" s="3338"/>
      <c r="Z46" s="1542">
        <f t="shared" si="15"/>
        <v>111</v>
      </c>
      <c r="AA46" s="1539">
        <f t="shared" si="3"/>
        <v>1</v>
      </c>
      <c r="AB46" s="1539">
        <f t="shared" si="4"/>
        <v>1</v>
      </c>
      <c r="AC46" s="1539">
        <f t="shared" si="5"/>
        <v>1</v>
      </c>
    </row>
    <row r="47" spans="1:29" ht="15">
      <c r="A47" s="438" t="s">
        <v>2396</v>
      </c>
      <c r="B47" s="439"/>
      <c r="C47" s="1316" t="s">
        <v>1</v>
      </c>
      <c r="D47" s="1317"/>
      <c r="E47" s="1318">
        <v>8000</v>
      </c>
      <c r="F47" s="1319"/>
      <c r="G47" s="1320">
        <v>6500</v>
      </c>
      <c r="H47" s="1321"/>
      <c r="I47" s="1318">
        <f>10500*0.95</f>
        <v>9975</v>
      </c>
      <c r="J47" s="1321"/>
      <c r="K47" s="723"/>
      <c r="L47" s="2955"/>
      <c r="M47" s="2956"/>
      <c r="N47" s="2947"/>
      <c r="O47" s="2956"/>
      <c r="P47" s="3295" t="str">
        <f>A47</f>
        <v>成交单价（元/平方米）</v>
      </c>
      <c r="Q47" s="3295"/>
      <c r="R47" s="3301">
        <f>E47</f>
        <v>8000</v>
      </c>
      <c r="S47" s="3301"/>
      <c r="T47" s="3301">
        <f>G47</f>
        <v>6500</v>
      </c>
      <c r="U47" s="3301"/>
      <c r="V47" s="3301">
        <f>I47</f>
        <v>9975</v>
      </c>
      <c r="W47" s="3301"/>
      <c r="X47" s="699"/>
      <c r="Y47" s="721"/>
      <c r="Z47" s="699"/>
      <c r="AA47" s="699"/>
      <c r="AB47" s="699"/>
      <c r="AC47" s="699"/>
    </row>
    <row r="48" spans="1:29" ht="15.75" thickBot="1">
      <c r="A48" s="445" t="s">
        <v>2488</v>
      </c>
      <c r="B48" s="446"/>
      <c r="C48" s="1322">
        <f>R49</f>
        <v>7648</v>
      </c>
      <c r="D48" s="2540" t="s">
        <v>2879</v>
      </c>
      <c r="E48" s="1323">
        <f>R48</f>
        <v>7196</v>
      </c>
      <c r="F48" s="2541"/>
      <c r="G48" s="1322">
        <f>T48</f>
        <v>6500</v>
      </c>
      <c r="H48" s="2541"/>
      <c r="I48" s="1323">
        <f>V48</f>
        <v>9249</v>
      </c>
      <c r="J48" s="2541"/>
      <c r="K48" s="2543">
        <f>F48+H48+J48</f>
        <v>0</v>
      </c>
      <c r="L48" s="2955"/>
      <c r="M48" s="2956"/>
      <c r="N48" s="2947"/>
      <c r="O48" s="2956"/>
      <c r="P48" s="3295" t="str">
        <f>A48</f>
        <v>比较价值（元/平方米）</v>
      </c>
      <c r="Q48" s="3295"/>
      <c r="R48" s="3331">
        <f>IF(F1="售价",ROUND(PRODUCT(R47,AA7:AA46),0),ROUND(PRODUCT(R47,AA7:AA46),1))</f>
        <v>7196</v>
      </c>
      <c r="S48" s="3331"/>
      <c r="T48" s="3331">
        <f>IF(F1="售价",ROUND(PRODUCT(T47,AB7:AB46),0),ROUND(PRODUCT(T47,AB7:AB46),1))</f>
        <v>6500</v>
      </c>
      <c r="U48" s="3331"/>
      <c r="V48" s="3331">
        <f>IF(F1="售价",ROUND(PRODUCT(V47,AC7:AC46),0),ROUND(PRODUCT(V47,AC7:AC46),1))</f>
        <v>9249</v>
      </c>
      <c r="W48" s="3331"/>
      <c r="X48" s="699"/>
      <c r="Y48" s="699"/>
      <c r="Z48" s="699"/>
      <c r="AA48" s="699"/>
      <c r="AB48" s="699"/>
      <c r="AC48" s="699"/>
    </row>
    <row r="49" spans="1:29" ht="15.75" thickBot="1">
      <c r="A49" s="449" t="s">
        <v>2489</v>
      </c>
      <c r="B49" s="450"/>
      <c r="C49" s="1325">
        <f>R49</f>
        <v>7648</v>
      </c>
      <c r="D49" s="1325"/>
      <c r="E49" s="1325"/>
      <c r="F49" s="1325"/>
      <c r="G49" s="1325"/>
      <c r="H49" s="1325"/>
      <c r="I49" s="1325"/>
      <c r="J49" s="1325"/>
      <c r="K49" s="724"/>
      <c r="L49" s="2955"/>
      <c r="M49" s="2956"/>
      <c r="N49" s="2947"/>
      <c r="O49" s="2956"/>
      <c r="P49" s="3289" t="str">
        <f>A49</f>
        <v>估价对象XX用房的比较价值（楼面单价，元/平方米）</v>
      </c>
      <c r="Q49" s="3290"/>
      <c r="R49" s="3332">
        <f>IF(F1="售价",ROUND(IF(D48="简单平均",AVERAGE(R48:V48),R48*F48+T48*H48+V48*J48),0),ROUND(IF(D48="简单平均",AVERAGE(R48:V48),R48*F48+T48*H48+V48*J48),1))</f>
        <v>7648</v>
      </c>
      <c r="S49" s="3332"/>
      <c r="T49" s="3332"/>
      <c r="U49" s="3332"/>
      <c r="V49" s="3332"/>
      <c r="W49" s="3332"/>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2490</v>
      </c>
      <c r="D52" s="455"/>
      <c r="E52" s="456">
        <f>IF(E47&lt;E48,E48/E47-1,E47/E48-1)</f>
        <v>0.1117287381878822</v>
      </c>
      <c r="F52" s="457" t="str">
        <f>IF(OR(E52&gt;=0.3,E52&lt;=-0.3),"超过30%","")</f>
        <v/>
      </c>
      <c r="G52" s="456">
        <f>IF(G47&lt;G48,G48/G47-1,G47/G48-1)</f>
        <v>0</v>
      </c>
      <c r="H52" s="457" t="str">
        <f>IF(OR(G52&gt;=0.3,G52&lt;=-0.3),"超过30%","")</f>
        <v/>
      </c>
      <c r="I52" s="456">
        <f>IF(I47&lt;I48,I48/I47-1,I47/I48-1)</f>
        <v>7.8494972429451915E-2</v>
      </c>
      <c r="J52" s="457" t="str">
        <f>IF(OR(I52&gt;=0.3,I52&lt;=-0.3),"超过30%","")</f>
        <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2491</v>
      </c>
      <c r="D53" s="458"/>
      <c r="E53" s="456">
        <f>IF(E48&lt;G48,G48/E48-1,E48/G48-1)</f>
        <v>0.10707692307692307</v>
      </c>
      <c r="F53" s="457" t="str">
        <f>IF(OR(E53&gt;=0.2,E53&lt;=-0.2),"超过20%","")</f>
        <v/>
      </c>
      <c r="G53" s="456">
        <f>IF(G48&lt;I48,I48/G48-1,G48/I48-1)</f>
        <v>0.42292307692307696</v>
      </c>
      <c r="H53" s="457" t="str">
        <f>IF(OR(G53&gt;=0.2,G53&lt;=-0.2),"超过20%","")</f>
        <v>超过20%</v>
      </c>
      <c r="I53" s="456">
        <f>IF(I48&lt;E48,E48/I48-1,I48/E48-1)</f>
        <v>0.28529738743746536</v>
      </c>
      <c r="J53" s="457" t="str">
        <f>IF(OR(I53&gt;=0.2,I53&lt;=-0.2),"超过20%","")</f>
        <v>超过20%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2492</v>
      </c>
      <c r="D54" s="458"/>
      <c r="E54" s="456">
        <f>IF(E47&lt;G47,G47/E47-1,E47/G47-1)</f>
        <v>0.23076923076923084</v>
      </c>
      <c r="F54" s="457" t="str">
        <f>IF(OR(E54&gt;=0.3,E54&lt;=-0.3),"超过30%","")</f>
        <v/>
      </c>
      <c r="G54" s="456">
        <f>IF(G47&lt;I47,I47/G47-1,G47/I47-1)</f>
        <v>0.53461538461538471</v>
      </c>
      <c r="H54" s="457" t="str">
        <f>IF(OR(G54&gt;=0.3,G54&lt;=-0.3),"超过30%","")</f>
        <v>超过30%</v>
      </c>
      <c r="I54" s="456">
        <f>IF(I47&lt;E47,E47/I47-1,I47/E47-1)</f>
        <v>0.24687499999999996</v>
      </c>
      <c r="J54" s="457" t="str">
        <f>IF(OR(I54&gt;=0.3,I54&lt;=-0.3),"超过30%","")</f>
        <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2493</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2367</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2404</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2369</v>
      </c>
      <c r="B61" s="467"/>
      <c r="C61" s="479" t="s">
        <v>2471</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2407</v>
      </c>
      <c r="B63" s="485" t="s">
        <v>2373</v>
      </c>
      <c r="C63" s="486" t="str">
        <f>C9</f>
        <v>公寓</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2377</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v>0</v>
      </c>
      <c r="D68" s="506">
        <v>1</v>
      </c>
      <c r="E68" s="506">
        <v>2</v>
      </c>
      <c r="F68" s="506">
        <v>3</v>
      </c>
      <c r="G68" s="506">
        <v>4</v>
      </c>
      <c r="H68" s="506">
        <v>5</v>
      </c>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97</v>
      </c>
      <c r="E69" s="501">
        <f t="shared" si="18"/>
        <v>94</v>
      </c>
      <c r="F69" s="501">
        <f t="shared" si="18"/>
        <v>91</v>
      </c>
      <c r="G69" s="501">
        <f t="shared" si="18"/>
        <v>88</v>
      </c>
      <c r="H69" s="501">
        <f t="shared" si="18"/>
        <v>85</v>
      </c>
      <c r="I69" s="501">
        <f t="shared" si="18"/>
        <v>82</v>
      </c>
      <c r="J69" s="501">
        <f t="shared" si="18"/>
        <v>79</v>
      </c>
      <c r="K69" s="501">
        <f t="shared" si="18"/>
        <v>76</v>
      </c>
      <c r="L69" s="501">
        <f t="shared" si="18"/>
        <v>73</v>
      </c>
      <c r="M69" s="502">
        <f t="shared" si="18"/>
        <v>70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2378</v>
      </c>
      <c r="B76" s="485" t="s">
        <v>2415</v>
      </c>
      <c r="C76" s="530" t="s">
        <v>2416</v>
      </c>
      <c r="D76" s="530" t="s">
        <v>2417</v>
      </c>
      <c r="E76" s="530" t="s">
        <v>2418</v>
      </c>
      <c r="F76" s="530" t="s">
        <v>2419</v>
      </c>
      <c r="G76" s="530" t="s">
        <v>2420</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98</v>
      </c>
      <c r="E77" s="501">
        <f>D77-$K15</f>
        <v>96</v>
      </c>
      <c r="F77" s="501">
        <f>E77-$K15</f>
        <v>94</v>
      </c>
      <c r="G77" s="501">
        <f>F77-$K15</f>
        <v>92</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2421</v>
      </c>
      <c r="C78" s="535" t="s">
        <v>2416</v>
      </c>
      <c r="D78" s="535" t="s">
        <v>2417</v>
      </c>
      <c r="E78" s="535" t="s">
        <v>2418</v>
      </c>
      <c r="F78" s="535" t="s">
        <v>2419</v>
      </c>
      <c r="G78" s="535" t="s">
        <v>2420</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98</v>
      </c>
      <c r="E79" s="501">
        <f>D79-$K17</f>
        <v>96</v>
      </c>
      <c r="F79" s="501">
        <f>E79-$K17</f>
        <v>94</v>
      </c>
      <c r="G79" s="501">
        <f>F79-$K17</f>
        <v>92</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2422</v>
      </c>
      <c r="C80" s="535" t="s">
        <v>2416</v>
      </c>
      <c r="D80" s="535" t="s">
        <v>2417</v>
      </c>
      <c r="E80" s="535" t="s">
        <v>2418</v>
      </c>
      <c r="F80" s="535" t="s">
        <v>2419</v>
      </c>
      <c r="G80" s="535" t="s">
        <v>2420</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98</v>
      </c>
      <c r="E81" s="501">
        <f>D81-$K19</f>
        <v>96</v>
      </c>
      <c r="F81" s="501">
        <f>E81-$K19</f>
        <v>94</v>
      </c>
      <c r="G81" s="501">
        <f>F81-$K19</f>
        <v>92</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2474</v>
      </c>
      <c r="C82" s="616" t="s">
        <v>2494</v>
      </c>
      <c r="D82" s="616" t="s">
        <v>2495</v>
      </c>
      <c r="E82" s="616" t="s">
        <v>2496</v>
      </c>
      <c r="F82" s="616" t="s">
        <v>2497</v>
      </c>
      <c r="G82" s="616" t="s">
        <v>2498</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2428</v>
      </c>
      <c r="C84" s="535" t="s">
        <v>2416</v>
      </c>
      <c r="D84" s="535" t="s">
        <v>2417</v>
      </c>
      <c r="E84" s="535" t="s">
        <v>2418</v>
      </c>
      <c r="F84" s="535" t="s">
        <v>2419</v>
      </c>
      <c r="G84" s="535" t="s">
        <v>2420</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98</v>
      </c>
      <c r="E85" s="501">
        <f>D85-$K23</f>
        <v>96</v>
      </c>
      <c r="F85" s="501">
        <f>E85-$K23</f>
        <v>94</v>
      </c>
      <c r="G85" s="501">
        <f>F85-$K23</f>
        <v>92</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2499</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2382</v>
      </c>
      <c r="B100" s="485" t="s">
        <v>2500</v>
      </c>
      <c r="C100" s="487" t="s">
        <v>4160</v>
      </c>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29.25" thickTop="1">
      <c r="A102" s="491"/>
      <c r="B102" s="495" t="s">
        <v>2432</v>
      </c>
      <c r="C102" s="535" t="str">
        <f>C103&amp;"(含)"&amp;"-"&amp;D103</f>
        <v>0(含)-1000000</v>
      </c>
      <c r="D102" s="535" t="str">
        <f t="shared" ref="D102:L102" si="23">D103&amp;"(含)"&amp;"-"&amp;E103</f>
        <v>1000000(含)-2000000</v>
      </c>
      <c r="E102" s="535" t="str">
        <f t="shared" si="23"/>
        <v>2000000(含)-3000000</v>
      </c>
      <c r="F102" s="535" t="str">
        <f t="shared" si="23"/>
        <v>3000000(含)-4000000</v>
      </c>
      <c r="G102" s="535" t="str">
        <f t="shared" si="23"/>
        <v>4000000(含)-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v>0</v>
      </c>
      <c r="D103" s="552">
        <v>1000000</v>
      </c>
      <c r="E103" s="552">
        <v>2000000</v>
      </c>
      <c r="F103" s="552">
        <v>3000000</v>
      </c>
      <c r="G103" s="552">
        <v>4000000</v>
      </c>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v>100</v>
      </c>
      <c r="D104" s="493">
        <f>C104+1</f>
        <v>101</v>
      </c>
      <c r="E104" s="493">
        <f t="shared" ref="E104:G104" si="24">D104+1</f>
        <v>102</v>
      </c>
      <c r="F104" s="493">
        <f t="shared" si="24"/>
        <v>103</v>
      </c>
      <c r="G104" s="493">
        <f t="shared" si="24"/>
        <v>104</v>
      </c>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2433</v>
      </c>
      <c r="C105" s="3094" t="s">
        <v>4192</v>
      </c>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2435</v>
      </c>
      <c r="C107" s="3094" t="s">
        <v>4193</v>
      </c>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6">C108-$K35</f>
        <v>99</v>
      </c>
      <c r="E108" s="501">
        <f t="shared" si="26"/>
        <v>98</v>
      </c>
      <c r="F108" s="501">
        <f t="shared" si="26"/>
        <v>97</v>
      </c>
      <c r="G108" s="501">
        <f t="shared" si="26"/>
        <v>96</v>
      </c>
      <c r="H108" s="501">
        <f t="shared" si="26"/>
        <v>95</v>
      </c>
      <c r="I108" s="501">
        <f t="shared" si="26"/>
        <v>94</v>
      </c>
      <c r="J108" s="501">
        <f t="shared" si="26"/>
        <v>93</v>
      </c>
      <c r="K108" s="501">
        <f t="shared" si="26"/>
        <v>92</v>
      </c>
      <c r="L108" s="501">
        <f t="shared" si="26"/>
        <v>91</v>
      </c>
      <c r="M108" s="502">
        <f t="shared" si="26"/>
        <v>90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2437</v>
      </c>
      <c r="C112" s="3094" t="s">
        <v>4183</v>
      </c>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2501</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2502</v>
      </c>
      <c r="C116" s="511" t="s">
        <v>4159</v>
      </c>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2503</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2504</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2439</v>
      </c>
      <c r="C122" s="3094" t="s">
        <v>4152</v>
      </c>
      <c r="D122" s="3094" t="s">
        <v>4153</v>
      </c>
      <c r="E122" s="3094" t="s">
        <v>4154</v>
      </c>
      <c r="F122" s="3095" t="s">
        <v>4156</v>
      </c>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7" priority="21" stopIfTrue="1" operator="containsText" text="超过">
      <formula>NOT(ISERROR(SEARCH("超过",F52)))</formula>
    </cfRule>
  </conditionalFormatting>
  <conditionalFormatting sqref="H54">
    <cfRule type="containsText" dxfId="166" priority="19" stopIfTrue="1" operator="containsText" text="超过">
      <formula>NOT(ISERROR(SEARCH("超过",H54)))</formula>
    </cfRule>
  </conditionalFormatting>
  <conditionalFormatting sqref="F54">
    <cfRule type="containsText" dxfId="165" priority="18" stopIfTrue="1" operator="containsText" text="超过">
      <formula>NOT(ISERROR(SEARCH("超过",F54)))</formula>
    </cfRule>
  </conditionalFormatting>
  <conditionalFormatting sqref="F53 H53">
    <cfRule type="containsText" dxfId="164" priority="17" stopIfTrue="1" operator="containsText" text="超过">
      <formula>NOT(ISERROR(SEARCH("超过",F53)))</formula>
    </cfRule>
  </conditionalFormatting>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G54">
    <cfRule type="expression" dxfId="160" priority="13" stopIfTrue="1">
      <formula>$H$54="超过30%"</formula>
    </cfRule>
  </conditionalFormatting>
  <conditionalFormatting sqref="G52">
    <cfRule type="expression" dxfId="159" priority="12" stopIfTrue="1">
      <formula>$H$52="超过30%"</formula>
    </cfRule>
  </conditionalFormatting>
  <conditionalFormatting sqref="G53">
    <cfRule type="expression" dxfId="158" priority="11" stopIfTrue="1">
      <formula>$H$53="超过20%"</formula>
    </cfRule>
  </conditionalFormatting>
  <conditionalFormatting sqref="J52">
    <cfRule type="containsText" dxfId="157" priority="10" stopIfTrue="1" operator="containsText" text="超过">
      <formula>NOT(ISERROR(SEARCH("超过",J52)))</formula>
    </cfRule>
  </conditionalFormatting>
  <conditionalFormatting sqref="J54">
    <cfRule type="containsText" dxfId="156" priority="9" stopIfTrue="1" operator="containsText" text="超过">
      <formula>NOT(ISERROR(SEARCH("超过",J54)))</formula>
    </cfRule>
  </conditionalFormatting>
  <conditionalFormatting sqref="J53">
    <cfRule type="containsText" dxfId="155" priority="8" stopIfTrue="1" operator="containsText" text="超过">
      <formula>NOT(ISERROR(SEARCH("超过",J53)))</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B2" sqref="B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t="s">
        <v>4036</v>
      </c>
      <c r="E1" s="2545"/>
      <c r="F1" s="2067" t="s">
        <v>4134</v>
      </c>
      <c r="G1" s="1403" t="s">
        <v>2351</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1359</v>
      </c>
      <c r="B2" s="1326">
        <f>IF(C2="——",ROUND(C49*D3/10000,0),ROUND(C49*D3/10000,0)-D2)</f>
        <v>32947</v>
      </c>
      <c r="C2" s="2069" t="s">
        <v>70</v>
      </c>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1360</v>
      </c>
      <c r="B3" s="566">
        <f>IF(C2="——",C49,ROUND(B2*10000/D3,0))</f>
        <v>15850</v>
      </c>
      <c r="C3" s="360" t="s">
        <v>2353</v>
      </c>
      <c r="D3" s="359">
        <f>IF(D1="",'数据-汇总表'!E3,SUMIF('数据-汇总表'!$C19:$C33,D1,'数据-汇总表'!$E19:$E33))</f>
        <v>20786.89</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2354</v>
      </c>
      <c r="B4" s="362"/>
      <c r="C4" s="3292" t="s">
        <v>2355</v>
      </c>
      <c r="D4" s="3305"/>
      <c r="E4" s="3306" t="s">
        <v>2356</v>
      </c>
      <c r="F4" s="3307"/>
      <c r="G4" s="3292" t="s">
        <v>2357</v>
      </c>
      <c r="H4" s="3305"/>
      <c r="I4" s="3292" t="s">
        <v>2358</v>
      </c>
      <c r="J4" s="3305"/>
      <c r="K4" s="567" t="s">
        <v>2359</v>
      </c>
      <c r="L4" s="2946"/>
      <c r="M4" s="2947"/>
      <c r="N4" s="2947"/>
      <c r="O4" s="2947"/>
      <c r="P4" s="3308" t="s">
        <v>2360</v>
      </c>
      <c r="Q4" s="3309"/>
      <c r="R4" s="3314" t="s">
        <v>2356</v>
      </c>
      <c r="S4" s="3315"/>
      <c r="T4" s="3314" t="s">
        <v>2357</v>
      </c>
      <c r="U4" s="3315"/>
      <c r="V4" s="3301" t="s">
        <v>2358</v>
      </c>
      <c r="W4" s="3301"/>
      <c r="X4" s="3064"/>
      <c r="Y4" s="3314" t="s">
        <v>2360</v>
      </c>
      <c r="Z4" s="3315"/>
      <c r="AA4" s="3302" t="s">
        <v>2356</v>
      </c>
      <c r="AB4" s="3301" t="s">
        <v>2357</v>
      </c>
      <c r="AC4" s="3302" t="s">
        <v>2358</v>
      </c>
    </row>
    <row r="5" spans="1:29" ht="15">
      <c r="A5" s="364"/>
      <c r="B5" s="365"/>
      <c r="C5" s="3322" t="s">
        <v>2361</v>
      </c>
      <c r="D5" s="3323"/>
      <c r="E5" s="3340" t="s">
        <v>4146</v>
      </c>
      <c r="F5" s="3330"/>
      <c r="G5" s="3339" t="s">
        <v>4163</v>
      </c>
      <c r="H5" s="3323"/>
      <c r="I5" s="3339" t="s">
        <v>4202</v>
      </c>
      <c r="J5" s="3323"/>
      <c r="K5" s="567"/>
      <c r="L5" s="2946"/>
      <c r="M5" s="2947"/>
      <c r="N5" s="2947"/>
      <c r="O5" s="2947"/>
      <c r="P5" s="3310"/>
      <c r="Q5" s="3311"/>
      <c r="R5" s="3316"/>
      <c r="S5" s="3317"/>
      <c r="T5" s="3316"/>
      <c r="U5" s="3317"/>
      <c r="V5" s="3301"/>
      <c r="W5" s="3301"/>
      <c r="X5" s="3064"/>
      <c r="Y5" s="3316"/>
      <c r="Z5" s="3317"/>
      <c r="AA5" s="3303"/>
      <c r="AB5" s="3301"/>
      <c r="AC5" s="3303"/>
    </row>
    <row r="6" spans="1:29" ht="15.75" thickBot="1">
      <c r="A6" s="366"/>
      <c r="B6" s="367"/>
      <c r="C6" s="3320" t="s">
        <v>2365</v>
      </c>
      <c r="D6" s="3321"/>
      <c r="E6" s="3327" t="s">
        <v>2365</v>
      </c>
      <c r="F6" s="3328"/>
      <c r="G6" s="3320" t="s">
        <v>2365</v>
      </c>
      <c r="H6" s="3321"/>
      <c r="I6" s="3320" t="s">
        <v>2365</v>
      </c>
      <c r="J6" s="3321"/>
      <c r="K6" s="567" t="s">
        <v>2366</v>
      </c>
      <c r="L6" s="2946"/>
      <c r="M6" s="2947"/>
      <c r="N6" s="2947"/>
      <c r="O6" s="2947"/>
      <c r="P6" s="3312"/>
      <c r="Q6" s="3313"/>
      <c r="R6" s="3316"/>
      <c r="S6" s="3317"/>
      <c r="T6" s="3318"/>
      <c r="U6" s="3319"/>
      <c r="V6" s="3301"/>
      <c r="W6" s="3301"/>
      <c r="X6" s="3064"/>
      <c r="Y6" s="3318"/>
      <c r="Z6" s="3319"/>
      <c r="AA6" s="3304"/>
      <c r="AB6" s="3301"/>
      <c r="AC6" s="3304"/>
    </row>
    <row r="7" spans="1:29" s="113" customFormat="1" ht="15.75" thickBot="1">
      <c r="A7" s="368" t="s">
        <v>2367</v>
      </c>
      <c r="B7" s="369"/>
      <c r="C7" s="370">
        <f>'数据-取费表'!B2</f>
        <v>44153</v>
      </c>
      <c r="D7" s="371">
        <v>100</v>
      </c>
      <c r="E7" s="372">
        <f>C7</f>
        <v>44153</v>
      </c>
      <c r="F7" s="373">
        <f>SUMIF(58:58,YEAR(E7)&amp;"-"&amp;MONTH(E7),59:59)</f>
        <v>100</v>
      </c>
      <c r="G7" s="372">
        <f>C7</f>
        <v>44153</v>
      </c>
      <c r="H7" s="371">
        <f>SUMIF(58:58,YEAR(G7)&amp;"-"&amp;MONTH(G7),59:59)</f>
        <v>100</v>
      </c>
      <c r="I7" s="372">
        <f>C7</f>
        <v>44153</v>
      </c>
      <c r="J7" s="371">
        <f>SUMIF(58:58,YEAR(I7)&amp;"-"&amp;MONTH(I7),59:59)</f>
        <v>100</v>
      </c>
      <c r="K7" s="568"/>
      <c r="L7" s="2948"/>
      <c r="M7" s="2949"/>
      <c r="N7" s="2949"/>
      <c r="O7" s="2949"/>
      <c r="P7" s="3324" t="s">
        <v>2368</v>
      </c>
      <c r="Q7" s="3326"/>
      <c r="R7" s="710" t="s">
        <v>17</v>
      </c>
      <c r="S7" s="711">
        <f t="shared" ref="S7:S15" si="0">F7</f>
        <v>100</v>
      </c>
      <c r="T7" s="710" t="s">
        <v>17</v>
      </c>
      <c r="U7" s="711">
        <f t="shared" ref="U7:U15" si="1">H7</f>
        <v>100</v>
      </c>
      <c r="V7" s="710" t="s">
        <v>17</v>
      </c>
      <c r="W7" s="711">
        <f t="shared" ref="W7:W15" si="2">J7</f>
        <v>100</v>
      </c>
      <c r="X7" s="712"/>
      <c r="Y7" s="3324" t="s">
        <v>2368</v>
      </c>
      <c r="Z7" s="3325"/>
      <c r="AA7" s="713">
        <f>D7/F7</f>
        <v>1</v>
      </c>
      <c r="AB7" s="713">
        <f>D7/H7</f>
        <v>1</v>
      </c>
      <c r="AC7" s="713">
        <f>D7/J7</f>
        <v>1</v>
      </c>
    </row>
    <row r="8" spans="1:29" s="113" customFormat="1" ht="15.75" thickBot="1">
      <c r="A8" s="368" t="s">
        <v>2369</v>
      </c>
      <c r="B8" s="369"/>
      <c r="C8" s="374" t="s">
        <v>2406</v>
      </c>
      <c r="D8" s="371">
        <v>100</v>
      </c>
      <c r="E8" s="374" t="s">
        <v>2406</v>
      </c>
      <c r="F8" s="373">
        <f>SUMIF(61:61,E8,62:62)-SUMIF(61:61,C8,62:62)+100</f>
        <v>100</v>
      </c>
      <c r="G8" s="374" t="s">
        <v>2406</v>
      </c>
      <c r="H8" s="371">
        <f>SUMIF(61:61,G8,62:62)-SUMIF(61:61,C8,62:62)+100</f>
        <v>100</v>
      </c>
      <c r="I8" s="374" t="s">
        <v>2406</v>
      </c>
      <c r="J8" s="371">
        <f>SUMIF(61:61,I8,62:62)-SUMIF(61:61,C8,62:62)+100</f>
        <v>100</v>
      </c>
      <c r="K8" s="568"/>
      <c r="L8" s="2948"/>
      <c r="M8" s="2949"/>
      <c r="N8" s="2949"/>
      <c r="O8" s="2949"/>
      <c r="P8" s="3324" t="s">
        <v>2371</v>
      </c>
      <c r="Q8" s="3325"/>
      <c r="R8" s="710" t="s">
        <v>17</v>
      </c>
      <c r="S8" s="711">
        <f t="shared" si="0"/>
        <v>100</v>
      </c>
      <c r="T8" s="710" t="s">
        <v>17</v>
      </c>
      <c r="U8" s="711">
        <f t="shared" si="1"/>
        <v>100</v>
      </c>
      <c r="V8" s="710" t="s">
        <v>17</v>
      </c>
      <c r="W8" s="711">
        <f t="shared" si="2"/>
        <v>100</v>
      </c>
      <c r="X8" s="712"/>
      <c r="Y8" s="3324" t="s">
        <v>2371</v>
      </c>
      <c r="Z8" s="3325"/>
      <c r="AA8" s="713">
        <f t="shared" ref="AA8:AA46" si="3">D8/F8</f>
        <v>1</v>
      </c>
      <c r="AB8" s="713">
        <f t="shared" ref="AB8:AB46" si="4">D8/H8</f>
        <v>1</v>
      </c>
      <c r="AC8" s="713">
        <f t="shared" ref="AC8:AC46" si="5">D8/J8</f>
        <v>1</v>
      </c>
    </row>
    <row r="9" spans="1:29" s="113" customFormat="1" ht="15">
      <c r="A9" s="375" t="s">
        <v>2372</v>
      </c>
      <c r="B9" s="67" t="s">
        <v>2373</v>
      </c>
      <c r="C9" s="3093" t="s">
        <v>4135</v>
      </c>
      <c r="D9" s="131">
        <v>100</v>
      </c>
      <c r="E9" s="377" t="s">
        <v>1343</v>
      </c>
      <c r="F9" s="378">
        <f>SUMIF(63:63,E9,64:64)-SUMIF(63:63,C9,64:64)+100</f>
        <v>100</v>
      </c>
      <c r="G9" s="377" t="s">
        <v>4164</v>
      </c>
      <c r="H9" s="131">
        <f>SUMIF(63:63,G9,64:64)-SUMIF(63:63,C9,64:64)+100</f>
        <v>115</v>
      </c>
      <c r="I9" s="377" t="s">
        <v>4164</v>
      </c>
      <c r="J9" s="131">
        <f>SUMIF(63:63,I9,64:64)-SUMIF(63:63,C9,64:64)+100</f>
        <v>115</v>
      </c>
      <c r="K9" s="568"/>
      <c r="L9" s="2948"/>
      <c r="M9" s="2949"/>
      <c r="N9" s="2949"/>
      <c r="O9" s="2949"/>
      <c r="P9" s="3294" t="s">
        <v>2374</v>
      </c>
      <c r="Q9" s="3062" t="str">
        <f t="shared" ref="Q9:Q15" si="6">B9</f>
        <v>用途</v>
      </c>
      <c r="R9" s="710" t="s">
        <v>17</v>
      </c>
      <c r="S9" s="711">
        <f t="shared" si="0"/>
        <v>100</v>
      </c>
      <c r="T9" s="710" t="s">
        <v>17</v>
      </c>
      <c r="U9" s="711">
        <f t="shared" si="1"/>
        <v>115</v>
      </c>
      <c r="V9" s="710" t="s">
        <v>17</v>
      </c>
      <c r="W9" s="711">
        <f t="shared" si="2"/>
        <v>115</v>
      </c>
      <c r="X9" s="712"/>
      <c r="Y9" s="3189" t="s">
        <v>2375</v>
      </c>
      <c r="Z9" s="3046" t="str">
        <f t="shared" ref="Z9:Z15" si="7">Q9</f>
        <v>用途</v>
      </c>
      <c r="AA9" s="713">
        <f t="shared" si="3"/>
        <v>1</v>
      </c>
      <c r="AB9" s="713">
        <f t="shared" si="4"/>
        <v>0.86956521739130432</v>
      </c>
      <c r="AC9" s="713">
        <f t="shared" si="5"/>
        <v>0.86956521739130432</v>
      </c>
    </row>
    <row r="10" spans="1:29" s="386" customFormat="1" ht="27" hidden="1">
      <c r="A10" s="380"/>
      <c r="B10" s="381" t="s">
        <v>2376</v>
      </c>
      <c r="C10" s="382" t="s">
        <v>4149</v>
      </c>
      <c r="D10" s="132">
        <v>100</v>
      </c>
      <c r="E10" s="383" t="s">
        <v>4149</v>
      </c>
      <c r="F10" s="384">
        <f>SUMIF(65:65,E10,66:66)-SUMIF(65:65,C10,66:66)+100</f>
        <v>100</v>
      </c>
      <c r="G10" s="382" t="s">
        <v>4149</v>
      </c>
      <c r="H10" s="132">
        <f>SUMIF(65:65,G10,66:66)-SUMIF(65:65,C10,66:66)+100</f>
        <v>100</v>
      </c>
      <c r="I10" s="382" t="s">
        <v>4149</v>
      </c>
      <c r="J10" s="132">
        <f>SUMIF(65:65,I10,66:66)-SUMIF(65:65,C10,66:66)+100</f>
        <v>100</v>
      </c>
      <c r="K10" s="569"/>
      <c r="L10" s="2950"/>
      <c r="M10" s="2951"/>
      <c r="N10" s="2951"/>
      <c r="O10" s="2951"/>
      <c r="P10" s="3294"/>
      <c r="Q10" s="3062" t="str">
        <f t="shared" si="6"/>
        <v>土地使用年限（年）</v>
      </c>
      <c r="R10" s="710" t="s">
        <v>17</v>
      </c>
      <c r="S10" s="711">
        <f t="shared" si="0"/>
        <v>100</v>
      </c>
      <c r="T10" s="710" t="s">
        <v>17</v>
      </c>
      <c r="U10" s="711">
        <f t="shared" si="1"/>
        <v>100</v>
      </c>
      <c r="V10" s="710" t="s">
        <v>17</v>
      </c>
      <c r="W10" s="711">
        <f t="shared" si="2"/>
        <v>100</v>
      </c>
      <c r="X10" s="712"/>
      <c r="Y10" s="3189"/>
      <c r="Z10" s="3046" t="str">
        <f t="shared" si="7"/>
        <v>土地使用年限（年）</v>
      </c>
      <c r="AA10" s="713">
        <f t="shared" si="3"/>
        <v>1</v>
      </c>
      <c r="AB10" s="713">
        <f t="shared" si="4"/>
        <v>1</v>
      </c>
      <c r="AC10" s="713">
        <f t="shared" si="5"/>
        <v>1</v>
      </c>
    </row>
    <row r="11" spans="1:29" ht="15.75" thickBot="1">
      <c r="A11" s="387"/>
      <c r="B11" s="381" t="s">
        <v>2377</v>
      </c>
      <c r="C11" s="388">
        <f>'数据-汇总表'!I4</f>
        <v>1.5</v>
      </c>
      <c r="D11" s="132">
        <v>100</v>
      </c>
      <c r="E11" s="389">
        <v>1.5</v>
      </c>
      <c r="F11" s="384">
        <f>LOOKUP(E11,68:68,69:69)-LOOKUP(C11,68:68,69:69)+100</f>
        <v>100</v>
      </c>
      <c r="G11" s="388">
        <v>1.08</v>
      </c>
      <c r="H11" s="132">
        <f>LOOKUP(G11,68:68,69:69)-LOOKUP(C11,68:68,69:69)+100</f>
        <v>100</v>
      </c>
      <c r="I11" s="388">
        <v>1.24</v>
      </c>
      <c r="J11" s="132">
        <f>LOOKUP(I11,68:68,69:69)-LOOKUP(C11,68:68,69:69)+100</f>
        <v>100</v>
      </c>
      <c r="K11" s="569">
        <v>3</v>
      </c>
      <c r="L11" s="2952"/>
      <c r="M11" s="2947"/>
      <c r="N11" s="2947"/>
      <c r="O11" s="2947"/>
      <c r="P11" s="3294"/>
      <c r="Q11" s="3062" t="str">
        <f t="shared" si="6"/>
        <v>容积率</v>
      </c>
      <c r="R11" s="710" t="s">
        <v>17</v>
      </c>
      <c r="S11" s="711">
        <f t="shared" si="0"/>
        <v>100</v>
      </c>
      <c r="T11" s="710" t="s">
        <v>17</v>
      </c>
      <c r="U11" s="711">
        <f t="shared" si="1"/>
        <v>100</v>
      </c>
      <c r="V11" s="710" t="s">
        <v>17</v>
      </c>
      <c r="W11" s="711">
        <f t="shared" si="2"/>
        <v>100</v>
      </c>
      <c r="X11" s="712"/>
      <c r="Y11" s="3189"/>
      <c r="Z11" s="3046" t="str">
        <f t="shared" si="7"/>
        <v>容积率</v>
      </c>
      <c r="AA11" s="713">
        <f t="shared" si="3"/>
        <v>1</v>
      </c>
      <c r="AB11" s="713">
        <f t="shared" si="4"/>
        <v>1</v>
      </c>
      <c r="AC11" s="713">
        <f t="shared" si="5"/>
        <v>1</v>
      </c>
    </row>
    <row r="12" spans="1:29" s="113" customFormat="1" ht="15.75" hidden="1" thickBot="1">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94"/>
      <c r="Q12" s="3062">
        <f t="shared" si="6"/>
        <v>111</v>
      </c>
      <c r="R12" s="710" t="s">
        <v>17</v>
      </c>
      <c r="S12" s="711">
        <f t="shared" si="0"/>
        <v>100</v>
      </c>
      <c r="T12" s="710" t="s">
        <v>17</v>
      </c>
      <c r="U12" s="711">
        <f t="shared" si="1"/>
        <v>100</v>
      </c>
      <c r="V12" s="710" t="s">
        <v>17</v>
      </c>
      <c r="W12" s="711">
        <f t="shared" si="2"/>
        <v>100</v>
      </c>
      <c r="X12" s="712"/>
      <c r="Y12" s="3189"/>
      <c r="Z12" s="3046">
        <f t="shared" si="7"/>
        <v>111</v>
      </c>
      <c r="AA12" s="713">
        <f>D12/F12</f>
        <v>1</v>
      </c>
      <c r="AB12" s="713">
        <f>D12/H12</f>
        <v>1</v>
      </c>
      <c r="AC12" s="713">
        <f>D12/J12</f>
        <v>1</v>
      </c>
    </row>
    <row r="13" spans="1:29" ht="15.75" hidden="1" thickBot="1">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94"/>
      <c r="Q13" s="3062">
        <f t="shared" si="6"/>
        <v>111</v>
      </c>
      <c r="R13" s="710" t="s">
        <v>17</v>
      </c>
      <c r="S13" s="711">
        <f t="shared" si="0"/>
        <v>100</v>
      </c>
      <c r="T13" s="710" t="s">
        <v>17</v>
      </c>
      <c r="U13" s="711">
        <f t="shared" si="1"/>
        <v>100</v>
      </c>
      <c r="V13" s="710" t="s">
        <v>17</v>
      </c>
      <c r="W13" s="711">
        <f t="shared" si="2"/>
        <v>100</v>
      </c>
      <c r="X13" s="712"/>
      <c r="Y13" s="3189"/>
      <c r="Z13" s="3046">
        <f t="shared" si="7"/>
        <v>111</v>
      </c>
      <c r="AA13" s="713">
        <f t="shared" si="3"/>
        <v>1</v>
      </c>
      <c r="AB13" s="713">
        <f t="shared" si="4"/>
        <v>1</v>
      </c>
      <c r="AC13" s="713">
        <f t="shared" si="5"/>
        <v>1</v>
      </c>
    </row>
    <row r="14" spans="1:29" ht="15.75" hidden="1"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94"/>
      <c r="Q14" s="3062">
        <f t="shared" si="6"/>
        <v>111</v>
      </c>
      <c r="R14" s="710" t="s">
        <v>17</v>
      </c>
      <c r="S14" s="711">
        <f t="shared" si="0"/>
        <v>100</v>
      </c>
      <c r="T14" s="710" t="s">
        <v>17</v>
      </c>
      <c r="U14" s="711">
        <f t="shared" si="1"/>
        <v>100</v>
      </c>
      <c r="V14" s="710" t="s">
        <v>17</v>
      </c>
      <c r="W14" s="711">
        <f t="shared" si="2"/>
        <v>100</v>
      </c>
      <c r="X14" s="712"/>
      <c r="Y14" s="3189"/>
      <c r="Z14" s="3046">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53"/>
      <c r="M15" s="2947"/>
      <c r="N15" s="2947"/>
      <c r="O15" s="2947"/>
      <c r="P15" s="3333" t="s">
        <v>2379</v>
      </c>
      <c r="Q15" s="3067" t="str">
        <f t="shared" si="6"/>
        <v>商业繁华度</v>
      </c>
      <c r="R15" s="714" t="s">
        <v>17</v>
      </c>
      <c r="S15" s="715">
        <f t="shared" si="0"/>
        <v>100</v>
      </c>
      <c r="T15" s="714" t="s">
        <v>17</v>
      </c>
      <c r="U15" s="715">
        <f t="shared" si="1"/>
        <v>100</v>
      </c>
      <c r="V15" s="714" t="s">
        <v>17</v>
      </c>
      <c r="W15" s="715">
        <f t="shared" si="2"/>
        <v>100</v>
      </c>
      <c r="X15" s="3064"/>
      <c r="Y15" s="3297" t="s">
        <v>2379</v>
      </c>
      <c r="Z15" s="3065" t="str">
        <f t="shared" si="7"/>
        <v>商业繁华度</v>
      </c>
      <c r="AA15" s="3068">
        <f t="shared" si="3"/>
        <v>1</v>
      </c>
      <c r="AB15" s="3068">
        <f t="shared" si="4"/>
        <v>1</v>
      </c>
      <c r="AC15" s="3068">
        <f t="shared" si="5"/>
        <v>1</v>
      </c>
    </row>
    <row r="16" spans="1:29" ht="15">
      <c r="A16" s="387"/>
      <c r="B16" s="405"/>
      <c r="C16" s="406" t="s">
        <v>4150</v>
      </c>
      <c r="D16" s="407"/>
      <c r="E16" s="406" t="s">
        <v>4150</v>
      </c>
      <c r="F16" s="408"/>
      <c r="G16" s="406" t="s">
        <v>4150</v>
      </c>
      <c r="H16" s="409"/>
      <c r="I16" s="406" t="s">
        <v>4150</v>
      </c>
      <c r="J16" s="407"/>
      <c r="K16" s="572"/>
      <c r="L16" s="2953"/>
      <c r="M16" s="2947"/>
      <c r="N16" s="2947"/>
      <c r="O16" s="2947"/>
      <c r="P16" s="3334"/>
      <c r="Q16" s="3067"/>
      <c r="R16" s="714"/>
      <c r="S16" s="715"/>
      <c r="T16" s="714"/>
      <c r="U16" s="715"/>
      <c r="V16" s="714"/>
      <c r="W16" s="715"/>
      <c r="X16" s="3064"/>
      <c r="Y16" s="3298"/>
      <c r="Z16" s="3065"/>
      <c r="AA16" s="3068">
        <v>1</v>
      </c>
      <c r="AB16" s="3068">
        <v>1</v>
      </c>
      <c r="AC16" s="3068">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98</v>
      </c>
      <c r="I17" s="411"/>
      <c r="J17" s="414">
        <f>SUMIF(78:78,I18,79:79)-SUMIF(78:78,C18,79:79)+100</f>
        <v>102</v>
      </c>
      <c r="K17" s="571">
        <v>2</v>
      </c>
      <c r="L17" s="2953"/>
      <c r="M17" s="2947"/>
      <c r="N17" s="2947"/>
      <c r="O17" s="2947"/>
      <c r="P17" s="3334"/>
      <c r="Q17" s="3067" t="str">
        <f>B17</f>
        <v>交通便捷度</v>
      </c>
      <c r="R17" s="714" t="s">
        <v>17</v>
      </c>
      <c r="S17" s="715">
        <f>F17</f>
        <v>100</v>
      </c>
      <c r="T17" s="714" t="s">
        <v>17</v>
      </c>
      <c r="U17" s="715">
        <f>H17</f>
        <v>98</v>
      </c>
      <c r="V17" s="714" t="s">
        <v>17</v>
      </c>
      <c r="W17" s="715">
        <f>J17</f>
        <v>102</v>
      </c>
      <c r="X17" s="3064"/>
      <c r="Y17" s="3298"/>
      <c r="Z17" s="3065" t="str">
        <f>Q17</f>
        <v>交通便捷度</v>
      </c>
      <c r="AA17" s="3068">
        <f t="shared" si="3"/>
        <v>1</v>
      </c>
      <c r="AB17" s="3068">
        <f t="shared" si="4"/>
        <v>1.0204081632653061</v>
      </c>
      <c r="AC17" s="3068">
        <f t="shared" si="5"/>
        <v>0.98039215686274506</v>
      </c>
    </row>
    <row r="18" spans="1:29" ht="15">
      <c r="A18" s="387"/>
      <c r="B18" s="415"/>
      <c r="C18" s="2089" t="s">
        <v>4140</v>
      </c>
      <c r="D18" s="409"/>
      <c r="E18" s="2089" t="s">
        <v>4140</v>
      </c>
      <c r="F18" s="412"/>
      <c r="G18" s="2089" t="s">
        <v>4150</v>
      </c>
      <c r="H18" s="407"/>
      <c r="I18" s="2089" t="s">
        <v>4137</v>
      </c>
      <c r="J18" s="407"/>
      <c r="K18" s="572"/>
      <c r="L18" s="2953"/>
      <c r="M18" s="2947"/>
      <c r="N18" s="2947"/>
      <c r="O18" s="2947"/>
      <c r="P18" s="3334"/>
      <c r="Q18" s="3067"/>
      <c r="R18" s="714"/>
      <c r="S18" s="715"/>
      <c r="T18" s="714"/>
      <c r="U18" s="715"/>
      <c r="V18" s="714"/>
      <c r="W18" s="715"/>
      <c r="X18" s="3064"/>
      <c r="Y18" s="3298"/>
      <c r="Z18" s="3065"/>
      <c r="AA18" s="3068">
        <v>1</v>
      </c>
      <c r="AB18" s="3068">
        <v>1</v>
      </c>
      <c r="AC18" s="3068">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3"/>
      <c r="M19" s="2947"/>
      <c r="N19" s="2947"/>
      <c r="O19" s="2947"/>
      <c r="P19" s="3334"/>
      <c r="Q19" s="3067" t="str">
        <f>B19</f>
        <v>公共配套设施</v>
      </c>
      <c r="R19" s="714" t="s">
        <v>17</v>
      </c>
      <c r="S19" s="715">
        <f>F19</f>
        <v>100</v>
      </c>
      <c r="T19" s="714" t="s">
        <v>17</v>
      </c>
      <c r="U19" s="715">
        <f>H19</f>
        <v>100</v>
      </c>
      <c r="V19" s="714" t="s">
        <v>17</v>
      </c>
      <c r="W19" s="715">
        <f>J19</f>
        <v>100</v>
      </c>
      <c r="X19" s="3064"/>
      <c r="Y19" s="3298"/>
      <c r="Z19" s="3065" t="str">
        <f>Q19</f>
        <v>公共配套设施</v>
      </c>
      <c r="AA19" s="3068">
        <f t="shared" si="3"/>
        <v>1</v>
      </c>
      <c r="AB19" s="3068">
        <f t="shared" si="4"/>
        <v>1</v>
      </c>
      <c r="AC19" s="3068">
        <f t="shared" si="5"/>
        <v>1</v>
      </c>
    </row>
    <row r="20" spans="1:29" ht="15">
      <c r="A20" s="387"/>
      <c r="B20" s="415"/>
      <c r="C20" s="406" t="s">
        <v>4150</v>
      </c>
      <c r="D20" s="407"/>
      <c r="E20" s="406" t="s">
        <v>4150</v>
      </c>
      <c r="F20" s="408"/>
      <c r="G20" s="406" t="s">
        <v>4150</v>
      </c>
      <c r="H20" s="407"/>
      <c r="I20" s="406" t="s">
        <v>4150</v>
      </c>
      <c r="J20" s="407"/>
      <c r="K20" s="572"/>
      <c r="L20" s="2953"/>
      <c r="M20" s="2947"/>
      <c r="N20" s="2947"/>
      <c r="O20" s="2947"/>
      <c r="P20" s="3334"/>
      <c r="Q20" s="3067"/>
      <c r="R20" s="714"/>
      <c r="S20" s="715"/>
      <c r="T20" s="714"/>
      <c r="U20" s="715"/>
      <c r="V20" s="714"/>
      <c r="W20" s="715"/>
      <c r="X20" s="3064"/>
      <c r="Y20" s="3298"/>
      <c r="Z20" s="3065"/>
      <c r="AA20" s="3068">
        <v>1</v>
      </c>
      <c r="AB20" s="3068">
        <v>1</v>
      </c>
      <c r="AC20" s="3068">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53"/>
      <c r="M21" s="2947"/>
      <c r="N21" s="2947"/>
      <c r="O21" s="2947"/>
      <c r="P21" s="3334"/>
      <c r="Q21" s="3067" t="str">
        <f>B21</f>
        <v>基础设施水平</v>
      </c>
      <c r="R21" s="714" t="s">
        <v>17</v>
      </c>
      <c r="S21" s="715">
        <f>F21</f>
        <v>100</v>
      </c>
      <c r="T21" s="714" t="s">
        <v>17</v>
      </c>
      <c r="U21" s="715">
        <f>H21</f>
        <v>100</v>
      </c>
      <c r="V21" s="714" t="s">
        <v>17</v>
      </c>
      <c r="W21" s="715">
        <f>J21</f>
        <v>100</v>
      </c>
      <c r="X21" s="3064"/>
      <c r="Y21" s="3298"/>
      <c r="Z21" s="3065" t="str">
        <f>Q21</f>
        <v>基础设施水平</v>
      </c>
      <c r="AA21" s="3068">
        <f t="shared" ref="AA21" si="8">D21/F21</f>
        <v>1</v>
      </c>
      <c r="AB21" s="3068">
        <f t="shared" ref="AB21" si="9">D21/H21</f>
        <v>1</v>
      </c>
      <c r="AC21" s="3068">
        <f t="shared" ref="AC21" si="10">D21/J21</f>
        <v>1</v>
      </c>
    </row>
    <row r="22" spans="1:29" ht="15">
      <c r="A22" s="387"/>
      <c r="B22" s="1293"/>
      <c r="C22" s="2089" t="s">
        <v>4139</v>
      </c>
      <c r="D22" s="407"/>
      <c r="E22" s="2089" t="s">
        <v>4139</v>
      </c>
      <c r="F22" s="408"/>
      <c r="G22" s="2089" t="s">
        <v>4139</v>
      </c>
      <c r="H22" s="407"/>
      <c r="I22" s="2089" t="s">
        <v>4139</v>
      </c>
      <c r="J22" s="407"/>
      <c r="K22" s="1292"/>
      <c r="L22" s="2953"/>
      <c r="M22" s="2947"/>
      <c r="N22" s="2947"/>
      <c r="O22" s="2947"/>
      <c r="P22" s="3334"/>
      <c r="Q22" s="3067"/>
      <c r="R22" s="714"/>
      <c r="S22" s="715"/>
      <c r="T22" s="714"/>
      <c r="U22" s="715"/>
      <c r="V22" s="714"/>
      <c r="W22" s="715"/>
      <c r="X22" s="3064"/>
      <c r="Y22" s="3298"/>
      <c r="Z22" s="3065"/>
      <c r="AA22" s="3068">
        <v>1</v>
      </c>
      <c r="AB22" s="3068">
        <v>1</v>
      </c>
      <c r="AC22" s="3068">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104</v>
      </c>
      <c r="I23" s="411"/>
      <c r="J23" s="409">
        <f>SUMIF(84:84,I24,85:85)-SUMIF(84:84,C24,85:85)+100</f>
        <v>100</v>
      </c>
      <c r="K23" s="571">
        <v>2</v>
      </c>
      <c r="L23" s="2953"/>
      <c r="M23" s="2947"/>
      <c r="N23" s="2947"/>
      <c r="O23" s="2947"/>
      <c r="P23" s="3334"/>
      <c r="Q23" s="3067" t="str">
        <f>B23</f>
        <v>自然及人文环境</v>
      </c>
      <c r="R23" s="714" t="s">
        <v>17</v>
      </c>
      <c r="S23" s="715">
        <f>F23</f>
        <v>100</v>
      </c>
      <c r="T23" s="714" t="s">
        <v>17</v>
      </c>
      <c r="U23" s="715">
        <f>H23</f>
        <v>104</v>
      </c>
      <c r="V23" s="714" t="s">
        <v>17</v>
      </c>
      <c r="W23" s="715">
        <f>J23</f>
        <v>100</v>
      </c>
      <c r="X23" s="3064"/>
      <c r="Y23" s="3298"/>
      <c r="Z23" s="3065" t="str">
        <f>Q23</f>
        <v>自然及人文环境</v>
      </c>
      <c r="AA23" s="3068">
        <f t="shared" si="3"/>
        <v>1</v>
      </c>
      <c r="AB23" s="3068">
        <f t="shared" si="4"/>
        <v>0.96153846153846156</v>
      </c>
      <c r="AC23" s="3068">
        <f t="shared" si="5"/>
        <v>1</v>
      </c>
    </row>
    <row r="24" spans="1:29" ht="15.75" thickBot="1">
      <c r="A24" s="387"/>
      <c r="B24" s="415"/>
      <c r="C24" s="406" t="s">
        <v>4140</v>
      </c>
      <c r="D24" s="407"/>
      <c r="E24" s="406" t="s">
        <v>4140</v>
      </c>
      <c r="F24" s="408"/>
      <c r="G24" s="406" t="s">
        <v>4138</v>
      </c>
      <c r="H24" s="407"/>
      <c r="I24" s="406" t="s">
        <v>4140</v>
      </c>
      <c r="J24" s="407"/>
      <c r="K24" s="572"/>
      <c r="L24" s="2953"/>
      <c r="M24" s="2947"/>
      <c r="N24" s="2947"/>
      <c r="O24" s="2947"/>
      <c r="P24" s="3334"/>
      <c r="Q24" s="3067"/>
      <c r="R24" s="714"/>
      <c r="S24" s="715"/>
      <c r="T24" s="714"/>
      <c r="U24" s="715"/>
      <c r="V24" s="714"/>
      <c r="W24" s="715"/>
      <c r="X24" s="3064"/>
      <c r="Y24" s="3298"/>
      <c r="Z24" s="3065"/>
      <c r="AA24" s="3068">
        <v>1</v>
      </c>
      <c r="AB24" s="3068">
        <v>1</v>
      </c>
      <c r="AC24" s="3068">
        <v>1</v>
      </c>
    </row>
    <row r="25" spans="1:29" ht="15" hidden="1">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34"/>
      <c r="Q25" s="3067" t="str">
        <f t="shared" ref="Q25:Q46" si="11">B25</f>
        <v>临街状况</v>
      </c>
      <c r="R25" s="714" t="s">
        <v>17</v>
      </c>
      <c r="S25" s="715">
        <f>F25</f>
        <v>100</v>
      </c>
      <c r="T25" s="714" t="s">
        <v>17</v>
      </c>
      <c r="U25" s="715">
        <f>H25</f>
        <v>100</v>
      </c>
      <c r="V25" s="714" t="s">
        <v>17</v>
      </c>
      <c r="W25" s="715">
        <f>J25</f>
        <v>100</v>
      </c>
      <c r="X25" s="3064"/>
      <c r="Y25" s="3298"/>
      <c r="Z25" s="3065" t="str">
        <f>Q25</f>
        <v>临街状况</v>
      </c>
      <c r="AA25" s="3068">
        <f t="shared" si="3"/>
        <v>1</v>
      </c>
      <c r="AB25" s="3068">
        <f t="shared" si="4"/>
        <v>1</v>
      </c>
      <c r="AC25" s="3068">
        <f t="shared" si="5"/>
        <v>1</v>
      </c>
    </row>
    <row r="26" spans="1:29" ht="15" hidden="1">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34"/>
      <c r="Q26" s="3067" t="str">
        <f t="shared" si="11"/>
        <v>平面位置/可视性</v>
      </c>
      <c r="R26" s="714" t="s">
        <v>17</v>
      </c>
      <c r="S26" s="715">
        <f>F26</f>
        <v>100</v>
      </c>
      <c r="T26" s="714" t="s">
        <v>17</v>
      </c>
      <c r="U26" s="715">
        <f>H26</f>
        <v>100</v>
      </c>
      <c r="V26" s="714" t="s">
        <v>17</v>
      </c>
      <c r="W26" s="715">
        <f>J26</f>
        <v>100</v>
      </c>
      <c r="X26" s="3064"/>
      <c r="Y26" s="3298"/>
      <c r="Z26" s="3065" t="str">
        <f>Q26</f>
        <v>平面位置/可视性</v>
      </c>
      <c r="AA26" s="3068">
        <f t="shared" si="3"/>
        <v>1</v>
      </c>
      <c r="AB26" s="3068">
        <f t="shared" si="4"/>
        <v>1</v>
      </c>
      <c r="AC26" s="3068">
        <f t="shared" si="5"/>
        <v>1</v>
      </c>
    </row>
    <row r="27" spans="1:29" s="113" customFormat="1" ht="15" hidden="1">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34"/>
      <c r="Q27" s="3062" t="str">
        <f t="shared" si="11"/>
        <v>人流量</v>
      </c>
      <c r="R27" s="710" t="s">
        <v>17</v>
      </c>
      <c r="S27" s="711">
        <f>F27</f>
        <v>100</v>
      </c>
      <c r="T27" s="710" t="s">
        <v>17</v>
      </c>
      <c r="U27" s="711">
        <f>H27</f>
        <v>100</v>
      </c>
      <c r="V27" s="710" t="s">
        <v>17</v>
      </c>
      <c r="W27" s="711">
        <f>J27</f>
        <v>100</v>
      </c>
      <c r="X27" s="712"/>
      <c r="Y27" s="3298"/>
      <c r="Z27" s="3046" t="str">
        <f>Q27</f>
        <v>人流量</v>
      </c>
      <c r="AA27" s="3068">
        <f>D27/F27</f>
        <v>1</v>
      </c>
      <c r="AB27" s="3068">
        <f>D27/H27</f>
        <v>1</v>
      </c>
      <c r="AC27" s="3068">
        <f>D27/J27</f>
        <v>1</v>
      </c>
    </row>
    <row r="28" spans="1:29" ht="15" hidden="1">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34"/>
      <c r="Q28" s="3067" t="str">
        <f t="shared" si="11"/>
        <v>楼层</v>
      </c>
      <c r="R28" s="714" t="s">
        <v>17</v>
      </c>
      <c r="S28" s="715">
        <f t="shared" ref="S28:S46" si="12">F28</f>
        <v>100</v>
      </c>
      <c r="T28" s="714" t="s">
        <v>17</v>
      </c>
      <c r="U28" s="715">
        <f t="shared" ref="U28:U46" si="13">H28</f>
        <v>100</v>
      </c>
      <c r="V28" s="714" t="s">
        <v>17</v>
      </c>
      <c r="W28" s="715">
        <f t="shared" ref="W28:W46" si="14">J28</f>
        <v>100</v>
      </c>
      <c r="X28" s="3064"/>
      <c r="Y28" s="3298"/>
      <c r="Z28" s="3065" t="str">
        <f t="shared" ref="Z28:Z46" si="15">Q28</f>
        <v>楼层</v>
      </c>
      <c r="AA28" s="3068">
        <f t="shared" si="3"/>
        <v>1</v>
      </c>
      <c r="AB28" s="3068">
        <f t="shared" si="4"/>
        <v>1</v>
      </c>
      <c r="AC28" s="3068">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34"/>
      <c r="Q29" s="3067">
        <f t="shared" si="11"/>
        <v>111</v>
      </c>
      <c r="R29" s="714" t="s">
        <v>17</v>
      </c>
      <c r="S29" s="715">
        <f t="shared" si="12"/>
        <v>100</v>
      </c>
      <c r="T29" s="714" t="s">
        <v>17</v>
      </c>
      <c r="U29" s="715">
        <f t="shared" si="13"/>
        <v>100</v>
      </c>
      <c r="V29" s="714" t="s">
        <v>17</v>
      </c>
      <c r="W29" s="715">
        <f t="shared" si="14"/>
        <v>100</v>
      </c>
      <c r="X29" s="3064"/>
      <c r="Y29" s="3298"/>
      <c r="Z29" s="3065">
        <f t="shared" si="15"/>
        <v>111</v>
      </c>
      <c r="AA29" s="3068">
        <f t="shared" si="3"/>
        <v>1</v>
      </c>
      <c r="AB29" s="3068">
        <f t="shared" si="4"/>
        <v>1</v>
      </c>
      <c r="AC29" s="3068">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34"/>
      <c r="Q30" s="3067">
        <f t="shared" si="11"/>
        <v>111</v>
      </c>
      <c r="R30" s="714" t="s">
        <v>17</v>
      </c>
      <c r="S30" s="715">
        <f t="shared" si="12"/>
        <v>100</v>
      </c>
      <c r="T30" s="714" t="s">
        <v>17</v>
      </c>
      <c r="U30" s="715">
        <f t="shared" si="13"/>
        <v>100</v>
      </c>
      <c r="V30" s="714" t="s">
        <v>17</v>
      </c>
      <c r="W30" s="715">
        <f t="shared" si="14"/>
        <v>100</v>
      </c>
      <c r="X30" s="3064"/>
      <c r="Y30" s="3298"/>
      <c r="Z30" s="3065">
        <f t="shared" si="15"/>
        <v>111</v>
      </c>
      <c r="AA30" s="3068">
        <f t="shared" si="3"/>
        <v>1</v>
      </c>
      <c r="AB30" s="3068">
        <f t="shared" si="4"/>
        <v>1</v>
      </c>
      <c r="AC30" s="3068">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34"/>
      <c r="Q31" s="3067">
        <f t="shared" si="11"/>
        <v>111</v>
      </c>
      <c r="R31" s="714" t="s">
        <v>17</v>
      </c>
      <c r="S31" s="715">
        <f t="shared" si="12"/>
        <v>100</v>
      </c>
      <c r="T31" s="714" t="s">
        <v>17</v>
      </c>
      <c r="U31" s="715">
        <f t="shared" si="13"/>
        <v>100</v>
      </c>
      <c r="V31" s="714" t="s">
        <v>17</v>
      </c>
      <c r="W31" s="715">
        <f t="shared" si="14"/>
        <v>100</v>
      </c>
      <c r="X31" s="3064"/>
      <c r="Y31" s="3298"/>
      <c r="Z31" s="3065">
        <f t="shared" si="15"/>
        <v>111</v>
      </c>
      <c r="AA31" s="3068">
        <f t="shared" si="3"/>
        <v>1</v>
      </c>
      <c r="AB31" s="3068">
        <f t="shared" si="4"/>
        <v>1</v>
      </c>
      <c r="AC31" s="3068">
        <f t="shared" si="5"/>
        <v>1</v>
      </c>
    </row>
    <row r="32" spans="1:29" ht="15">
      <c r="A32" s="399" t="s">
        <v>2382</v>
      </c>
      <c r="B32" s="67" t="s">
        <v>2479</v>
      </c>
      <c r="C32" s="2098" t="s">
        <v>4036</v>
      </c>
      <c r="D32" s="426">
        <v>100</v>
      </c>
      <c r="E32" s="2098" t="s">
        <v>4161</v>
      </c>
      <c r="F32" s="420">
        <f>SUMIF(100:100,E32,101:101)-SUMIF(100:100,C32,101:101)+100</f>
        <v>105</v>
      </c>
      <c r="G32" s="2098" t="s">
        <v>4161</v>
      </c>
      <c r="H32" s="394">
        <f>SUMIF(100:100,G32,101:101)-SUMIF(100:100,C32,101:101)+100</f>
        <v>105</v>
      </c>
      <c r="I32" s="2098" t="s">
        <v>4161</v>
      </c>
      <c r="J32" s="426">
        <f>SUMIF(100:100,I32,101:101)-SUMIF(100:100,C32,101:101)+100</f>
        <v>105</v>
      </c>
      <c r="K32" s="569">
        <v>5</v>
      </c>
      <c r="L32" s="2953"/>
      <c r="M32" s="2947"/>
      <c r="N32" s="2947"/>
      <c r="O32" s="2947"/>
      <c r="P32" s="3335" t="s">
        <v>2384</v>
      </c>
      <c r="Q32" s="3067" t="str">
        <f t="shared" si="11"/>
        <v>商业类型</v>
      </c>
      <c r="R32" s="714" t="s">
        <v>17</v>
      </c>
      <c r="S32" s="715">
        <f t="shared" si="12"/>
        <v>105</v>
      </c>
      <c r="T32" s="714" t="s">
        <v>17</v>
      </c>
      <c r="U32" s="715">
        <f t="shared" si="13"/>
        <v>105</v>
      </c>
      <c r="V32" s="714" t="s">
        <v>17</v>
      </c>
      <c r="W32" s="715">
        <f t="shared" si="14"/>
        <v>105</v>
      </c>
      <c r="X32" s="3064"/>
      <c r="Y32" s="3300" t="s">
        <v>2384</v>
      </c>
      <c r="Z32" s="3065" t="str">
        <f t="shared" si="15"/>
        <v>商业类型</v>
      </c>
      <c r="AA32" s="3068">
        <f t="shared" si="3"/>
        <v>0.95238095238095233</v>
      </c>
      <c r="AB32" s="3068">
        <f t="shared" si="4"/>
        <v>0.95238095238095233</v>
      </c>
      <c r="AC32" s="3068">
        <f t="shared" si="5"/>
        <v>0.95238095238095233</v>
      </c>
    </row>
    <row r="33" spans="1:29" s="430" customFormat="1" ht="15">
      <c r="A33" s="427"/>
      <c r="B33" s="381" t="s">
        <v>2385</v>
      </c>
      <c r="C33" s="428">
        <v>350000</v>
      </c>
      <c r="D33" s="132">
        <v>100</v>
      </c>
      <c r="E33" s="389">
        <v>2663500</v>
      </c>
      <c r="F33" s="384">
        <f>LOOKUP(E33,103:103,104:104)-LOOKUP(C33,103:103,104:104)+100</f>
        <v>102</v>
      </c>
      <c r="G33" s="388">
        <v>450000</v>
      </c>
      <c r="H33" s="132">
        <f>LOOKUP(G33,103:103,104:104)-LOOKUP(C33,103:103,104:104)+100</f>
        <v>100</v>
      </c>
      <c r="I33" s="388">
        <v>163876.76</v>
      </c>
      <c r="J33" s="132">
        <f>LOOKUP(I33,103:103,104:104)-LOOKUP(C33,103:103,104:104)+100</f>
        <v>100</v>
      </c>
      <c r="K33" s="570"/>
      <c r="L33" s="2952"/>
      <c r="M33" s="2954"/>
      <c r="N33" s="2954"/>
      <c r="O33" s="2954"/>
      <c r="P33" s="3336"/>
      <c r="Q33" s="716" t="str">
        <f t="shared" si="11"/>
        <v>项目建筑规模</v>
      </c>
      <c r="R33" s="717" t="s">
        <v>17</v>
      </c>
      <c r="S33" s="718">
        <f t="shared" si="12"/>
        <v>102</v>
      </c>
      <c r="T33" s="717" t="s">
        <v>17</v>
      </c>
      <c r="U33" s="718">
        <f t="shared" si="13"/>
        <v>100</v>
      </c>
      <c r="V33" s="717" t="s">
        <v>17</v>
      </c>
      <c r="W33" s="718">
        <f t="shared" si="14"/>
        <v>100</v>
      </c>
      <c r="X33" s="719"/>
      <c r="Y33" s="3300"/>
      <c r="Z33" s="720" t="str">
        <f t="shared" si="15"/>
        <v>项目建筑规模</v>
      </c>
      <c r="AA33" s="3068">
        <f t="shared" si="3"/>
        <v>0.98039215686274506</v>
      </c>
      <c r="AB33" s="3068">
        <f t="shared" si="4"/>
        <v>1</v>
      </c>
      <c r="AC33" s="3068">
        <f t="shared" si="5"/>
        <v>1</v>
      </c>
    </row>
    <row r="34" spans="1:29" ht="15">
      <c r="A34" s="431"/>
      <c r="B34" s="381" t="s">
        <v>2386</v>
      </c>
      <c r="C34" s="2100" t="s">
        <v>4191</v>
      </c>
      <c r="D34" s="394">
        <v>100</v>
      </c>
      <c r="E34" s="2100" t="s">
        <v>4191</v>
      </c>
      <c r="F34" s="420">
        <f>SUMIF(105:105,E34,106:106)-SUMIF(105:105,C34,106:106)+100</f>
        <v>100</v>
      </c>
      <c r="G34" s="2100" t="s">
        <v>4191</v>
      </c>
      <c r="H34" s="394">
        <f>SUMIF(105:105,G34,106:106)-SUMIF(105:105,C34,106:106)+100</f>
        <v>100</v>
      </c>
      <c r="I34" s="2100" t="s">
        <v>4191</v>
      </c>
      <c r="J34" s="394">
        <f>SUMIF(105:105,I34,106:106)-SUMIF(105:105,C34,106:106)+100</f>
        <v>100</v>
      </c>
      <c r="K34" s="569">
        <v>1</v>
      </c>
      <c r="L34" s="2953"/>
      <c r="M34" s="2947"/>
      <c r="N34" s="2947"/>
      <c r="O34" s="2947"/>
      <c r="P34" s="3336"/>
      <c r="Q34" s="3067" t="str">
        <f t="shared" si="11"/>
        <v>建筑结构</v>
      </c>
      <c r="R34" s="714" t="s">
        <v>17</v>
      </c>
      <c r="S34" s="715">
        <f t="shared" si="12"/>
        <v>100</v>
      </c>
      <c r="T34" s="714" t="s">
        <v>17</v>
      </c>
      <c r="U34" s="715">
        <f t="shared" si="13"/>
        <v>100</v>
      </c>
      <c r="V34" s="714" t="s">
        <v>17</v>
      </c>
      <c r="W34" s="715">
        <f t="shared" si="14"/>
        <v>100</v>
      </c>
      <c r="X34" s="3064"/>
      <c r="Y34" s="3300"/>
      <c r="Z34" s="3065" t="str">
        <f t="shared" si="15"/>
        <v>建筑结构</v>
      </c>
      <c r="AA34" s="3068">
        <f t="shared" si="3"/>
        <v>1</v>
      </c>
      <c r="AB34" s="3068">
        <f t="shared" si="4"/>
        <v>1</v>
      </c>
      <c r="AC34" s="3068">
        <f t="shared" si="5"/>
        <v>1</v>
      </c>
    </row>
    <row r="35" spans="1:29" ht="15">
      <c r="A35" s="431"/>
      <c r="B35" s="381" t="s">
        <v>2480</v>
      </c>
      <c r="C35" s="2094" t="s">
        <v>4151</v>
      </c>
      <c r="D35" s="394">
        <v>100</v>
      </c>
      <c r="E35" s="2094" t="s">
        <v>4151</v>
      </c>
      <c r="F35" s="420">
        <f>SUMIF(107:107,E35,108:108)-SUMIF(107:107,C35,108:108)+100</f>
        <v>100</v>
      </c>
      <c r="G35" s="2094" t="s">
        <v>4151</v>
      </c>
      <c r="H35" s="394">
        <f>SUMIF(107:107,G35,108:108)-SUMIF(107:107,C35,108:108)+100</f>
        <v>100</v>
      </c>
      <c r="I35" s="2094" t="s">
        <v>4151</v>
      </c>
      <c r="J35" s="394">
        <f>SUMIF(107:107,I35,108:108)-SUMIF(107:107,C35,108:108)+100</f>
        <v>100</v>
      </c>
      <c r="K35" s="569">
        <v>1</v>
      </c>
      <c r="L35" s="2953"/>
      <c r="M35" s="2947"/>
      <c r="N35" s="2947"/>
      <c r="O35" s="2947"/>
      <c r="P35" s="3336"/>
      <c r="Q35" s="3067" t="str">
        <f t="shared" si="11"/>
        <v>公共部分装修</v>
      </c>
      <c r="R35" s="714" t="s">
        <v>17</v>
      </c>
      <c r="S35" s="715">
        <f t="shared" si="12"/>
        <v>100</v>
      </c>
      <c r="T35" s="714" t="s">
        <v>17</v>
      </c>
      <c r="U35" s="715">
        <f t="shared" si="13"/>
        <v>100</v>
      </c>
      <c r="V35" s="714" t="s">
        <v>17</v>
      </c>
      <c r="W35" s="715">
        <f t="shared" si="14"/>
        <v>100</v>
      </c>
      <c r="X35" s="3064"/>
      <c r="Y35" s="3300"/>
      <c r="Z35" s="3065" t="str">
        <f t="shared" si="15"/>
        <v>公共部分装修</v>
      </c>
      <c r="AA35" s="3068">
        <f t="shared" si="3"/>
        <v>1</v>
      </c>
      <c r="AB35" s="3068">
        <f t="shared" si="4"/>
        <v>1</v>
      </c>
      <c r="AC35" s="3068">
        <f t="shared" si="5"/>
        <v>1</v>
      </c>
    </row>
    <row r="36" spans="1:29" ht="15">
      <c r="A36" s="431"/>
      <c r="B36" s="381" t="s">
        <v>2481</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v>1</v>
      </c>
      <c r="L36" s="2953"/>
      <c r="M36" s="2947"/>
      <c r="N36" s="2947"/>
      <c r="O36" s="2947"/>
      <c r="P36" s="3336"/>
      <c r="Q36" s="3067" t="str">
        <f t="shared" si="11"/>
        <v>成新度</v>
      </c>
      <c r="R36" s="714" t="s">
        <v>17</v>
      </c>
      <c r="S36" s="715">
        <f t="shared" si="12"/>
        <v>100</v>
      </c>
      <c r="T36" s="714" t="s">
        <v>17</v>
      </c>
      <c r="U36" s="715">
        <f t="shared" si="13"/>
        <v>100</v>
      </c>
      <c r="V36" s="714" t="s">
        <v>17</v>
      </c>
      <c r="W36" s="715">
        <f t="shared" si="14"/>
        <v>100</v>
      </c>
      <c r="X36" s="3064"/>
      <c r="Y36" s="3300"/>
      <c r="Z36" s="3065" t="str">
        <f t="shared" si="15"/>
        <v>成新度</v>
      </c>
      <c r="AA36" s="3068">
        <f t="shared" si="3"/>
        <v>1</v>
      </c>
      <c r="AB36" s="3068">
        <f t="shared" si="4"/>
        <v>1</v>
      </c>
      <c r="AC36" s="3068">
        <f t="shared" si="5"/>
        <v>1</v>
      </c>
    </row>
    <row r="37" spans="1:29" s="113" customFormat="1" ht="15">
      <c r="A37" s="432"/>
      <c r="B37" s="381" t="s">
        <v>2482</v>
      </c>
      <c r="C37" s="2094" t="s">
        <v>4139</v>
      </c>
      <c r="D37" s="132">
        <v>100</v>
      </c>
      <c r="E37" s="2094" t="s">
        <v>4139</v>
      </c>
      <c r="F37" s="420">
        <f>SUMIF(112:112,E37,113:113)-SUMIF(112:112,C37,113:113)+100</f>
        <v>100</v>
      </c>
      <c r="G37" s="2094" t="s">
        <v>4139</v>
      </c>
      <c r="H37" s="394">
        <f>SUMIF(112:112,G37,113:113)-SUMIF(112:112,C37,113:113)+100</f>
        <v>100</v>
      </c>
      <c r="I37" s="2094" t="s">
        <v>4139</v>
      </c>
      <c r="J37" s="394">
        <f>SUMIF(112:112,I37,113:113)-SUMIF(112:112,C37,113:113)+100</f>
        <v>100</v>
      </c>
      <c r="K37" s="569">
        <v>1</v>
      </c>
      <c r="L37" s="2948"/>
      <c r="M37" s="2949"/>
      <c r="N37" s="2949"/>
      <c r="O37" s="2949"/>
      <c r="P37" s="3336"/>
      <c r="Q37" s="3062" t="str">
        <f t="shared" si="11"/>
        <v>市政基础设施</v>
      </c>
      <c r="R37" s="710" t="s">
        <v>17</v>
      </c>
      <c r="S37" s="711">
        <f t="shared" si="12"/>
        <v>100</v>
      </c>
      <c r="T37" s="710" t="s">
        <v>17</v>
      </c>
      <c r="U37" s="711">
        <f t="shared" si="13"/>
        <v>100</v>
      </c>
      <c r="V37" s="710" t="s">
        <v>17</v>
      </c>
      <c r="W37" s="711">
        <f t="shared" si="14"/>
        <v>100</v>
      </c>
      <c r="X37" s="712"/>
      <c r="Y37" s="3300"/>
      <c r="Z37" s="3046" t="str">
        <f t="shared" si="15"/>
        <v>市政基础设施</v>
      </c>
      <c r="AA37" s="713">
        <f t="shared" si="3"/>
        <v>1</v>
      </c>
      <c r="AB37" s="713">
        <f t="shared" si="4"/>
        <v>1</v>
      </c>
      <c r="AC37" s="713">
        <f t="shared" si="5"/>
        <v>1</v>
      </c>
    </row>
    <row r="38" spans="1:29" ht="15" hidden="1">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36" t="s">
        <v>2384</v>
      </c>
      <c r="Q38" s="3067" t="str">
        <f t="shared" si="11"/>
        <v>业态</v>
      </c>
      <c r="R38" s="714" t="s">
        <v>17</v>
      </c>
      <c r="S38" s="715">
        <f t="shared" si="12"/>
        <v>100</v>
      </c>
      <c r="T38" s="714" t="s">
        <v>17</v>
      </c>
      <c r="U38" s="715">
        <f t="shared" si="13"/>
        <v>100</v>
      </c>
      <c r="V38" s="714" t="s">
        <v>17</v>
      </c>
      <c r="W38" s="715">
        <f t="shared" si="14"/>
        <v>100</v>
      </c>
      <c r="X38" s="3064"/>
      <c r="Y38" s="3300" t="s">
        <v>2384</v>
      </c>
      <c r="Z38" s="3065" t="str">
        <f t="shared" si="15"/>
        <v>业态</v>
      </c>
      <c r="AA38" s="3068">
        <f t="shared" si="3"/>
        <v>1</v>
      </c>
      <c r="AB38" s="3068">
        <f t="shared" si="4"/>
        <v>1</v>
      </c>
      <c r="AC38" s="3068">
        <f t="shared" si="5"/>
        <v>1</v>
      </c>
    </row>
    <row r="39" spans="1:29" ht="15" hidden="1">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36"/>
      <c r="Q39" s="3067" t="str">
        <f t="shared" si="11"/>
        <v>层高</v>
      </c>
      <c r="R39" s="714" t="s">
        <v>17</v>
      </c>
      <c r="S39" s="715">
        <f t="shared" si="12"/>
        <v>100</v>
      </c>
      <c r="T39" s="714" t="s">
        <v>17</v>
      </c>
      <c r="U39" s="715">
        <f t="shared" si="13"/>
        <v>100</v>
      </c>
      <c r="V39" s="714" t="s">
        <v>17</v>
      </c>
      <c r="W39" s="715">
        <f t="shared" si="14"/>
        <v>100</v>
      </c>
      <c r="X39" s="3064"/>
      <c r="Y39" s="3300"/>
      <c r="Z39" s="3065" t="str">
        <f t="shared" si="15"/>
        <v>层高</v>
      </c>
      <c r="AA39" s="3068">
        <f t="shared" si="3"/>
        <v>1</v>
      </c>
      <c r="AB39" s="3068">
        <f t="shared" si="4"/>
        <v>1</v>
      </c>
      <c r="AC39" s="3068">
        <f t="shared" si="5"/>
        <v>1</v>
      </c>
    </row>
    <row r="40" spans="1:29" ht="15" hidden="1">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36"/>
      <c r="Q40" s="3067" t="str">
        <f t="shared" si="11"/>
        <v>单套建筑面积</v>
      </c>
      <c r="R40" s="714" t="s">
        <v>17</v>
      </c>
      <c r="S40" s="715">
        <f t="shared" si="12"/>
        <v>100</v>
      </c>
      <c r="T40" s="714" t="s">
        <v>17</v>
      </c>
      <c r="U40" s="715">
        <f t="shared" si="13"/>
        <v>100</v>
      </c>
      <c r="V40" s="714" t="s">
        <v>17</v>
      </c>
      <c r="W40" s="715">
        <f t="shared" si="14"/>
        <v>100</v>
      </c>
      <c r="X40" s="3064"/>
      <c r="Y40" s="3300"/>
      <c r="Z40" s="3065" t="str">
        <f t="shared" si="15"/>
        <v>单套建筑面积</v>
      </c>
      <c r="AA40" s="3068">
        <f t="shared" si="3"/>
        <v>1</v>
      </c>
      <c r="AB40" s="3068">
        <f t="shared" si="4"/>
        <v>1</v>
      </c>
      <c r="AC40" s="3068">
        <f t="shared" si="5"/>
        <v>1</v>
      </c>
    </row>
    <row r="41" spans="1:29" s="430" customFormat="1" ht="15" hidden="1">
      <c r="A41" s="427"/>
      <c r="B41" s="3066"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36"/>
      <c r="Q41" s="716" t="str">
        <f t="shared" si="11"/>
        <v>进深比</v>
      </c>
      <c r="R41" s="717" t="s">
        <v>17</v>
      </c>
      <c r="S41" s="718">
        <f t="shared" si="12"/>
        <v>100</v>
      </c>
      <c r="T41" s="717" t="s">
        <v>17</v>
      </c>
      <c r="U41" s="718">
        <f t="shared" si="13"/>
        <v>100</v>
      </c>
      <c r="V41" s="717" t="s">
        <v>17</v>
      </c>
      <c r="W41" s="718">
        <f t="shared" si="14"/>
        <v>100</v>
      </c>
      <c r="X41" s="719"/>
      <c r="Y41" s="3300"/>
      <c r="Z41" s="720" t="str">
        <f t="shared" si="15"/>
        <v>进深比</v>
      </c>
      <c r="AA41" s="3068">
        <f t="shared" si="3"/>
        <v>1</v>
      </c>
      <c r="AB41" s="3068">
        <f t="shared" si="4"/>
        <v>1</v>
      </c>
      <c r="AC41" s="3068">
        <f t="shared" si="5"/>
        <v>1</v>
      </c>
    </row>
    <row r="42" spans="1:29" ht="15.75" thickBot="1">
      <c r="A42" s="431"/>
      <c r="B42" s="381" t="s">
        <v>2487</v>
      </c>
      <c r="C42" s="2094" t="s">
        <v>4155</v>
      </c>
      <c r="D42" s="394">
        <v>100</v>
      </c>
      <c r="E42" s="2094" t="s">
        <v>4155</v>
      </c>
      <c r="F42" s="420">
        <f>SUMIF(122:122,E42,123:123)-SUMIF(122:122,C42,123:123)+100</f>
        <v>100</v>
      </c>
      <c r="G42" s="2094" t="s">
        <v>4155</v>
      </c>
      <c r="H42" s="394">
        <f>SUMIF(122:122,G42,123:123)-SUMIF(122:122,C42,123:123)+100</f>
        <v>100</v>
      </c>
      <c r="I42" s="2094" t="s">
        <v>4155</v>
      </c>
      <c r="J42" s="394">
        <f>SUMIF(122:122,I42,123:123)-SUMIF(122:122,C42,123:123)+100</f>
        <v>100</v>
      </c>
      <c r="K42" s="569">
        <v>3</v>
      </c>
      <c r="L42" s="2953"/>
      <c r="M42" s="2947"/>
      <c r="N42" s="2947"/>
      <c r="O42" s="2947"/>
      <c r="P42" s="3336"/>
      <c r="Q42" s="3067" t="str">
        <f t="shared" si="11"/>
        <v>内部装修</v>
      </c>
      <c r="R42" s="714" t="s">
        <v>17</v>
      </c>
      <c r="S42" s="715">
        <f t="shared" si="12"/>
        <v>100</v>
      </c>
      <c r="T42" s="714" t="s">
        <v>17</v>
      </c>
      <c r="U42" s="715">
        <f t="shared" si="13"/>
        <v>100</v>
      </c>
      <c r="V42" s="714" t="s">
        <v>17</v>
      </c>
      <c r="W42" s="715">
        <f t="shared" si="14"/>
        <v>100</v>
      </c>
      <c r="X42" s="3064"/>
      <c r="Y42" s="3300"/>
      <c r="Z42" s="3065" t="str">
        <f t="shared" si="15"/>
        <v>内部装修</v>
      </c>
      <c r="AA42" s="3068">
        <f t="shared" si="3"/>
        <v>1</v>
      </c>
      <c r="AB42" s="3068">
        <f t="shared" si="4"/>
        <v>1</v>
      </c>
      <c r="AC42" s="3068">
        <f t="shared" si="5"/>
        <v>1</v>
      </c>
    </row>
    <row r="43" spans="1:29" ht="15" hidden="1">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36"/>
      <c r="Q43" s="3067" t="str">
        <f t="shared" si="11"/>
        <v>内部装修维护情况</v>
      </c>
      <c r="R43" s="714" t="s">
        <v>17</v>
      </c>
      <c r="S43" s="715">
        <f t="shared" si="12"/>
        <v>100</v>
      </c>
      <c r="T43" s="714" t="s">
        <v>17</v>
      </c>
      <c r="U43" s="715">
        <f t="shared" si="13"/>
        <v>100</v>
      </c>
      <c r="V43" s="714" t="s">
        <v>17</v>
      </c>
      <c r="W43" s="715">
        <f t="shared" si="14"/>
        <v>100</v>
      </c>
      <c r="X43" s="3064"/>
      <c r="Y43" s="3300"/>
      <c r="Z43" s="3065" t="str">
        <f t="shared" si="15"/>
        <v>内部装修维护情况</v>
      </c>
      <c r="AA43" s="3068">
        <f t="shared" si="3"/>
        <v>1</v>
      </c>
      <c r="AB43" s="3068">
        <f t="shared" si="4"/>
        <v>1</v>
      </c>
      <c r="AC43" s="3068">
        <f t="shared" si="5"/>
        <v>1</v>
      </c>
    </row>
    <row r="44" spans="1:29" s="113" customFormat="1" ht="15" hidden="1">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36"/>
      <c r="Q44" s="3062">
        <f t="shared" si="11"/>
        <v>111</v>
      </c>
      <c r="R44" s="710" t="s">
        <v>17</v>
      </c>
      <c r="S44" s="711">
        <f t="shared" si="12"/>
        <v>100</v>
      </c>
      <c r="T44" s="710" t="s">
        <v>17</v>
      </c>
      <c r="U44" s="711">
        <f t="shared" si="13"/>
        <v>100</v>
      </c>
      <c r="V44" s="710" t="s">
        <v>17</v>
      </c>
      <c r="W44" s="711">
        <f t="shared" si="14"/>
        <v>100</v>
      </c>
      <c r="X44" s="712"/>
      <c r="Y44" s="3300"/>
      <c r="Z44" s="3046">
        <f t="shared" si="15"/>
        <v>111</v>
      </c>
      <c r="AA44" s="713">
        <f t="shared" si="3"/>
        <v>1</v>
      </c>
      <c r="AB44" s="713">
        <f t="shared" si="4"/>
        <v>1</v>
      </c>
      <c r="AC44" s="713">
        <f t="shared" si="5"/>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36"/>
      <c r="Q45" s="3067">
        <f t="shared" si="11"/>
        <v>111</v>
      </c>
      <c r="R45" s="714" t="s">
        <v>17</v>
      </c>
      <c r="S45" s="715">
        <f t="shared" si="12"/>
        <v>100</v>
      </c>
      <c r="T45" s="714" t="s">
        <v>17</v>
      </c>
      <c r="U45" s="715">
        <f t="shared" si="13"/>
        <v>100</v>
      </c>
      <c r="V45" s="714" t="s">
        <v>17</v>
      </c>
      <c r="W45" s="715">
        <f t="shared" si="14"/>
        <v>100</v>
      </c>
      <c r="X45" s="3064"/>
      <c r="Y45" s="3300"/>
      <c r="Z45" s="3065">
        <f t="shared" si="15"/>
        <v>111</v>
      </c>
      <c r="AA45" s="3068">
        <f t="shared" si="3"/>
        <v>1</v>
      </c>
      <c r="AB45" s="3068">
        <f t="shared" si="4"/>
        <v>1</v>
      </c>
      <c r="AC45" s="3068">
        <f t="shared" si="5"/>
        <v>1</v>
      </c>
    </row>
    <row r="46" spans="1:29" ht="15.75" hidden="1"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37"/>
      <c r="Q46" s="3067">
        <f t="shared" si="11"/>
        <v>111</v>
      </c>
      <c r="R46" s="714" t="s">
        <v>17</v>
      </c>
      <c r="S46" s="715">
        <f t="shared" si="12"/>
        <v>100</v>
      </c>
      <c r="T46" s="714" t="s">
        <v>17</v>
      </c>
      <c r="U46" s="715">
        <f t="shared" si="13"/>
        <v>100</v>
      </c>
      <c r="V46" s="714" t="s">
        <v>17</v>
      </c>
      <c r="W46" s="715">
        <f t="shared" si="14"/>
        <v>100</v>
      </c>
      <c r="X46" s="3064"/>
      <c r="Y46" s="3338"/>
      <c r="Z46" s="3065">
        <f t="shared" si="15"/>
        <v>111</v>
      </c>
      <c r="AA46" s="3068">
        <f t="shared" si="3"/>
        <v>1</v>
      </c>
      <c r="AB46" s="3068">
        <f t="shared" si="4"/>
        <v>1</v>
      </c>
      <c r="AC46" s="3068">
        <f t="shared" si="5"/>
        <v>1</v>
      </c>
    </row>
    <row r="47" spans="1:29" ht="15">
      <c r="A47" s="438" t="s">
        <v>2396</v>
      </c>
      <c r="B47" s="439"/>
      <c r="C47" s="1316" t="s">
        <v>1</v>
      </c>
      <c r="D47" s="1317"/>
      <c r="E47" s="1318">
        <v>17000</v>
      </c>
      <c r="F47" s="1319"/>
      <c r="G47" s="1320">
        <v>20000</v>
      </c>
      <c r="H47" s="1321"/>
      <c r="I47" s="1318">
        <v>19000</v>
      </c>
      <c r="J47" s="1321"/>
      <c r="K47" s="723"/>
      <c r="L47" s="2955"/>
      <c r="M47" s="2956"/>
      <c r="N47" s="2947"/>
      <c r="O47" s="2956"/>
      <c r="P47" s="3295" t="str">
        <f>A47</f>
        <v>成交单价（元/平方米）</v>
      </c>
      <c r="Q47" s="3295"/>
      <c r="R47" s="3301">
        <f>E47</f>
        <v>17000</v>
      </c>
      <c r="S47" s="3301"/>
      <c r="T47" s="3301">
        <f>G47</f>
        <v>20000</v>
      </c>
      <c r="U47" s="3301"/>
      <c r="V47" s="3301">
        <f>I47</f>
        <v>19000</v>
      </c>
      <c r="W47" s="3301"/>
      <c r="X47" s="699"/>
      <c r="Y47" s="721"/>
      <c r="Z47" s="699"/>
      <c r="AA47" s="699"/>
      <c r="AB47" s="699"/>
      <c r="AC47" s="699"/>
    </row>
    <row r="48" spans="1:29" ht="15.75" thickBot="1">
      <c r="A48" s="445" t="s">
        <v>2397</v>
      </c>
      <c r="B48" s="446"/>
      <c r="C48" s="1322">
        <f>R49</f>
        <v>15850</v>
      </c>
      <c r="D48" s="2540" t="s">
        <v>2879</v>
      </c>
      <c r="E48" s="1323">
        <f>R48</f>
        <v>15873</v>
      </c>
      <c r="F48" s="2541"/>
      <c r="G48" s="1322">
        <f>T48</f>
        <v>16251</v>
      </c>
      <c r="H48" s="2541"/>
      <c r="I48" s="1323">
        <f>V48</f>
        <v>15426</v>
      </c>
      <c r="J48" s="2541"/>
      <c r="K48" s="2543">
        <f>F48+H48+J48</f>
        <v>0</v>
      </c>
      <c r="L48" s="2955"/>
      <c r="M48" s="2956"/>
      <c r="N48" s="2947"/>
      <c r="O48" s="2956"/>
      <c r="P48" s="3295" t="str">
        <f>A48</f>
        <v>比较价值（元/平方米）</v>
      </c>
      <c r="Q48" s="3295"/>
      <c r="R48" s="3331">
        <f>IF(F1="售价",ROUND(PRODUCT(R47,AA7:AA46),0),ROUND(PRODUCT(R47,AA7:AA46),1))</f>
        <v>15873</v>
      </c>
      <c r="S48" s="3331"/>
      <c r="T48" s="3331">
        <f>IF(F1="售价",ROUND(PRODUCT(T47,AB7:AB46),0),ROUND(PRODUCT(T47,AB7:AB46),1))</f>
        <v>16251</v>
      </c>
      <c r="U48" s="3331"/>
      <c r="V48" s="3331">
        <f>IF(F1="售价",ROUND(PRODUCT(V47,AC7:AC46),0),ROUND(PRODUCT(V47,AC7:AC46),1))</f>
        <v>15426</v>
      </c>
      <c r="W48" s="3331"/>
      <c r="X48" s="699"/>
      <c r="Y48" s="699"/>
      <c r="Z48" s="699"/>
      <c r="AA48" s="699"/>
      <c r="AB48" s="699"/>
      <c r="AC48" s="699"/>
    </row>
    <row r="49" spans="1:29" ht="15.75" thickBot="1">
      <c r="A49" s="449" t="s">
        <v>2398</v>
      </c>
      <c r="B49" s="450"/>
      <c r="C49" s="1325">
        <f>R49</f>
        <v>15850</v>
      </c>
      <c r="D49" s="1325"/>
      <c r="E49" s="1325"/>
      <c r="F49" s="1325"/>
      <c r="G49" s="1325"/>
      <c r="H49" s="1325"/>
      <c r="I49" s="1325"/>
      <c r="J49" s="1325"/>
      <c r="K49" s="724"/>
      <c r="L49" s="2955"/>
      <c r="M49" s="2956"/>
      <c r="N49" s="2947"/>
      <c r="O49" s="2956"/>
      <c r="P49" s="3289" t="str">
        <f>A49</f>
        <v>估价对象XX用房的比较价值（楼面单价，元/平方米）</v>
      </c>
      <c r="Q49" s="3290"/>
      <c r="R49" s="3332">
        <f>IF(F1="售价",ROUND(IF(D48="简单平均",AVERAGE(R48:V48),R48*F48+T48*H48+V48*J48),0),ROUND(IF(D48="简单平均",AVERAGE(R48:V48),R48*F48+T48*H48+V48*J48),1))</f>
        <v>15850</v>
      </c>
      <c r="S49" s="3332"/>
      <c r="T49" s="3332"/>
      <c r="U49" s="3332"/>
      <c r="V49" s="3332"/>
      <c r="W49" s="3332"/>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2399</v>
      </c>
      <c r="D52" s="455"/>
      <c r="E52" s="456">
        <f>IF(E47&lt;E48,E48/E47-1,E47/E48-1)</f>
        <v>7.1001071001070892E-2</v>
      </c>
      <c r="F52" s="457" t="str">
        <f>IF(OR(E52&gt;=0.3,E52&lt;=-0.3),"超过30%","")</f>
        <v/>
      </c>
      <c r="G52" s="456">
        <f>IF(G47&lt;G48,G48/G47-1,G47/G48-1)</f>
        <v>0.23069349578487475</v>
      </c>
      <c r="H52" s="457" t="str">
        <f>IF(OR(G52&gt;=0.3,G52&lt;=-0.3),"超过30%","")</f>
        <v/>
      </c>
      <c r="I52" s="456">
        <f>IF(I47&lt;I48,I48/I47-1,I47/I48-1)</f>
        <v>0.23168676260858301</v>
      </c>
      <c r="J52" s="457" t="str">
        <f>IF(OR(I52&gt;=0.3,I52&lt;=-0.3),"超过30%","")</f>
        <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2400</v>
      </c>
      <c r="D53" s="458"/>
      <c r="E53" s="456">
        <f>IF(E48&lt;G48,G48/E48-1,E48/G48-1)</f>
        <v>2.3814023814023866E-2</v>
      </c>
      <c r="F53" s="457" t="str">
        <f>IF(OR(E53&gt;=0.2,E53&lt;=-0.2),"超过20%","")</f>
        <v/>
      </c>
      <c r="G53" s="456">
        <f>IF(G48&lt;I48,I48/G48-1,G48/I48-1)</f>
        <v>5.3481135744846364E-2</v>
      </c>
      <c r="H53" s="457" t="str">
        <f>IF(OR(G53&gt;=0.2,G53&lt;=-0.2),"超过20%","")</f>
        <v/>
      </c>
      <c r="I53" s="456">
        <f>IF(I48&lt;E48,E48/I48-1,I48/E48-1)</f>
        <v>2.8977051730844083E-2</v>
      </c>
      <c r="J53" s="457" t="str">
        <f>IF(OR(I53&gt;=0.2,I53&lt;=-0.2),"超过20%","")</f>
        <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2401</v>
      </c>
      <c r="D54" s="458"/>
      <c r="E54" s="456">
        <f>IF(E47&lt;G47,G47/E47-1,E47/G47-1)</f>
        <v>0.17647058823529416</v>
      </c>
      <c r="F54" s="457" t="str">
        <f>IF(OR(E54&gt;=0.3,E54&lt;=-0.3),"超过30%","")</f>
        <v/>
      </c>
      <c r="G54" s="456">
        <f>IF(G47&lt;I47,I47/G47-1,G47/I47-1)</f>
        <v>5.2631578947368363E-2</v>
      </c>
      <c r="H54" s="457" t="str">
        <f>IF(OR(G54&gt;=0.3,G54&lt;=-0.3),"超过30%","")</f>
        <v/>
      </c>
      <c r="I54" s="456">
        <f>IF(I47&lt;E47,E47/I47-1,I47/E47-1)</f>
        <v>0.11764705882352944</v>
      </c>
      <c r="J54" s="457" t="str">
        <f>IF(OR(I54&gt;=0.3,I54&lt;=-0.3),"超过30%","")</f>
        <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2402</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2367</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2404</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2369</v>
      </c>
      <c r="B61" s="467"/>
      <c r="C61" s="479" t="s">
        <v>2406</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2407</v>
      </c>
      <c r="B63" s="485" t="s">
        <v>2373</v>
      </c>
      <c r="C63" s="486" t="str">
        <f>C9</f>
        <v>商业</v>
      </c>
      <c r="D63" s="3091" t="s">
        <v>4165</v>
      </c>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v>115</v>
      </c>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2377</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v>0</v>
      </c>
      <c r="D68" s="506">
        <v>1</v>
      </c>
      <c r="E68" s="506">
        <v>2</v>
      </c>
      <c r="F68" s="506">
        <v>3</v>
      </c>
      <c r="G68" s="506">
        <v>4</v>
      </c>
      <c r="H68" s="506">
        <v>5</v>
      </c>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97</v>
      </c>
      <c r="E69" s="501">
        <f t="shared" si="18"/>
        <v>94</v>
      </c>
      <c r="F69" s="501">
        <f t="shared" si="18"/>
        <v>91</v>
      </c>
      <c r="G69" s="501">
        <f t="shared" si="18"/>
        <v>88</v>
      </c>
      <c r="H69" s="501">
        <f t="shared" si="18"/>
        <v>85</v>
      </c>
      <c r="I69" s="501">
        <f t="shared" si="18"/>
        <v>82</v>
      </c>
      <c r="J69" s="501">
        <f t="shared" si="18"/>
        <v>79</v>
      </c>
      <c r="K69" s="501">
        <f t="shared" si="18"/>
        <v>76</v>
      </c>
      <c r="L69" s="501">
        <f t="shared" si="18"/>
        <v>73</v>
      </c>
      <c r="M69" s="502">
        <f t="shared" si="18"/>
        <v>70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2378</v>
      </c>
      <c r="B76" s="485" t="s">
        <v>2415</v>
      </c>
      <c r="C76" s="530" t="s">
        <v>2416</v>
      </c>
      <c r="D76" s="530" t="s">
        <v>2417</v>
      </c>
      <c r="E76" s="530" t="s">
        <v>2418</v>
      </c>
      <c r="F76" s="530" t="s">
        <v>2419</v>
      </c>
      <c r="G76" s="530" t="s">
        <v>2420</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98</v>
      </c>
      <c r="E77" s="501">
        <f>D77-$K15</f>
        <v>96</v>
      </c>
      <c r="F77" s="501">
        <f>E77-$K15</f>
        <v>94</v>
      </c>
      <c r="G77" s="501">
        <f>F77-$K15</f>
        <v>92</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2421</v>
      </c>
      <c r="C78" s="535" t="s">
        <v>2416</v>
      </c>
      <c r="D78" s="535" t="s">
        <v>2417</v>
      </c>
      <c r="E78" s="535" t="s">
        <v>2418</v>
      </c>
      <c r="F78" s="535" t="s">
        <v>2419</v>
      </c>
      <c r="G78" s="535" t="s">
        <v>2420</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98</v>
      </c>
      <c r="E79" s="501">
        <f>D79-$K17</f>
        <v>96</v>
      </c>
      <c r="F79" s="501">
        <f>E79-$K17</f>
        <v>94</v>
      </c>
      <c r="G79" s="501">
        <f>F79-$K17</f>
        <v>92</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2422</v>
      </c>
      <c r="C80" s="535" t="s">
        <v>2416</v>
      </c>
      <c r="D80" s="535" t="s">
        <v>2417</v>
      </c>
      <c r="E80" s="535" t="s">
        <v>2418</v>
      </c>
      <c r="F80" s="535" t="s">
        <v>2419</v>
      </c>
      <c r="G80" s="535" t="s">
        <v>2420</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98</v>
      </c>
      <c r="E81" s="501">
        <f>D81-$K19</f>
        <v>96</v>
      </c>
      <c r="F81" s="501">
        <f>E81-$K19</f>
        <v>94</v>
      </c>
      <c r="G81" s="501">
        <f>F81-$K19</f>
        <v>92</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2474</v>
      </c>
      <c r="C82" s="616" t="s">
        <v>2494</v>
      </c>
      <c r="D82" s="616" t="s">
        <v>2495</v>
      </c>
      <c r="E82" s="616" t="s">
        <v>2496</v>
      </c>
      <c r="F82" s="616" t="s">
        <v>2497</v>
      </c>
      <c r="G82" s="616" t="s">
        <v>2498</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2428</v>
      </c>
      <c r="C84" s="535" t="s">
        <v>2416</v>
      </c>
      <c r="D84" s="535" t="s">
        <v>2417</v>
      </c>
      <c r="E84" s="535" t="s">
        <v>2418</v>
      </c>
      <c r="F84" s="535" t="s">
        <v>2419</v>
      </c>
      <c r="G84" s="535" t="s">
        <v>2420</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98</v>
      </c>
      <c r="E85" s="501">
        <f>D85-$K23</f>
        <v>96</v>
      </c>
      <c r="F85" s="501">
        <f>E85-$K23</f>
        <v>94</v>
      </c>
      <c r="G85" s="501">
        <f>F85-$K23</f>
        <v>92</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2499</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2382</v>
      </c>
      <c r="B100" s="485" t="s">
        <v>2500</v>
      </c>
      <c r="C100" s="3091" t="s">
        <v>4166</v>
      </c>
      <c r="D100" s="3091" t="s">
        <v>4167</v>
      </c>
      <c r="E100" s="3091" t="s">
        <v>4168</v>
      </c>
      <c r="F100" s="3091" t="s">
        <v>4162</v>
      </c>
      <c r="G100" s="3091"/>
      <c r="H100" s="3091" t="s">
        <v>4194</v>
      </c>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5"/>
      <c r="O101" s="2985"/>
      <c r="P101" s="2975"/>
      <c r="Q101" s="2970"/>
      <c r="R101" s="2956"/>
      <c r="S101" s="2956"/>
      <c r="T101" s="2956"/>
      <c r="U101" s="2956"/>
      <c r="V101" s="2956"/>
      <c r="W101" s="2956"/>
      <c r="X101" s="2956"/>
      <c r="Y101" s="2956"/>
      <c r="Z101" s="2956"/>
      <c r="AA101" s="2956"/>
      <c r="AB101" s="2956"/>
      <c r="AC101" s="2956"/>
    </row>
    <row r="102" spans="1:29" ht="29.25" thickTop="1">
      <c r="A102" s="491"/>
      <c r="B102" s="495" t="s">
        <v>2432</v>
      </c>
      <c r="C102" s="535" t="str">
        <f>C103&amp;"(含)"&amp;"-"&amp;D103</f>
        <v>0(含)-1000000</v>
      </c>
      <c r="D102" s="535" t="str">
        <f t="shared" ref="D102:L102" si="23">D103&amp;"(含)"&amp;"-"&amp;E103</f>
        <v>1000000(含)-2000000</v>
      </c>
      <c r="E102" s="535" t="str">
        <f t="shared" si="23"/>
        <v>2000000(含)-3000000</v>
      </c>
      <c r="F102" s="535" t="str">
        <f t="shared" si="23"/>
        <v>3000000(含)-4000000</v>
      </c>
      <c r="G102" s="535" t="str">
        <f t="shared" si="23"/>
        <v>4000000(含)-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v>0</v>
      </c>
      <c r="D103" s="552">
        <v>1000000</v>
      </c>
      <c r="E103" s="552">
        <v>2000000</v>
      </c>
      <c r="F103" s="552">
        <v>3000000</v>
      </c>
      <c r="G103" s="552">
        <v>4000000</v>
      </c>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v>100</v>
      </c>
      <c r="D104" s="493">
        <f>C104+1</f>
        <v>101</v>
      </c>
      <c r="E104" s="493">
        <f t="shared" ref="E104:G104" si="24">D104+1</f>
        <v>102</v>
      </c>
      <c r="F104" s="493">
        <f t="shared" si="24"/>
        <v>103</v>
      </c>
      <c r="G104" s="493">
        <f t="shared" si="24"/>
        <v>104</v>
      </c>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2433</v>
      </c>
      <c r="C105" s="3094" t="s">
        <v>4195</v>
      </c>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2435</v>
      </c>
      <c r="C107" s="3094" t="s">
        <v>4196</v>
      </c>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6">C108-$K35</f>
        <v>99</v>
      </c>
      <c r="E108" s="501">
        <f t="shared" si="26"/>
        <v>98</v>
      </c>
      <c r="F108" s="501">
        <f t="shared" si="26"/>
        <v>97</v>
      </c>
      <c r="G108" s="501">
        <f t="shared" si="26"/>
        <v>96</v>
      </c>
      <c r="H108" s="501">
        <f t="shared" si="26"/>
        <v>95</v>
      </c>
      <c r="I108" s="501">
        <f t="shared" si="26"/>
        <v>94</v>
      </c>
      <c r="J108" s="501">
        <f t="shared" si="26"/>
        <v>93</v>
      </c>
      <c r="K108" s="501">
        <f t="shared" si="26"/>
        <v>92</v>
      </c>
      <c r="L108" s="501">
        <f t="shared" si="26"/>
        <v>91</v>
      </c>
      <c r="M108" s="502">
        <f t="shared" si="26"/>
        <v>90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2437</v>
      </c>
      <c r="C112" s="3094" t="s">
        <v>4197</v>
      </c>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2501</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2502</v>
      </c>
      <c r="C116" s="511" t="s">
        <v>4159</v>
      </c>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2503</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2504</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2439</v>
      </c>
      <c r="C122" s="3094" t="s">
        <v>4152</v>
      </c>
      <c r="D122" s="3094" t="s">
        <v>4153</v>
      </c>
      <c r="E122" s="3094" t="s">
        <v>4154</v>
      </c>
      <c r="F122" s="3095" t="s">
        <v>4156</v>
      </c>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0" type="noConversion"/>
  <conditionalFormatting sqref="F52 H52">
    <cfRule type="containsText" dxfId="147" priority="20"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9"/>
  <sheetViews>
    <sheetView topLeftCell="A16" workbookViewId="0">
      <selection activeCell="N21" sqref="N21"/>
    </sheetView>
  </sheetViews>
  <sheetFormatPr defaultRowHeight="13.5"/>
  <cols>
    <col min="1" max="1" width="17.625" customWidth="1"/>
    <col min="5" max="5" width="25.375" customWidth="1"/>
  </cols>
  <sheetData>
    <row r="1" spans="1:14">
      <c r="A1" s="3086" t="s">
        <v>4066</v>
      </c>
      <c r="B1" s="3086" t="s">
        <v>4067</v>
      </c>
      <c r="C1" s="3086" t="s">
        <v>4068</v>
      </c>
      <c r="D1" s="3086" t="s">
        <v>4069</v>
      </c>
      <c r="E1" s="3086" t="s">
        <v>4070</v>
      </c>
      <c r="F1" s="3086" t="s">
        <v>4071</v>
      </c>
      <c r="G1" s="3086" t="s">
        <v>4072</v>
      </c>
      <c r="H1" s="3086" t="s">
        <v>4073</v>
      </c>
      <c r="I1" s="3086" t="s">
        <v>4074</v>
      </c>
      <c r="J1" s="3086" t="s">
        <v>4075</v>
      </c>
      <c r="K1" s="3086" t="s">
        <v>4076</v>
      </c>
      <c r="L1" s="3086" t="s">
        <v>4077</v>
      </c>
      <c r="M1" s="3086" t="s">
        <v>4078</v>
      </c>
      <c r="N1" s="3086" t="s">
        <v>4079</v>
      </c>
    </row>
    <row r="2" spans="1:14">
      <c r="A2" s="3086" t="s">
        <v>4080</v>
      </c>
      <c r="B2" s="3086" t="s">
        <v>4081</v>
      </c>
      <c r="C2" s="3086">
        <v>24533.33</v>
      </c>
      <c r="D2" s="3086">
        <v>73599.990000000005</v>
      </c>
      <c r="E2" s="3086" t="s">
        <v>4082</v>
      </c>
      <c r="F2" s="3086" t="s">
        <v>4083</v>
      </c>
      <c r="G2" s="3086" t="s">
        <v>4084</v>
      </c>
      <c r="H2" s="3086" t="s">
        <v>4085</v>
      </c>
      <c r="I2" s="3086" t="s">
        <v>4085</v>
      </c>
      <c r="J2" s="3086">
        <v>4982</v>
      </c>
      <c r="K2" s="3086">
        <v>4982</v>
      </c>
      <c r="L2" s="3086">
        <v>676.89</v>
      </c>
      <c r="M2" s="3086">
        <v>0</v>
      </c>
      <c r="N2" s="3086" t="s">
        <v>4086</v>
      </c>
    </row>
    <row r="3" spans="1:14" s="3090" customFormat="1">
      <c r="A3" s="3089" t="s">
        <v>4087</v>
      </c>
      <c r="B3" s="3089" t="s">
        <v>4081</v>
      </c>
      <c r="C3" s="3089">
        <v>13533.78</v>
      </c>
      <c r="D3" s="3089">
        <v>20300.669999999998</v>
      </c>
      <c r="E3" s="3089" t="s">
        <v>4088</v>
      </c>
      <c r="F3" s="3089" t="s">
        <v>4083</v>
      </c>
      <c r="G3" s="3089" t="s">
        <v>4084</v>
      </c>
      <c r="H3" s="3089" t="s">
        <v>4089</v>
      </c>
      <c r="I3" s="3089" t="s">
        <v>4089</v>
      </c>
      <c r="J3" s="3089">
        <v>1869</v>
      </c>
      <c r="K3" s="3089">
        <v>1869</v>
      </c>
      <c r="L3" s="3089">
        <v>920.65</v>
      </c>
      <c r="M3" s="3089">
        <v>0</v>
      </c>
      <c r="N3" s="3089" t="s">
        <v>4090</v>
      </c>
    </row>
    <row r="4" spans="1:14">
      <c r="A4" s="3086" t="s">
        <v>4091</v>
      </c>
      <c r="B4" s="3086" t="s">
        <v>4081</v>
      </c>
      <c r="C4" s="3086">
        <v>4851.9799999999996</v>
      </c>
      <c r="D4" s="3086">
        <v>2911.19</v>
      </c>
      <c r="E4" s="3086" t="s">
        <v>4092</v>
      </c>
      <c r="F4" s="3086" t="s">
        <v>4083</v>
      </c>
      <c r="G4" s="3086" t="s">
        <v>4084</v>
      </c>
      <c r="H4" s="3086" t="s">
        <v>4089</v>
      </c>
      <c r="I4" s="3086" t="s">
        <v>4089</v>
      </c>
      <c r="J4" s="3086">
        <v>525.49</v>
      </c>
      <c r="K4" s="3086">
        <v>525.49</v>
      </c>
      <c r="L4" s="3086">
        <v>1805.06</v>
      </c>
      <c r="M4" s="3086">
        <v>0</v>
      </c>
      <c r="N4" s="3086" t="s">
        <v>4093</v>
      </c>
    </row>
    <row r="5" spans="1:14">
      <c r="A5" s="3086" t="s">
        <v>4094</v>
      </c>
      <c r="B5" s="3086" t="s">
        <v>4081</v>
      </c>
      <c r="C5" s="3086">
        <v>2666</v>
      </c>
      <c r="D5" s="3086">
        <v>7998</v>
      </c>
      <c r="E5" s="3086" t="s">
        <v>4095</v>
      </c>
      <c r="F5" s="3086" t="s">
        <v>4083</v>
      </c>
      <c r="G5" s="3086" t="s">
        <v>4096</v>
      </c>
      <c r="H5" s="3086" t="s">
        <v>4097</v>
      </c>
      <c r="I5" s="3086" t="s">
        <v>4097</v>
      </c>
      <c r="J5" s="3086">
        <v>532</v>
      </c>
      <c r="K5" s="3086">
        <v>532</v>
      </c>
      <c r="L5" s="3086">
        <v>665.16</v>
      </c>
      <c r="M5" s="3086">
        <v>0</v>
      </c>
      <c r="N5" s="3086" t="s">
        <v>4098</v>
      </c>
    </row>
    <row r="6" spans="1:14" s="3090" customFormat="1">
      <c r="A6" s="3089" t="s">
        <v>4099</v>
      </c>
      <c r="B6" s="3089" t="s">
        <v>4081</v>
      </c>
      <c r="C6" s="3089">
        <v>8080.6</v>
      </c>
      <c r="D6" s="3089">
        <v>28282.1</v>
      </c>
      <c r="E6" s="3089" t="s">
        <v>4100</v>
      </c>
      <c r="F6" s="3089" t="s">
        <v>4083</v>
      </c>
      <c r="G6" s="3089" t="s">
        <v>4084</v>
      </c>
      <c r="H6" s="3089" t="s">
        <v>4101</v>
      </c>
      <c r="I6" s="3089" t="s">
        <v>4101</v>
      </c>
      <c r="J6" s="3089">
        <v>3382</v>
      </c>
      <c r="K6" s="3089">
        <v>3382</v>
      </c>
      <c r="L6" s="3089">
        <v>1195.8</v>
      </c>
      <c r="M6" s="3089">
        <v>0</v>
      </c>
      <c r="N6" s="3089" t="s">
        <v>4102</v>
      </c>
    </row>
    <row r="7" spans="1:14">
      <c r="A7" s="3086" t="s">
        <v>4091</v>
      </c>
      <c r="B7" s="3086" t="s">
        <v>4081</v>
      </c>
      <c r="C7" s="3086">
        <v>3057.26</v>
      </c>
      <c r="D7" s="3086">
        <v>1834.36</v>
      </c>
      <c r="E7" s="3086" t="s">
        <v>4092</v>
      </c>
      <c r="F7" s="3086" t="s">
        <v>4083</v>
      </c>
      <c r="G7" s="3086" t="s">
        <v>4084</v>
      </c>
      <c r="H7" s="3086" t="s">
        <v>4101</v>
      </c>
      <c r="I7" s="3086" t="s">
        <v>4101</v>
      </c>
      <c r="J7" s="3086">
        <v>742</v>
      </c>
      <c r="K7" s="3086">
        <v>742</v>
      </c>
      <c r="L7" s="3086">
        <v>4045.01</v>
      </c>
      <c r="M7" s="3086">
        <v>0</v>
      </c>
      <c r="N7" s="3086" t="s">
        <v>4103</v>
      </c>
    </row>
    <row r="8" spans="1:14">
      <c r="A8" s="3086" t="s">
        <v>4104</v>
      </c>
      <c r="B8" s="3086" t="s">
        <v>4081</v>
      </c>
      <c r="C8" s="3086">
        <v>18744.47</v>
      </c>
      <c r="D8" s="3086">
        <v>67480.09</v>
      </c>
      <c r="E8" s="3086" t="s">
        <v>4105</v>
      </c>
      <c r="F8" s="3086" t="s">
        <v>4083</v>
      </c>
      <c r="G8" s="3086" t="s">
        <v>4084</v>
      </c>
      <c r="H8" s="3086" t="s">
        <v>4101</v>
      </c>
      <c r="I8" s="3086" t="s">
        <v>4101</v>
      </c>
      <c r="J8" s="3086">
        <v>6394</v>
      </c>
      <c r="K8" s="3086">
        <v>6394</v>
      </c>
      <c r="L8" s="3086">
        <v>947.53</v>
      </c>
      <c r="M8" s="3086">
        <v>0</v>
      </c>
      <c r="N8" s="3086" t="s">
        <v>4106</v>
      </c>
    </row>
    <row r="9" spans="1:14">
      <c r="A9" s="3086" t="s">
        <v>4107</v>
      </c>
      <c r="B9" s="3086" t="s">
        <v>4081</v>
      </c>
      <c r="C9" s="3086">
        <v>42979.25</v>
      </c>
      <c r="D9" s="3086">
        <v>64468.88</v>
      </c>
      <c r="E9" s="3086" t="s">
        <v>4108</v>
      </c>
      <c r="F9" s="3086" t="s">
        <v>4083</v>
      </c>
      <c r="G9" s="3086" t="s">
        <v>4084</v>
      </c>
      <c r="H9" s="3086" t="s">
        <v>4109</v>
      </c>
      <c r="I9" s="3086" t="s">
        <v>4109</v>
      </c>
      <c r="J9" s="3086">
        <v>5887</v>
      </c>
      <c r="K9" s="3086">
        <v>5887</v>
      </c>
      <c r="L9" s="3086">
        <v>913.14</v>
      </c>
      <c r="M9" s="3086">
        <v>0</v>
      </c>
      <c r="N9" s="3086" t="s">
        <v>4110</v>
      </c>
    </row>
    <row r="10" spans="1:14">
      <c r="A10" s="3086" t="s">
        <v>4111</v>
      </c>
      <c r="B10" s="3086" t="s">
        <v>4081</v>
      </c>
      <c r="C10" s="3086">
        <v>5440.04</v>
      </c>
      <c r="D10" s="3086">
        <v>16320.12</v>
      </c>
      <c r="E10" s="3086" t="s">
        <v>4095</v>
      </c>
      <c r="F10" s="3086" t="s">
        <v>4083</v>
      </c>
      <c r="G10" s="3086" t="s">
        <v>4084</v>
      </c>
      <c r="H10" s="3086" t="s">
        <v>4112</v>
      </c>
      <c r="I10" s="3086" t="s">
        <v>4112</v>
      </c>
      <c r="J10" s="3086">
        <v>1664</v>
      </c>
      <c r="K10" s="3086">
        <v>1664</v>
      </c>
      <c r="L10" s="3086">
        <v>1019.6</v>
      </c>
      <c r="M10" s="3086">
        <v>0</v>
      </c>
      <c r="N10" s="3086" t="s">
        <v>4113</v>
      </c>
    </row>
    <row r="11" spans="1:14" s="3090" customFormat="1">
      <c r="A11" s="3089" t="s">
        <v>4114</v>
      </c>
      <c r="B11" s="3089" t="s">
        <v>4081</v>
      </c>
      <c r="C11" s="3089">
        <v>41467.11</v>
      </c>
      <c r="D11" s="3089">
        <v>62200.67</v>
      </c>
      <c r="E11" s="3089" t="s">
        <v>4115</v>
      </c>
      <c r="F11" s="3089" t="s">
        <v>4083</v>
      </c>
      <c r="G11" s="3089" t="s">
        <v>4084</v>
      </c>
      <c r="H11" s="3089" t="s">
        <v>4116</v>
      </c>
      <c r="I11" s="3089" t="s">
        <v>4116</v>
      </c>
      <c r="J11" s="3089">
        <v>6632</v>
      </c>
      <c r="K11" s="3089">
        <v>6632</v>
      </c>
      <c r="L11" s="3089">
        <v>1066.23</v>
      </c>
      <c r="M11" s="3089">
        <v>0</v>
      </c>
      <c r="N11" s="3089" t="s">
        <v>4117</v>
      </c>
    </row>
    <row r="12" spans="1:14">
      <c r="A12" s="3086" t="s">
        <v>4118</v>
      </c>
      <c r="B12" s="3086" t="s">
        <v>4081</v>
      </c>
      <c r="C12" s="3086">
        <v>58794.07</v>
      </c>
      <c r="D12" s="3086">
        <v>88191.11</v>
      </c>
      <c r="E12" s="3086" t="s">
        <v>4115</v>
      </c>
      <c r="F12" s="3086" t="s">
        <v>4083</v>
      </c>
      <c r="G12" s="3086" t="s">
        <v>4084</v>
      </c>
      <c r="H12" s="3086" t="s">
        <v>4116</v>
      </c>
      <c r="I12" s="3086" t="s">
        <v>4116</v>
      </c>
      <c r="J12" s="3086">
        <v>9454</v>
      </c>
      <c r="K12" s="3086">
        <v>9454</v>
      </c>
      <c r="L12" s="3086">
        <v>1071.99</v>
      </c>
      <c r="M12" s="3086">
        <v>0</v>
      </c>
      <c r="N12" s="3086" t="s">
        <v>4119</v>
      </c>
    </row>
    <row r="13" spans="1:14">
      <c r="A13" s="3086" t="s">
        <v>4120</v>
      </c>
      <c r="B13" s="3086" t="s">
        <v>4081</v>
      </c>
      <c r="C13" s="3086">
        <v>47776.19</v>
      </c>
      <c r="D13" s="3086">
        <v>71664.289999999994</v>
      </c>
      <c r="E13" s="3086" t="s">
        <v>4115</v>
      </c>
      <c r="F13" s="3086" t="s">
        <v>4083</v>
      </c>
      <c r="G13" s="3086" t="s">
        <v>4084</v>
      </c>
      <c r="H13" s="3086" t="s">
        <v>4116</v>
      </c>
      <c r="I13" s="3086" t="s">
        <v>4116</v>
      </c>
      <c r="J13" s="3086">
        <v>7682</v>
      </c>
      <c r="K13" s="3086">
        <v>7682</v>
      </c>
      <c r="L13" s="3086">
        <v>1071.94</v>
      </c>
      <c r="M13" s="3086">
        <v>0</v>
      </c>
      <c r="N13" s="3086" t="s">
        <v>4121</v>
      </c>
    </row>
    <row r="14" spans="1:14">
      <c r="A14" s="3086" t="s">
        <v>4122</v>
      </c>
      <c r="B14" s="3086" t="s">
        <v>4081</v>
      </c>
      <c r="C14" s="3086">
        <v>7737.82</v>
      </c>
      <c r="D14" s="3086">
        <v>30951.279999999999</v>
      </c>
      <c r="E14" s="3086" t="s">
        <v>4123</v>
      </c>
      <c r="F14" s="3086" t="s">
        <v>4083</v>
      </c>
      <c r="G14" s="3086" t="s">
        <v>4084</v>
      </c>
      <c r="H14" s="3086" t="s">
        <v>4124</v>
      </c>
      <c r="I14" s="3086" t="s">
        <v>4124</v>
      </c>
      <c r="J14" s="3086">
        <v>2316</v>
      </c>
      <c r="K14" s="3086">
        <v>2316</v>
      </c>
      <c r="L14" s="3086">
        <v>748.26</v>
      </c>
      <c r="M14" s="3086">
        <v>0</v>
      </c>
      <c r="N14" s="3086" t="s">
        <v>4125</v>
      </c>
    </row>
    <row r="15" spans="1:14">
      <c r="A15" s="3086" t="s">
        <v>4126</v>
      </c>
      <c r="B15" s="3086" t="s">
        <v>4081</v>
      </c>
      <c r="C15" s="3086">
        <v>16766.509999999998</v>
      </c>
      <c r="D15" s="3086">
        <v>50299.53</v>
      </c>
      <c r="E15" s="3086" t="s">
        <v>4095</v>
      </c>
      <c r="F15" s="3086" t="s">
        <v>4083</v>
      </c>
      <c r="G15" s="3086" t="s">
        <v>4084</v>
      </c>
      <c r="H15" s="3086" t="s">
        <v>4127</v>
      </c>
      <c r="I15" s="3086" t="s">
        <v>4127</v>
      </c>
      <c r="J15" s="3086">
        <v>3270</v>
      </c>
      <c r="K15" s="3086">
        <v>3270</v>
      </c>
      <c r="L15" s="3086">
        <v>650.11</v>
      </c>
      <c r="M15" s="3086">
        <v>0</v>
      </c>
      <c r="N15" s="3086" t="s">
        <v>4128</v>
      </c>
    </row>
    <row r="16" spans="1:14">
      <c r="A16" s="3086" t="s">
        <v>4126</v>
      </c>
      <c r="B16" s="3086" t="s">
        <v>4081</v>
      </c>
      <c r="C16" s="3086">
        <v>34972.07</v>
      </c>
      <c r="D16" s="3086">
        <v>104916.21</v>
      </c>
      <c r="E16" s="3086" t="s">
        <v>4095</v>
      </c>
      <c r="F16" s="3086" t="s">
        <v>4083</v>
      </c>
      <c r="G16" s="3086" t="s">
        <v>4084</v>
      </c>
      <c r="H16" s="3086" t="s">
        <v>4127</v>
      </c>
      <c r="I16" s="3086" t="s">
        <v>4127</v>
      </c>
      <c r="J16" s="3086">
        <v>6820</v>
      </c>
      <c r="K16" s="3086">
        <v>6820</v>
      </c>
      <c r="L16" s="3086">
        <v>650.03</v>
      </c>
      <c r="M16" s="3086">
        <v>0</v>
      </c>
      <c r="N16" s="3086" t="s">
        <v>4129</v>
      </c>
    </row>
    <row r="17" spans="1:14" s="3088" customFormat="1">
      <c r="A17" s="3087" t="s">
        <v>4130</v>
      </c>
      <c r="B17" s="3087" t="s">
        <v>4081</v>
      </c>
      <c r="C17" s="3087">
        <v>65562.990000000005</v>
      </c>
      <c r="D17" s="3087">
        <v>98344.49</v>
      </c>
      <c r="E17" s="3087" t="s">
        <v>4131</v>
      </c>
      <c r="F17" s="3087" t="s">
        <v>4083</v>
      </c>
      <c r="G17" s="3087" t="s">
        <v>4084</v>
      </c>
      <c r="H17" s="3087" t="s">
        <v>4132</v>
      </c>
      <c r="I17" s="3087" t="s">
        <v>4132</v>
      </c>
      <c r="J17" s="3087">
        <v>12152</v>
      </c>
      <c r="K17" s="3087">
        <v>12152</v>
      </c>
      <c r="L17" s="3087">
        <v>1235.6600000000001</v>
      </c>
      <c r="M17" s="3087">
        <v>0</v>
      </c>
      <c r="N17" s="3087" t="s">
        <v>4133</v>
      </c>
    </row>
    <row r="18" spans="1:14" s="3088" customFormat="1">
      <c r="A18" s="3087" t="s">
        <v>4130</v>
      </c>
      <c r="B18" s="3087" t="s">
        <v>4081</v>
      </c>
      <c r="C18" s="3087">
        <v>69558.820000000007</v>
      </c>
      <c r="D18" s="3087">
        <v>104338.23</v>
      </c>
      <c r="E18" s="3087" t="s">
        <v>4131</v>
      </c>
      <c r="F18" s="3087" t="s">
        <v>4083</v>
      </c>
      <c r="G18" s="3087" t="s">
        <v>4084</v>
      </c>
      <c r="H18" s="3087" t="s">
        <v>4132</v>
      </c>
      <c r="I18" s="3087" t="s">
        <v>4132</v>
      </c>
      <c r="J18" s="3087">
        <v>12892</v>
      </c>
      <c r="K18" s="3087">
        <v>12892</v>
      </c>
      <c r="L18" s="3087">
        <v>1235.5899999999999</v>
      </c>
      <c r="M18" s="3087">
        <v>0</v>
      </c>
      <c r="N18" s="3087" t="s">
        <v>4133</v>
      </c>
    </row>
    <row r="19" spans="1:14" s="3088" customFormat="1">
      <c r="A19" s="3087" t="s">
        <v>4130</v>
      </c>
      <c r="B19" s="3087" t="s">
        <v>4081</v>
      </c>
      <c r="C19" s="3087">
        <v>64878.07</v>
      </c>
      <c r="D19" s="3087">
        <v>97317.11</v>
      </c>
      <c r="E19" s="3087" t="s">
        <v>4131</v>
      </c>
      <c r="F19" s="3087" t="s">
        <v>4083</v>
      </c>
      <c r="G19" s="3087" t="s">
        <v>4084</v>
      </c>
      <c r="H19" s="3087" t="s">
        <v>4132</v>
      </c>
      <c r="I19" s="3087" t="s">
        <v>4132</v>
      </c>
      <c r="J19" s="3087">
        <v>12025</v>
      </c>
      <c r="K19" s="3087">
        <v>12025</v>
      </c>
      <c r="L19" s="3087">
        <v>1235.6500000000001</v>
      </c>
      <c r="M19" s="3087">
        <v>0</v>
      </c>
      <c r="N19" s="3087" t="s">
        <v>4133</v>
      </c>
    </row>
  </sheetData>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Normal="70" zoomScaleSheetLayoutView="100" workbookViewId="0">
      <selection activeCell="D6" sqref="D6"/>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8</v>
      </c>
    </row>
    <row r="2" spans="1:33" ht="18" customHeight="1">
      <c r="A2" s="207" t="s">
        <v>2149</v>
      </c>
      <c r="B2" s="210">
        <f ca="1">C32</f>
        <v>56309</v>
      </c>
      <c r="C2" s="282" t="s">
        <v>2282</v>
      </c>
      <c r="D2" s="282"/>
      <c r="E2" s="3039"/>
      <c r="F2" s="3039"/>
      <c r="G2" s="3039"/>
      <c r="H2" s="3039"/>
      <c r="I2" s="3039"/>
      <c r="J2" s="3039"/>
      <c r="K2" s="3039"/>
    </row>
    <row r="3" spans="1:33" ht="18" customHeight="1" thickBot="1">
      <c r="A3" s="209" t="s">
        <v>2151</v>
      </c>
      <c r="B3" s="210">
        <f ca="1">ROUND(B2*10000/IF(C1="",'数据-汇总表'!E3,INDIRECT("'数据-取费表'!K"&amp;$K$1)),0)</f>
        <v>9641</v>
      </c>
      <c r="C3" s="282" t="s">
        <v>2283</v>
      </c>
      <c r="D3" s="282"/>
      <c r="E3" s="3039"/>
      <c r="F3" s="3039"/>
      <c r="G3" s="3039"/>
      <c r="H3" s="3039"/>
      <c r="I3" s="3039"/>
      <c r="J3" s="3039"/>
      <c r="K3" s="3039"/>
    </row>
    <row r="4" spans="1:33" s="893" customFormat="1" ht="16.5" customHeight="1">
      <c r="A4" s="890" t="s">
        <v>2284</v>
      </c>
      <c r="B4" s="891"/>
      <c r="C4" s="933">
        <f>SUM(C8:K8)</f>
        <v>61716</v>
      </c>
      <c r="D4" s="891"/>
      <c r="E4" s="891"/>
      <c r="F4" s="891"/>
      <c r="G4" s="891"/>
      <c r="H4" s="891"/>
      <c r="I4" s="891"/>
      <c r="J4" s="891"/>
      <c r="K4" s="892"/>
    </row>
    <row r="5" spans="1:33" s="897" customFormat="1" ht="15">
      <c r="A5" s="894" t="s">
        <v>2285</v>
      </c>
      <c r="B5" s="895" t="s">
        <v>2286</v>
      </c>
      <c r="C5" s="2048" t="s">
        <v>4144</v>
      </c>
      <c r="D5" s="2048" t="s">
        <v>4036</v>
      </c>
      <c r="E5" s="2048"/>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'比较法-商业（公寓）'!B3</f>
        <v>7648</v>
      </c>
      <c r="D6" s="899">
        <f>'比较法-商业(合院)'!B3</f>
        <v>15850</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37615.929999999993</v>
      </c>
      <c r="D7" s="283">
        <f>SUMIF('数据-汇总表'!$C19:$C33,假设开发法!D5,'数据-汇总表'!$E19:$E33)</f>
        <v>20786.89</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f>'比较法-商业（公寓）'!B2</f>
        <v>28769</v>
      </c>
      <c r="D8" s="934">
        <f>'比较法-商业(合院)'!B2</f>
        <v>32947</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58402.819999999992</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58402.819999999992</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0</v>
      </c>
      <c r="D20" s="955">
        <f ca="1">IF(C1="",'数据-汇总表'!E6,IF(INDIRECT("'数据-取费表'!c"&amp;$K$1)="住宅",INDIRECT("'数据-取费表'!s"&amp;$K$1),INDIRECT("'数据-取费表'!k"&amp;$K$1)+INDIRECT("'数据-取费表'!s"&amp;$K$1)))</f>
        <v>58402.819999999992</v>
      </c>
      <c r="E20" s="24">
        <f>'数据-取费表'!B28</f>
        <v>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2.5000000000000001E-2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2.5000000000000001E-2</v>
      </c>
      <c r="G23" s="8" t="s">
        <v>2320</v>
      </c>
      <c r="H23" s="905"/>
      <c r="I23" s="905"/>
      <c r="J23" s="905"/>
      <c r="K23" s="906"/>
    </row>
    <row r="24" spans="1:33" s="912" customFormat="1" ht="13.5" customHeight="1">
      <c r="A24" s="898" t="s">
        <v>2321</v>
      </c>
      <c r="B24" s="922" t="s">
        <v>2322</v>
      </c>
      <c r="C24" s="286">
        <f>ROUND(F24/(1+'数据-取费表'!C42),4)</f>
        <v>3.8600000000000002E-2</v>
      </c>
      <c r="D24" s="287" t="s">
        <v>15</v>
      </c>
      <c r="E24" s="287"/>
      <c r="F24" s="925">
        <f>IF(项目基本情况!B8="出让",0,'数据-取费表'!B48+'数据-取费表'!B49)</f>
        <v>4.0500000000000001E-2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2328</v>
      </c>
      <c r="B28" s="2053" t="s">
        <v>2329</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4" t="s">
        <v>2333</v>
      </c>
      <c r="B31" s="942" t="s">
        <v>2334</v>
      </c>
      <c r="C31" s="943">
        <f>ROUND(C4*F31/(1+'数据-取费表'!C42),0)</f>
        <v>3233</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56309</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估价对象为房地产，为所有。根据《国有土地使用证》[]，估价对象（分摊）出让国有建设用地使用权面积为38935.21平方米，建筑面积为58402.82平方米。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估价对象为房地产,属开发建设的，该项目尚在开发建设中。根据《国有土地使用证》[]，估价对象（分摊）出让国有建设用地使用权面积为38935.21平方米，规划建筑面积为58402.82平方米。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2020年11月18日（评估专业人员实地查勘之日）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18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本次评估采用的主估价方法为基准地价系数修正法和基准地价系数修正法。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O20" sqref="O20"/>
    </sheetView>
  </sheetViews>
  <sheetFormatPr defaultRowHeight="13.5"/>
  <sheetData/>
  <phoneticPr fontId="14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7"/>
      <c r="H2" s="2926"/>
      <c r="I2" s="2926"/>
      <c r="J2" s="2926"/>
      <c r="K2" s="2927"/>
      <c r="L2" s="2926"/>
      <c r="M2" s="2926"/>
    </row>
    <row r="3" spans="1:37" ht="18" customHeight="1" thickBot="1">
      <c r="A3" s="1576" t="s">
        <v>1482</v>
      </c>
      <c r="B3" s="1577">
        <f ca="1">IF(ISERROR(B2*10000/F43),0,ROUND(B2*10000/F43,0))</f>
        <v>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343" t="s">
        <v>1368</v>
      </c>
      <c r="C6" s="1206">
        <f ca="1">ROUND(F6*F8*F7*(1-F9)/10000,0)</f>
        <v>0</v>
      </c>
      <c r="D6" s="160" t="s">
        <v>2849</v>
      </c>
      <c r="E6" s="308" t="s">
        <v>1370</v>
      </c>
      <c r="F6" s="309">
        <f ca="1">INDIRECT("'数据-取费表'!u"&amp;$G$1)</f>
        <v>0</v>
      </c>
      <c r="G6" s="1570"/>
      <c r="H6" s="1201" t="s">
        <v>1003</v>
      </c>
      <c r="I6" s="3343" t="s">
        <v>1368</v>
      </c>
      <c r="J6" s="307">
        <f ca="1">ROUND(M6*M8*M7*(1-M9)/10000,0)</f>
        <v>0</v>
      </c>
      <c r="K6" s="160" t="s">
        <v>2848</v>
      </c>
      <c r="L6" s="308" t="s">
        <v>1370</v>
      </c>
      <c r="M6" s="309">
        <f ca="1">INDIRECT("'数据-取费表'!z"&amp;$G$1)</f>
        <v>0</v>
      </c>
    </row>
    <row r="7" spans="1:37" ht="18" customHeight="1">
      <c r="A7" s="1205"/>
      <c r="B7" s="3344"/>
      <c r="C7" s="1207"/>
      <c r="D7" s="313"/>
      <c r="E7" s="1208" t="s">
        <v>1371</v>
      </c>
      <c r="F7" s="309">
        <f ca="1">IF(INDIRECT("'数据-取费表'!ah"&amp;$G$1)="",INDIRECT("'数据-取费表'!k"&amp;$G$1),INDIRECT("'数据-取费表'!ah"&amp;$G$1))</f>
        <v>0</v>
      </c>
      <c r="G7" s="1570"/>
      <c r="H7" s="310"/>
      <c r="I7" s="3344"/>
      <c r="J7" s="312"/>
      <c r="K7" s="313"/>
      <c r="L7" s="308" t="s">
        <v>1371</v>
      </c>
      <c r="M7" s="309">
        <f ca="1">F7</f>
        <v>0</v>
      </c>
    </row>
    <row r="8" spans="1:37" ht="18" customHeight="1">
      <c r="A8" s="310"/>
      <c r="B8" s="3344"/>
      <c r="C8" s="312"/>
      <c r="D8" s="313"/>
      <c r="E8" s="308" t="s">
        <v>1372</v>
      </c>
      <c r="F8" s="309">
        <f ca="1">INDIRECT("'数据-取费表'!ai"&amp;$G$1)</f>
        <v>0</v>
      </c>
      <c r="G8" s="1570"/>
      <c r="H8" s="310"/>
      <c r="I8" s="3344"/>
      <c r="J8" s="312"/>
      <c r="K8" s="313"/>
      <c r="L8" s="308" t="s">
        <v>1372</v>
      </c>
      <c r="M8" s="309">
        <f ca="1">INDIRECT("'数据-取费表'!ai"&amp;$G$1)</f>
        <v>0</v>
      </c>
    </row>
    <row r="9" spans="1:37" ht="18" customHeight="1">
      <c r="A9" s="310"/>
      <c r="B9" s="3345"/>
      <c r="C9" s="312"/>
      <c r="D9" s="313"/>
      <c r="E9" s="308" t="s">
        <v>1373</v>
      </c>
      <c r="F9" s="318">
        <f ca="1">INDIRECT("'数据-取费表'!w"&amp;$G$1)</f>
        <v>0</v>
      </c>
      <c r="G9" s="1570"/>
      <c r="H9" s="310"/>
      <c r="I9" s="3345"/>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2.5000000000000001E-2</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2.5000000000000001E-2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1.8E-3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3057</v>
      </c>
      <c r="I31" s="1584"/>
      <c r="J31" s="1585"/>
      <c r="K31" s="2703"/>
      <c r="L31" s="2929"/>
      <c r="M31" s="2930"/>
    </row>
    <row r="32" spans="1:37" ht="18" customHeight="1">
      <c r="A32" s="1113" t="s">
        <v>1002</v>
      </c>
      <c r="B32" s="308" t="s">
        <v>1398</v>
      </c>
      <c r="C32" s="24">
        <f ca="1">IF(项目基本情况!B11="自然人","——",ROUND(C6*F32/(1+'数据-取费表'!C42),2))</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ROUND(C13*F37,1)</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0</v>
      </c>
      <c r="K53" s="3341" t="s">
        <v>1513</v>
      </c>
      <c r="L53" s="3342"/>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43" t="s">
        <v>1368</v>
      </c>
      <c r="C6" s="1206">
        <f ca="1">ROUND(F6*F8*F7*(1-F9),0)</f>
        <v>0</v>
      </c>
      <c r="D6" s="160" t="s">
        <v>2846</v>
      </c>
      <c r="E6" s="308" t="s">
        <v>1370</v>
      </c>
      <c r="F6" s="309">
        <f ca="1">INDIRECT("'数据-取费表'!u"&amp;$G$1)</f>
        <v>0</v>
      </c>
      <c r="G6" s="1570"/>
      <c r="H6" s="1201" t="s">
        <v>1003</v>
      </c>
      <c r="I6" s="3343" t="s">
        <v>1368</v>
      </c>
      <c r="J6" s="307">
        <f ca="1">ROUND(M6*M8*M7*(1-M9),0)</f>
        <v>0</v>
      </c>
      <c r="K6" s="1562" t="s">
        <v>2847</v>
      </c>
      <c r="L6" s="308" t="s">
        <v>1370</v>
      </c>
      <c r="M6" s="309">
        <f ca="1">INDIRECT("'数据-取费表'!z"&amp;$G$1)</f>
        <v>0</v>
      </c>
    </row>
    <row r="7" spans="1:37" ht="18" customHeight="1">
      <c r="A7" s="1205"/>
      <c r="B7" s="3344"/>
      <c r="C7" s="1207"/>
      <c r="D7" s="313"/>
      <c r="E7" s="1208" t="s">
        <v>1371</v>
      </c>
      <c r="F7" s="309">
        <f ca="1">IF(INDIRECT("'数据-取费表'!ah"&amp;$G$1)="",INDIRECT("'数据-取费表'!k"&amp;$G$1),INDIRECT("'数据-取费表'!ah"&amp;$G$1))</f>
        <v>0</v>
      </c>
      <c r="G7" s="1570"/>
      <c r="H7" s="310"/>
      <c r="I7" s="3344"/>
      <c r="J7" s="312"/>
      <c r="K7" s="313"/>
      <c r="L7" s="308" t="s">
        <v>1371</v>
      </c>
      <c r="M7" s="309">
        <f ca="1">F7</f>
        <v>0</v>
      </c>
    </row>
    <row r="8" spans="1:37" ht="18" customHeight="1">
      <c r="A8" s="310"/>
      <c r="B8" s="3344"/>
      <c r="C8" s="312"/>
      <c r="D8" s="313"/>
      <c r="E8" s="308" t="s">
        <v>1372</v>
      </c>
      <c r="F8" s="309">
        <f ca="1">INDIRECT("'数据-取费表'!ai"&amp;$G$1)</f>
        <v>0</v>
      </c>
      <c r="G8" s="1570"/>
      <c r="H8" s="310"/>
      <c r="I8" s="3344"/>
      <c r="J8" s="312"/>
      <c r="K8" s="313"/>
      <c r="L8" s="308" t="s">
        <v>1372</v>
      </c>
      <c r="M8" s="309">
        <f ca="1">INDIRECT("'数据-取费表'!ai"&amp;$G$1)</f>
        <v>0</v>
      </c>
    </row>
    <row r="9" spans="1:37" ht="18" customHeight="1">
      <c r="A9" s="310"/>
      <c r="B9" s="3345"/>
      <c r="C9" s="312"/>
      <c r="D9" s="313"/>
      <c r="E9" s="308" t="s">
        <v>1373</v>
      </c>
      <c r="F9" s="318">
        <f ca="1">INDIRECT("'数据-取费表'!w"&amp;$G$1)</f>
        <v>0</v>
      </c>
      <c r="G9" s="1570"/>
      <c r="H9" s="310"/>
      <c r="I9" s="3345"/>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2.5000000000000001E-2</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2.5000000000000001E-2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1.8E-3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3057</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341" t="s">
        <v>1513</v>
      </c>
      <c r="L53" s="3342"/>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0</v>
      </c>
      <c r="C2" s="2060" t="s">
        <v>2338</v>
      </c>
      <c r="D2" s="2061" t="s">
        <v>2339</v>
      </c>
      <c r="E2" s="2835">
        <f>SUM(E6:E13)</f>
        <v>0</v>
      </c>
      <c r="F2" s="2938"/>
      <c r="G2" s="1676"/>
      <c r="H2" s="1676"/>
      <c r="I2" s="1676"/>
      <c r="J2" s="1676"/>
      <c r="K2" s="1676"/>
      <c r="L2" s="1676"/>
      <c r="M2" s="1676"/>
      <c r="N2" s="1676"/>
      <c r="O2" s="1676"/>
      <c r="P2" s="1676"/>
      <c r="Q2" s="1676"/>
      <c r="R2" s="1676"/>
      <c r="S2" s="1676"/>
    </row>
    <row r="3" spans="1:22" ht="15.75">
      <c r="A3" s="2058" t="s">
        <v>1360</v>
      </c>
      <c r="B3" s="2829" t="e">
        <f ca="1">ROUND(B2*10000/E2,0)</f>
        <v>#DIV/0!</v>
      </c>
      <c r="C3" s="2060" t="s">
        <v>2346</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2340</v>
      </c>
      <c r="B5" s="3346" t="s">
        <v>2341</v>
      </c>
      <c r="C5" s="3347"/>
      <c r="D5" s="2939"/>
      <c r="E5" s="2062" t="s">
        <v>2342</v>
      </c>
      <c r="F5" s="2063" t="s">
        <v>2343</v>
      </c>
      <c r="G5" s="1676"/>
      <c r="H5" s="1676"/>
      <c r="I5" s="1676"/>
      <c r="J5" s="1676"/>
      <c r="K5" s="1676"/>
      <c r="L5" s="1676"/>
      <c r="M5" s="1676"/>
      <c r="N5" s="1676"/>
      <c r="O5" s="1676"/>
      <c r="P5" s="1676"/>
      <c r="Q5" s="1676"/>
      <c r="R5" s="1676"/>
      <c r="S5" s="1676"/>
    </row>
    <row r="6" spans="1:22">
      <c r="A6" s="2832">
        <f>'数据-取费表'!AN6</f>
        <v>0</v>
      </c>
      <c r="B6" s="2830" t="e">
        <f ca="1">IF(F6="是",'数据-取费表'!AO6,0)</f>
        <v>#REF!</v>
      </c>
      <c r="C6" s="2060" t="s">
        <v>2338</v>
      </c>
      <c r="D6" s="2940"/>
      <c r="E6" s="2834">
        <f>IF(OR(A6=0,F6="否"),0,'数据-取费表'!K6+'数据-取费表'!S6)</f>
        <v>0</v>
      </c>
      <c r="F6" s="2064" t="s">
        <v>2344</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2338</v>
      </c>
      <c r="D7" s="2940"/>
      <c r="E7" s="2834">
        <f>IF(OR(A7=0,F7="否"),0,'数据-取费表'!K7+'数据-取费表'!S7)</f>
        <v>0</v>
      </c>
      <c r="F7" s="2064" t="s">
        <v>2344</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2338</v>
      </c>
      <c r="D8" s="2940"/>
      <c r="E8" s="2834">
        <f>IF(OR(A8=0,F8="否"),0,'数据-取费表'!K8+'数据-取费表'!S8)</f>
        <v>0</v>
      </c>
      <c r="F8" s="2064" t="s">
        <v>2344</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2338</v>
      </c>
      <c r="D9" s="2940"/>
      <c r="E9" s="2834">
        <f>IF(OR(A9=0,F9="否"),0,'数据-取费表'!K9+'数据-取费表'!S9)</f>
        <v>0</v>
      </c>
      <c r="F9" s="2064" t="s">
        <v>2344</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2338</v>
      </c>
      <c r="D10" s="2940"/>
      <c r="E10" s="2834">
        <f>IF(OR(A10=0,F10="否"),0,'数据-取费表'!K10+'数据-取费表'!S10)</f>
        <v>0</v>
      </c>
      <c r="F10" s="2064" t="s">
        <v>2344</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2338</v>
      </c>
      <c r="D11" s="2940"/>
      <c r="E11" s="2834">
        <f>IF(OR(A11=0,F11="否"),0,'数据-取费表'!K11+'数据-取费表'!S11)</f>
        <v>0</v>
      </c>
      <c r="F11" s="2064" t="s">
        <v>2344</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2338</v>
      </c>
      <c r="D12" s="2940"/>
      <c r="E12" s="2834">
        <f>IF(OR(A12=0,F12="否"),0,'数据-取费表'!K12+'数据-取费表'!S12)</f>
        <v>0</v>
      </c>
      <c r="F12" s="2064" t="s">
        <v>2344</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2338</v>
      </c>
      <c r="D13" s="2941"/>
      <c r="E13" s="2834">
        <f>IF(OR(A13=0,F13="否"),0,'数据-取费表'!K13+'数据-取费表'!S13)</f>
        <v>0</v>
      </c>
      <c r="F13" s="2064"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4" t="s">
        <v>1044</v>
      </c>
      <c r="B1" s="3365"/>
      <c r="C1" s="3366"/>
      <c r="D1" s="3367">
        <f>SUM(I10,I15,I20,I21,I23)</f>
        <v>0</v>
      </c>
      <c r="E1" s="3367"/>
      <c r="F1" s="3367"/>
      <c r="G1" s="3367"/>
      <c r="H1" s="3367"/>
      <c r="I1" s="3368"/>
    </row>
    <row r="2" spans="1:9">
      <c r="A2" s="3354" t="s">
        <v>1045</v>
      </c>
      <c r="B2" s="3355" t="s">
        <v>1046</v>
      </c>
      <c r="C2" s="3355"/>
      <c r="D2" s="1211" t="s">
        <v>1047</v>
      </c>
      <c r="E2" s="1211" t="s">
        <v>1048</v>
      </c>
      <c r="F2" s="1211" t="s">
        <v>1049</v>
      </c>
      <c r="G2" s="1211" t="s">
        <v>1050</v>
      </c>
      <c r="H2" s="1211" t="s">
        <v>1051</v>
      </c>
      <c r="I2" s="1212" t="s">
        <v>1052</v>
      </c>
    </row>
    <row r="3" spans="1:9">
      <c r="A3" s="3354"/>
      <c r="B3" s="3355" t="s">
        <v>1053</v>
      </c>
      <c r="C3" s="3355"/>
      <c r="D3" s="1213"/>
      <c r="E3" s="1211"/>
      <c r="F3" s="1214"/>
      <c r="G3" s="1214"/>
      <c r="H3" s="1215"/>
      <c r="I3" s="1216">
        <f>ROUND(D3*E3*F3*G3*H3/10000,0)</f>
        <v>0</v>
      </c>
    </row>
    <row r="4" spans="1:9">
      <c r="A4" s="3354"/>
      <c r="B4" s="3355" t="s">
        <v>1054</v>
      </c>
      <c r="C4" s="3355"/>
      <c r="D4" s="1213"/>
      <c r="E4" s="1211"/>
      <c r="F4" s="1214"/>
      <c r="G4" s="1214"/>
      <c r="H4" s="1215"/>
      <c r="I4" s="1216">
        <f t="shared" ref="I4:I9" si="0">ROUND(D4*E4*F4*G4*H4/10000,0)</f>
        <v>0</v>
      </c>
    </row>
    <row r="5" spans="1:9">
      <c r="A5" s="3354"/>
      <c r="B5" s="3355" t="s">
        <v>1055</v>
      </c>
      <c r="C5" s="3355"/>
      <c r="D5" s="1213"/>
      <c r="E5" s="1211"/>
      <c r="F5" s="1214"/>
      <c r="G5" s="1214"/>
      <c r="H5" s="1215"/>
      <c r="I5" s="1216">
        <f t="shared" si="0"/>
        <v>0</v>
      </c>
    </row>
    <row r="6" spans="1:9">
      <c r="A6" s="3354"/>
      <c r="B6" s="3355" t="s">
        <v>1056</v>
      </c>
      <c r="C6" s="3355"/>
      <c r="D6" s="1213"/>
      <c r="E6" s="1211"/>
      <c r="F6" s="1214"/>
      <c r="G6" s="1214"/>
      <c r="H6" s="1215"/>
      <c r="I6" s="1216">
        <f t="shared" si="0"/>
        <v>0</v>
      </c>
    </row>
    <row r="7" spans="1:9">
      <c r="A7" s="3354"/>
      <c r="B7" s="3355" t="s">
        <v>1057</v>
      </c>
      <c r="C7" s="3355"/>
      <c r="D7" s="1213"/>
      <c r="E7" s="1211"/>
      <c r="F7" s="1214"/>
      <c r="G7" s="1214"/>
      <c r="H7" s="1215"/>
      <c r="I7" s="1216">
        <f t="shared" si="0"/>
        <v>0</v>
      </c>
    </row>
    <row r="8" spans="1:9">
      <c r="A8" s="3354"/>
      <c r="B8" s="3355" t="s">
        <v>1058</v>
      </c>
      <c r="C8" s="3355"/>
      <c r="D8" s="1213"/>
      <c r="E8" s="1211"/>
      <c r="F8" s="1214"/>
      <c r="G8" s="1214"/>
      <c r="H8" s="1215"/>
      <c r="I8" s="1216">
        <f t="shared" si="0"/>
        <v>0</v>
      </c>
    </row>
    <row r="9" spans="1:9">
      <c r="A9" s="3354"/>
      <c r="B9" s="3355" t="s">
        <v>1059</v>
      </c>
      <c r="C9" s="3355"/>
      <c r="D9" s="1213"/>
      <c r="E9" s="1211"/>
      <c r="F9" s="1214"/>
      <c r="G9" s="1214"/>
      <c r="H9" s="1215"/>
      <c r="I9" s="1216">
        <f t="shared" si="0"/>
        <v>0</v>
      </c>
    </row>
    <row r="10" spans="1:9">
      <c r="A10" s="3354"/>
      <c r="B10" s="3356" t="s">
        <v>1060</v>
      </c>
      <c r="C10" s="3356"/>
      <c r="D10" s="1217"/>
      <c r="E10" s="1217" t="e">
        <f>ROUND(D1*10000/D10/H9,0)</f>
        <v>#DIV/0!</v>
      </c>
      <c r="F10" s="1218"/>
      <c r="G10" s="1218"/>
      <c r="H10" s="1219"/>
      <c r="I10" s="1220">
        <f>SUM(I3:I9)</f>
        <v>0</v>
      </c>
    </row>
    <row r="11" spans="1:9" ht="14.25">
      <c r="A11" s="3354" t="s">
        <v>1061</v>
      </c>
      <c r="B11" s="3355" t="s">
        <v>1062</v>
      </c>
      <c r="C11" s="3355"/>
      <c r="D11" s="1213" t="s">
        <v>1063</v>
      </c>
      <c r="E11" s="1213" t="s">
        <v>1064</v>
      </c>
      <c r="F11" s="1214" t="s">
        <v>1065</v>
      </c>
      <c r="G11" s="1214" t="s">
        <v>1051</v>
      </c>
      <c r="H11" s="1221" t="s">
        <v>1066</v>
      </c>
      <c r="I11" s="1212" t="s">
        <v>1052</v>
      </c>
    </row>
    <row r="12" spans="1:9">
      <c r="A12" s="3354"/>
      <c r="B12" s="3355" t="s">
        <v>1067</v>
      </c>
      <c r="C12" s="3355"/>
      <c r="D12" s="1213"/>
      <c r="E12" s="1213"/>
      <c r="F12" s="1214"/>
      <c r="G12" s="1215"/>
      <c r="H12" s="1222"/>
      <c r="I12" s="1212">
        <f>ROUND(D12*E12*F12*G12/10000,0)</f>
        <v>0</v>
      </c>
    </row>
    <row r="13" spans="1:9">
      <c r="A13" s="3354"/>
      <c r="B13" s="3355" t="s">
        <v>1068</v>
      </c>
      <c r="C13" s="3355"/>
      <c r="D13" s="1213"/>
      <c r="E13" s="1213"/>
      <c r="F13" s="1214"/>
      <c r="G13" s="1215"/>
      <c r="H13" s="1222"/>
      <c r="I13" s="1212">
        <f>ROUND(D13*E13*F13*G13/10000,0)</f>
        <v>0</v>
      </c>
    </row>
    <row r="14" spans="1:9">
      <c r="A14" s="3354"/>
      <c r="B14" s="3355" t="s">
        <v>1069</v>
      </c>
      <c r="C14" s="3355"/>
      <c r="D14" s="1213"/>
      <c r="E14" s="1213"/>
      <c r="F14" s="1214"/>
      <c r="G14" s="1215"/>
      <c r="H14" s="1222"/>
      <c r="I14" s="1212">
        <f>ROUND(D14*E14*F14*G14/10000,0)</f>
        <v>0</v>
      </c>
    </row>
    <row r="15" spans="1:9">
      <c r="A15" s="3354"/>
      <c r="B15" s="3356" t="s">
        <v>1060</v>
      </c>
      <c r="C15" s="3356"/>
      <c r="D15" s="1217"/>
      <c r="E15" s="1217">
        <f>SUM(E12:E14)</f>
        <v>0</v>
      </c>
      <c r="F15" s="1218"/>
      <c r="G15" s="1215"/>
      <c r="H15" s="1222"/>
      <c r="I15" s="1223">
        <f>SUM(I12:I14)</f>
        <v>0</v>
      </c>
    </row>
    <row r="16" spans="1:9" ht="24">
      <c r="A16" s="3354" t="s">
        <v>1070</v>
      </c>
      <c r="B16" s="3355" t="s">
        <v>1071</v>
      </c>
      <c r="C16" s="3355"/>
      <c r="D16" s="1213" t="s">
        <v>1047</v>
      </c>
      <c r="E16" s="1224" t="s">
        <v>1072</v>
      </c>
      <c r="F16" s="1214" t="s">
        <v>1073</v>
      </c>
      <c r="G16" s="1215" t="s">
        <v>1051</v>
      </c>
      <c r="H16" s="1221" t="s">
        <v>1066</v>
      </c>
      <c r="I16" s="1212" t="s">
        <v>1052</v>
      </c>
    </row>
    <row r="17" spans="1:9" ht="14.25">
      <c r="A17" s="3354"/>
      <c r="B17" s="3355" t="s">
        <v>1074</v>
      </c>
      <c r="C17" s="3355"/>
      <c r="D17" s="1213"/>
      <c r="E17" s="1213"/>
      <c r="F17" s="1214"/>
      <c r="G17" s="1215"/>
      <c r="H17" s="1225"/>
      <c r="I17" s="1226">
        <f>ROUND(D17*E17*F17*G17/10000,0)</f>
        <v>0</v>
      </c>
    </row>
    <row r="18" spans="1:9" ht="14.25">
      <c r="A18" s="3354"/>
      <c r="B18" s="3355" t="s">
        <v>1075</v>
      </c>
      <c r="C18" s="3355"/>
      <c r="D18" s="1213"/>
      <c r="E18" s="1213"/>
      <c r="F18" s="1214"/>
      <c r="G18" s="1215"/>
      <c r="H18" s="1225"/>
      <c r="I18" s="1226">
        <f>ROUND(D18*E18*F18*G18/10000,0)</f>
        <v>0</v>
      </c>
    </row>
    <row r="19" spans="1:9" ht="14.25">
      <c r="A19" s="3354"/>
      <c r="B19" s="3355" t="s">
        <v>1076</v>
      </c>
      <c r="C19" s="3355"/>
      <c r="D19" s="1213"/>
      <c r="E19" s="1213"/>
      <c r="F19" s="1214"/>
      <c r="G19" s="1215"/>
      <c r="H19" s="1225"/>
      <c r="I19" s="1226">
        <f>ROUND(D19*E19*F19*G19/10000,0)</f>
        <v>0</v>
      </c>
    </row>
    <row r="20" spans="1:9">
      <c r="A20" s="3354"/>
      <c r="B20" s="3356" t="s">
        <v>1060</v>
      </c>
      <c r="C20" s="3356"/>
      <c r="D20" s="1217">
        <f>SUM(D17:D19)</f>
        <v>0</v>
      </c>
      <c r="E20" s="1217"/>
      <c r="F20" s="1218"/>
      <c r="G20" s="1215"/>
      <c r="H20" s="1222"/>
      <c r="I20" s="1223">
        <f>SUM(I17:I19)</f>
        <v>0</v>
      </c>
    </row>
    <row r="21" spans="1:9">
      <c r="A21" s="3354" t="s">
        <v>1077</v>
      </c>
      <c r="B21" s="3357"/>
      <c r="C21" s="3357"/>
      <c r="D21" s="3357"/>
      <c r="E21" s="3357"/>
      <c r="F21" s="3357"/>
      <c r="G21" s="3357"/>
      <c r="H21" s="1504">
        <v>0.1</v>
      </c>
      <c r="I21" s="1220">
        <f>ROUND(I10*H21,0)</f>
        <v>0</v>
      </c>
    </row>
    <row r="22" spans="1:9" ht="14.25">
      <c r="A22" s="3358" t="s">
        <v>1078</v>
      </c>
      <c r="B22" s="3359"/>
      <c r="C22" s="3360"/>
      <c r="D22" s="1227" t="s">
        <v>1079</v>
      </c>
      <c r="E22" s="1227" t="s">
        <v>1080</v>
      </c>
      <c r="F22" s="1228" t="s">
        <v>1081</v>
      </c>
      <c r="G22" s="1228" t="s">
        <v>1082</v>
      </c>
      <c r="H22" s="1221" t="s">
        <v>1083</v>
      </c>
      <c r="I22" s="1212" t="s">
        <v>1084</v>
      </c>
    </row>
    <row r="23" spans="1:9" ht="14.25" thickBot="1">
      <c r="A23" s="3361"/>
      <c r="B23" s="3362"/>
      <c r="C23" s="3363"/>
      <c r="D23" s="1229"/>
      <c r="E23" s="1229"/>
      <c r="F23" s="1229"/>
      <c r="G23" s="1230"/>
      <c r="H23" s="1231"/>
      <c r="I23" s="1232">
        <f>ROUND(E23*D23*F23*(1-G23)/10000,0)</f>
        <v>0</v>
      </c>
    </row>
    <row r="26" spans="1:9">
      <c r="A26" s="1233" t="s">
        <v>1085</v>
      </c>
      <c r="B26" s="1233"/>
      <c r="C26" s="1233"/>
      <c r="D26" s="1233"/>
      <c r="E26" s="3351">
        <f>C27-C30-C31-C32</f>
        <v>0</v>
      </c>
      <c r="F26" s="3351"/>
      <c r="G26" s="3351"/>
      <c r="H26" s="1501" t="s">
        <v>1306</v>
      </c>
    </row>
    <row r="27" spans="1:9">
      <c r="A27" s="1234">
        <v>1</v>
      </c>
      <c r="B27" s="1235" t="s">
        <v>1086</v>
      </c>
      <c r="C27" s="1235">
        <f>C28+C29</f>
        <v>0</v>
      </c>
      <c r="D27" s="1235"/>
      <c r="E27" s="3352"/>
      <c r="F27" s="3352"/>
      <c r="G27" s="3352"/>
    </row>
    <row r="28" spans="1:9">
      <c r="A28" s="1236" t="s">
        <v>1087</v>
      </c>
      <c r="B28" s="1235" t="s">
        <v>1088</v>
      </c>
      <c r="C28" s="1235"/>
      <c r="D28" s="1235"/>
      <c r="E28" s="3352"/>
      <c r="F28" s="3352"/>
      <c r="G28" s="335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3"/>
      <c r="F32" s="3353"/>
      <c r="G32" s="3353"/>
    </row>
    <row r="33" spans="1:7" hidden="1">
      <c r="A33" s="3348" t="s">
        <v>1097</v>
      </c>
      <c r="B33" s="3349"/>
      <c r="C33" s="3349"/>
      <c r="D33" s="3350"/>
      <c r="E33" s="3351"/>
      <c r="F33" s="3351"/>
      <c r="G33" s="3351"/>
    </row>
    <row r="34" spans="1:7" hidden="1">
      <c r="A34" s="1238">
        <v>1</v>
      </c>
      <c r="B34" s="1235" t="s">
        <v>1098</v>
      </c>
      <c r="C34" s="1235"/>
      <c r="D34" s="1235"/>
      <c r="E34" s="3352"/>
      <c r="F34" s="3352"/>
      <c r="G34" s="3352"/>
    </row>
    <row r="35" spans="1:7" hidden="1">
      <c r="A35" s="1238">
        <v>2</v>
      </c>
      <c r="B35" s="1235" t="s">
        <v>1099</v>
      </c>
      <c r="C35" s="1235"/>
      <c r="D35" s="1235"/>
      <c r="E35" s="3352"/>
      <c r="F35" s="3352"/>
      <c r="G35" s="3352"/>
    </row>
    <row r="36" spans="1:7" hidden="1">
      <c r="A36" s="1238">
        <v>3</v>
      </c>
      <c r="B36" s="1235" t="s">
        <v>1100</v>
      </c>
      <c r="C36" s="1235"/>
      <c r="D36" s="1235"/>
      <c r="E36" s="3352"/>
      <c r="F36" s="3352"/>
      <c r="G36" s="3352"/>
    </row>
    <row r="37" spans="1:7" hidden="1">
      <c r="A37" s="1238">
        <v>4</v>
      </c>
      <c r="B37" s="1235" t="s">
        <v>1101</v>
      </c>
      <c r="C37" s="1235"/>
      <c r="D37" s="1235"/>
      <c r="E37" s="3352"/>
      <c r="F37" s="3352"/>
      <c r="G37" s="3352"/>
    </row>
    <row r="38" spans="1:7" hidden="1">
      <c r="A38" s="3348" t="s">
        <v>1102</v>
      </c>
      <c r="B38" s="3349"/>
      <c r="C38" s="3349"/>
      <c r="D38" s="3350"/>
      <c r="E38" s="3351"/>
      <c r="F38" s="3351"/>
      <c r="G38" s="33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4" sqref="K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58402.819999999992</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2354</v>
      </c>
      <c r="B4" s="362"/>
      <c r="C4" s="3292" t="s">
        <v>2355</v>
      </c>
      <c r="D4" s="3305"/>
      <c r="E4" s="3306" t="s">
        <v>2356</v>
      </c>
      <c r="F4" s="3307"/>
      <c r="G4" s="3292" t="s">
        <v>2357</v>
      </c>
      <c r="H4" s="3305"/>
      <c r="I4" s="3292" t="s">
        <v>2358</v>
      </c>
      <c r="J4" s="3305"/>
      <c r="K4" s="2077" t="s">
        <v>2359</v>
      </c>
      <c r="L4" s="2946"/>
      <c r="M4" s="2947"/>
      <c r="N4" s="2947"/>
      <c r="O4" s="2947"/>
      <c r="P4" s="3308" t="s">
        <v>2360</v>
      </c>
      <c r="Q4" s="3309"/>
      <c r="R4" s="3314" t="s">
        <v>2356</v>
      </c>
      <c r="S4" s="3315"/>
      <c r="T4" s="3314" t="s">
        <v>2357</v>
      </c>
      <c r="U4" s="3315"/>
      <c r="V4" s="3301" t="s">
        <v>2358</v>
      </c>
      <c r="W4" s="3301"/>
      <c r="X4" s="1541"/>
      <c r="Y4" s="3314" t="s">
        <v>2360</v>
      </c>
      <c r="Z4" s="3315"/>
      <c r="AA4" s="3302" t="s">
        <v>2356</v>
      </c>
      <c r="AB4" s="3302" t="s">
        <v>2357</v>
      </c>
      <c r="AC4" s="3302" t="s">
        <v>2358</v>
      </c>
    </row>
    <row r="5" spans="1:29" ht="15">
      <c r="A5" s="364"/>
      <c r="B5" s="365"/>
      <c r="C5" s="3322" t="s">
        <v>2361</v>
      </c>
      <c r="D5" s="3323"/>
      <c r="E5" s="3329" t="s">
        <v>2362</v>
      </c>
      <c r="F5" s="3330"/>
      <c r="G5" s="3322" t="s">
        <v>2363</v>
      </c>
      <c r="H5" s="3323"/>
      <c r="I5" s="3322" t="s">
        <v>2364</v>
      </c>
      <c r="J5" s="3323"/>
      <c r="K5" s="2078"/>
      <c r="L5" s="2946"/>
      <c r="M5" s="2947"/>
      <c r="N5" s="2947"/>
      <c r="O5" s="2947"/>
      <c r="P5" s="3310"/>
      <c r="Q5" s="3311"/>
      <c r="R5" s="3316"/>
      <c r="S5" s="3317"/>
      <c r="T5" s="3316"/>
      <c r="U5" s="3317"/>
      <c r="V5" s="3301"/>
      <c r="W5" s="3301"/>
      <c r="X5" s="1541"/>
      <c r="Y5" s="3316"/>
      <c r="Z5" s="3317"/>
      <c r="AA5" s="3303"/>
      <c r="AB5" s="3303"/>
      <c r="AC5" s="3303"/>
    </row>
    <row r="6" spans="1:29" ht="15.75" thickBot="1">
      <c r="A6" s="366"/>
      <c r="B6" s="367"/>
      <c r="C6" s="3320" t="s">
        <v>2365</v>
      </c>
      <c r="D6" s="3321"/>
      <c r="E6" s="3327" t="s">
        <v>2365</v>
      </c>
      <c r="F6" s="3328"/>
      <c r="G6" s="3320" t="s">
        <v>2365</v>
      </c>
      <c r="H6" s="3321"/>
      <c r="I6" s="3320" t="s">
        <v>2365</v>
      </c>
      <c r="J6" s="3321"/>
      <c r="K6" s="2078" t="s">
        <v>2366</v>
      </c>
      <c r="L6" s="2946"/>
      <c r="M6" s="2947"/>
      <c r="N6" s="2947"/>
      <c r="O6" s="2947"/>
      <c r="P6" s="3312"/>
      <c r="Q6" s="3313"/>
      <c r="R6" s="3316"/>
      <c r="S6" s="3317"/>
      <c r="T6" s="3318"/>
      <c r="U6" s="3319"/>
      <c r="V6" s="3301"/>
      <c r="W6" s="3301"/>
      <c r="X6" s="1541"/>
      <c r="Y6" s="3318"/>
      <c r="Z6" s="3319"/>
      <c r="AA6" s="3304"/>
      <c r="AB6" s="3304"/>
      <c r="AC6" s="3304"/>
    </row>
    <row r="7" spans="1:29" s="113" customFormat="1" ht="15.75" thickBot="1">
      <c r="A7" s="368" t="s">
        <v>2367</v>
      </c>
      <c r="B7" s="369"/>
      <c r="C7" s="370">
        <f>'数据-取费表'!B2</f>
        <v>44153</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24" t="s">
        <v>2368</v>
      </c>
      <c r="Q7" s="3326"/>
      <c r="R7" s="710" t="s">
        <v>23</v>
      </c>
      <c r="S7" s="711">
        <f t="shared" ref="S7:S15" si="0">F7</f>
        <v>0</v>
      </c>
      <c r="T7" s="710" t="s">
        <v>23</v>
      </c>
      <c r="U7" s="711">
        <f t="shared" ref="U7:U15" si="1">H7</f>
        <v>0</v>
      </c>
      <c r="V7" s="710" t="s">
        <v>23</v>
      </c>
      <c r="W7" s="711">
        <f t="shared" ref="W7:W15" si="2">J7</f>
        <v>0</v>
      </c>
      <c r="X7" s="712"/>
      <c r="Y7" s="3324" t="s">
        <v>2368</v>
      </c>
      <c r="Z7" s="3325"/>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24" t="s">
        <v>2371</v>
      </c>
      <c r="Q8" s="3325"/>
      <c r="R8" s="710" t="s">
        <v>23</v>
      </c>
      <c r="S8" s="711">
        <f t="shared" si="0"/>
        <v>0</v>
      </c>
      <c r="T8" s="710" t="s">
        <v>23</v>
      </c>
      <c r="U8" s="711">
        <f t="shared" si="1"/>
        <v>0</v>
      </c>
      <c r="V8" s="710" t="s">
        <v>23</v>
      </c>
      <c r="W8" s="711">
        <f t="shared" si="2"/>
        <v>0</v>
      </c>
      <c r="X8" s="712"/>
      <c r="Y8" s="3324" t="s">
        <v>2371</v>
      </c>
      <c r="Z8" s="3325"/>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94" t="s">
        <v>2374</v>
      </c>
      <c r="Q9" s="1529" t="str">
        <f t="shared" ref="Q9:Q15" si="6">B9</f>
        <v>用途</v>
      </c>
      <c r="R9" s="710" t="s">
        <v>17</v>
      </c>
      <c r="S9" s="711">
        <f t="shared" si="0"/>
        <v>100</v>
      </c>
      <c r="T9" s="710" t="s">
        <v>17</v>
      </c>
      <c r="U9" s="711">
        <f t="shared" si="1"/>
        <v>100</v>
      </c>
      <c r="V9" s="710" t="s">
        <v>17</v>
      </c>
      <c r="W9" s="711">
        <f t="shared" si="2"/>
        <v>100</v>
      </c>
      <c r="X9" s="712"/>
      <c r="Y9" s="318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94"/>
      <c r="Q10" s="1529"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94"/>
      <c r="Q11" s="1529" t="str">
        <f t="shared" si="6"/>
        <v>容积率</v>
      </c>
      <c r="R11" s="710" t="s">
        <v>21</v>
      </c>
      <c r="S11" s="711" t="e">
        <f t="shared" si="0"/>
        <v>#N/A</v>
      </c>
      <c r="T11" s="710" t="s">
        <v>21</v>
      </c>
      <c r="U11" s="711" t="e">
        <f t="shared" si="1"/>
        <v>#N/A</v>
      </c>
      <c r="V11" s="710" t="s">
        <v>21</v>
      </c>
      <c r="W11" s="711" t="e">
        <f t="shared" si="2"/>
        <v>#N/A</v>
      </c>
      <c r="X11" s="712"/>
      <c r="Y11" s="3189"/>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94"/>
      <c r="Q12" s="1529">
        <f t="shared" si="6"/>
        <v>111</v>
      </c>
      <c r="R12" s="710" t="s">
        <v>21</v>
      </c>
      <c r="S12" s="711">
        <f t="shared" si="0"/>
        <v>100</v>
      </c>
      <c r="T12" s="710" t="s">
        <v>21</v>
      </c>
      <c r="U12" s="711">
        <f t="shared" si="1"/>
        <v>100</v>
      </c>
      <c r="V12" s="710" t="s">
        <v>21</v>
      </c>
      <c r="W12" s="711">
        <f t="shared" si="2"/>
        <v>100</v>
      </c>
      <c r="X12" s="712"/>
      <c r="Y12" s="3189"/>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94"/>
      <c r="Q13" s="1529">
        <f t="shared" si="6"/>
        <v>111</v>
      </c>
      <c r="R13" s="710" t="s">
        <v>21</v>
      </c>
      <c r="S13" s="711">
        <f t="shared" si="0"/>
        <v>100</v>
      </c>
      <c r="T13" s="710" t="s">
        <v>21</v>
      </c>
      <c r="U13" s="711">
        <f t="shared" si="1"/>
        <v>100</v>
      </c>
      <c r="V13" s="710" t="s">
        <v>21</v>
      </c>
      <c r="W13" s="711">
        <f t="shared" si="2"/>
        <v>100</v>
      </c>
      <c r="X13" s="712"/>
      <c r="Y13" s="3189"/>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94"/>
      <c r="Q14" s="1529">
        <f t="shared" si="6"/>
        <v>111</v>
      </c>
      <c r="R14" s="710" t="s">
        <v>21</v>
      </c>
      <c r="S14" s="711">
        <f t="shared" si="0"/>
        <v>100</v>
      </c>
      <c r="T14" s="710" t="s">
        <v>21</v>
      </c>
      <c r="U14" s="711">
        <f t="shared" si="1"/>
        <v>100</v>
      </c>
      <c r="V14" s="710" t="s">
        <v>21</v>
      </c>
      <c r="W14" s="711">
        <f t="shared" si="2"/>
        <v>100</v>
      </c>
      <c r="X14" s="712"/>
      <c r="Y14" s="3189"/>
      <c r="Z14" s="55">
        <f t="shared" si="7"/>
        <v>111</v>
      </c>
      <c r="AA14" s="713">
        <f t="shared" si="3"/>
        <v>1</v>
      </c>
      <c r="AB14" s="713">
        <f t="shared" si="4"/>
        <v>1</v>
      </c>
      <c r="AC14" s="713">
        <f t="shared" si="5"/>
        <v>1</v>
      </c>
    </row>
    <row r="15" spans="1:29" ht="99.75">
      <c r="A15" s="399" t="s">
        <v>2378</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33" t="s">
        <v>2379</v>
      </c>
      <c r="Q15" s="1538" t="str">
        <f t="shared" si="6"/>
        <v>居住社区成熟度</v>
      </c>
      <c r="R15" s="714" t="s">
        <v>21</v>
      </c>
      <c r="S15" s="715">
        <f t="shared" si="0"/>
        <v>100</v>
      </c>
      <c r="T15" s="714" t="s">
        <v>21</v>
      </c>
      <c r="U15" s="715">
        <f t="shared" si="1"/>
        <v>100</v>
      </c>
      <c r="V15" s="714" t="s">
        <v>21</v>
      </c>
      <c r="W15" s="715">
        <f t="shared" si="2"/>
        <v>100</v>
      </c>
      <c r="X15" s="1541"/>
      <c r="Y15" s="3297"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34"/>
      <c r="Q16" s="1538"/>
      <c r="R16" s="714"/>
      <c r="S16" s="715"/>
      <c r="T16" s="714"/>
      <c r="U16" s="715"/>
      <c r="V16" s="714"/>
      <c r="W16" s="715"/>
      <c r="X16" s="1541"/>
      <c r="Y16" s="329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34"/>
      <c r="Q17" s="1538" t="str">
        <f>B17</f>
        <v>交通便捷度</v>
      </c>
      <c r="R17" s="714" t="s">
        <v>21</v>
      </c>
      <c r="S17" s="715">
        <f>F17</f>
        <v>100</v>
      </c>
      <c r="T17" s="714" t="s">
        <v>21</v>
      </c>
      <c r="U17" s="715">
        <f>H17</f>
        <v>100</v>
      </c>
      <c r="V17" s="714" t="s">
        <v>21</v>
      </c>
      <c r="W17" s="715">
        <f>J17</f>
        <v>100</v>
      </c>
      <c r="X17" s="1541"/>
      <c r="Y17" s="3298"/>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34"/>
      <c r="Q18" s="1538"/>
      <c r="R18" s="714"/>
      <c r="S18" s="715"/>
      <c r="T18" s="714"/>
      <c r="U18" s="715"/>
      <c r="V18" s="714"/>
      <c r="W18" s="715"/>
      <c r="X18" s="1541"/>
      <c r="Y18" s="3298"/>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34"/>
      <c r="Q19" s="1538" t="str">
        <f>B19</f>
        <v>公共配套设施</v>
      </c>
      <c r="R19" s="714" t="s">
        <v>21</v>
      </c>
      <c r="S19" s="715">
        <f>F19</f>
        <v>100</v>
      </c>
      <c r="T19" s="714" t="s">
        <v>21</v>
      </c>
      <c r="U19" s="715">
        <f>H19</f>
        <v>100</v>
      </c>
      <c r="V19" s="714" t="s">
        <v>21</v>
      </c>
      <c r="W19" s="715">
        <f>J19</f>
        <v>100</v>
      </c>
      <c r="X19" s="1541"/>
      <c r="Y19" s="3298"/>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34"/>
      <c r="Q20" s="1538"/>
      <c r="R20" s="714"/>
      <c r="S20" s="715"/>
      <c r="T20" s="714"/>
      <c r="U20" s="715"/>
      <c r="V20" s="714"/>
      <c r="W20" s="715"/>
      <c r="X20" s="1541"/>
      <c r="Y20" s="3298"/>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34"/>
      <c r="Q21" s="1538" t="str">
        <f>B21</f>
        <v>基础设施水平</v>
      </c>
      <c r="R21" s="714" t="s">
        <v>17</v>
      </c>
      <c r="S21" s="715">
        <f>F21</f>
        <v>100</v>
      </c>
      <c r="T21" s="714" t="s">
        <v>17</v>
      </c>
      <c r="U21" s="715">
        <f>H21</f>
        <v>100</v>
      </c>
      <c r="V21" s="714" t="s">
        <v>17</v>
      </c>
      <c r="W21" s="715">
        <f>J21</f>
        <v>100</v>
      </c>
      <c r="X21" s="1541"/>
      <c r="Y21" s="329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34"/>
      <c r="Q22" s="1538"/>
      <c r="R22" s="714"/>
      <c r="S22" s="715"/>
      <c r="T22" s="714"/>
      <c r="U22" s="715"/>
      <c r="V22" s="714"/>
      <c r="W22" s="715"/>
      <c r="X22" s="1541"/>
      <c r="Y22" s="3298"/>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34"/>
      <c r="Q23" s="1538" t="str">
        <f>B23</f>
        <v>自然及人文环境</v>
      </c>
      <c r="R23" s="714" t="s">
        <v>21</v>
      </c>
      <c r="S23" s="715">
        <f>F23</f>
        <v>100</v>
      </c>
      <c r="T23" s="714" t="s">
        <v>21</v>
      </c>
      <c r="U23" s="715">
        <f>H23</f>
        <v>100</v>
      </c>
      <c r="V23" s="714" t="s">
        <v>21</v>
      </c>
      <c r="W23" s="715">
        <f>J23</f>
        <v>100</v>
      </c>
      <c r="X23" s="1541"/>
      <c r="Y23" s="3298"/>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34"/>
      <c r="Q24" s="1538"/>
      <c r="R24" s="714"/>
      <c r="S24" s="715"/>
      <c r="T24" s="714"/>
      <c r="U24" s="715"/>
      <c r="V24" s="714"/>
      <c r="W24" s="715"/>
      <c r="X24" s="1541"/>
      <c r="Y24" s="3298"/>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3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98"/>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34"/>
      <c r="Q26" s="1538" t="str">
        <f t="shared" si="11"/>
        <v>朝向</v>
      </c>
      <c r="R26" s="714" t="s">
        <v>21</v>
      </c>
      <c r="S26" s="715">
        <f t="shared" si="12"/>
        <v>100</v>
      </c>
      <c r="T26" s="714" t="s">
        <v>21</v>
      </c>
      <c r="U26" s="715">
        <f t="shared" si="13"/>
        <v>100</v>
      </c>
      <c r="V26" s="714" t="s">
        <v>21</v>
      </c>
      <c r="W26" s="715">
        <f t="shared" si="14"/>
        <v>100</v>
      </c>
      <c r="X26" s="1541"/>
      <c r="Y26" s="3298"/>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34"/>
      <c r="Q27" s="1529">
        <f t="shared" si="11"/>
        <v>111</v>
      </c>
      <c r="R27" s="710" t="s">
        <v>21</v>
      </c>
      <c r="S27" s="711">
        <f t="shared" si="12"/>
        <v>100</v>
      </c>
      <c r="T27" s="710" t="s">
        <v>21</v>
      </c>
      <c r="U27" s="711">
        <f t="shared" si="13"/>
        <v>100</v>
      </c>
      <c r="V27" s="710" t="s">
        <v>21</v>
      </c>
      <c r="W27" s="711">
        <f t="shared" si="14"/>
        <v>100</v>
      </c>
      <c r="X27" s="712"/>
      <c r="Y27" s="3298"/>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34"/>
      <c r="Q28" s="1538">
        <f t="shared" si="11"/>
        <v>111</v>
      </c>
      <c r="R28" s="714" t="s">
        <v>21</v>
      </c>
      <c r="S28" s="715">
        <f t="shared" si="12"/>
        <v>100</v>
      </c>
      <c r="T28" s="714" t="s">
        <v>21</v>
      </c>
      <c r="U28" s="715">
        <f t="shared" si="13"/>
        <v>100</v>
      </c>
      <c r="V28" s="714" t="s">
        <v>21</v>
      </c>
      <c r="W28" s="715">
        <f t="shared" si="14"/>
        <v>100</v>
      </c>
      <c r="X28" s="1541"/>
      <c r="Y28" s="3298"/>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34"/>
      <c r="Q29" s="1538">
        <f t="shared" si="11"/>
        <v>111</v>
      </c>
      <c r="R29" s="714" t="s">
        <v>21</v>
      </c>
      <c r="S29" s="715">
        <f t="shared" si="12"/>
        <v>100</v>
      </c>
      <c r="T29" s="714" t="s">
        <v>21</v>
      </c>
      <c r="U29" s="715">
        <f t="shared" si="13"/>
        <v>100</v>
      </c>
      <c r="V29" s="714" t="s">
        <v>21</v>
      </c>
      <c r="W29" s="715">
        <f t="shared" si="14"/>
        <v>100</v>
      </c>
      <c r="X29" s="1541"/>
      <c r="Y29" s="3298"/>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34"/>
      <c r="Q30" s="1538">
        <f t="shared" si="11"/>
        <v>111</v>
      </c>
      <c r="R30" s="714" t="s">
        <v>21</v>
      </c>
      <c r="S30" s="715">
        <f t="shared" si="12"/>
        <v>100</v>
      </c>
      <c r="T30" s="714" t="s">
        <v>21</v>
      </c>
      <c r="U30" s="715">
        <f t="shared" si="13"/>
        <v>100</v>
      </c>
      <c r="V30" s="714" t="s">
        <v>21</v>
      </c>
      <c r="W30" s="715">
        <f t="shared" si="14"/>
        <v>100</v>
      </c>
      <c r="X30" s="1541"/>
      <c r="Y30" s="3298"/>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34"/>
      <c r="Q31" s="1538">
        <f t="shared" si="11"/>
        <v>111</v>
      </c>
      <c r="R31" s="714" t="s">
        <v>21</v>
      </c>
      <c r="S31" s="715">
        <f t="shared" si="12"/>
        <v>100</v>
      </c>
      <c r="T31" s="714" t="s">
        <v>21</v>
      </c>
      <c r="U31" s="715">
        <f t="shared" si="13"/>
        <v>100</v>
      </c>
      <c r="V31" s="714" t="s">
        <v>21</v>
      </c>
      <c r="W31" s="715">
        <f t="shared" si="14"/>
        <v>100</v>
      </c>
      <c r="X31" s="1541"/>
      <c r="Y31" s="3298"/>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35" t="s">
        <v>2384</v>
      </c>
      <c r="Q32" s="1538" t="str">
        <f t="shared" si="11"/>
        <v>建筑类型</v>
      </c>
      <c r="R32" s="714" t="s">
        <v>21</v>
      </c>
      <c r="S32" s="715">
        <f t="shared" si="12"/>
        <v>100</v>
      </c>
      <c r="T32" s="714" t="s">
        <v>21</v>
      </c>
      <c r="U32" s="715">
        <f t="shared" si="13"/>
        <v>100</v>
      </c>
      <c r="V32" s="714" t="s">
        <v>21</v>
      </c>
      <c r="W32" s="715">
        <f t="shared" si="14"/>
        <v>100</v>
      </c>
      <c r="X32" s="1541"/>
      <c r="Y32" s="3300"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36"/>
      <c r="Q33" s="716" t="str">
        <f t="shared" si="11"/>
        <v>项目建筑规模</v>
      </c>
      <c r="R33" s="717" t="s">
        <v>21</v>
      </c>
      <c r="S33" s="718" t="e">
        <f t="shared" si="12"/>
        <v>#N/A</v>
      </c>
      <c r="T33" s="717" t="s">
        <v>21</v>
      </c>
      <c r="U33" s="718" t="e">
        <f t="shared" si="13"/>
        <v>#N/A</v>
      </c>
      <c r="V33" s="717" t="s">
        <v>21</v>
      </c>
      <c r="W33" s="718" t="e">
        <f t="shared" si="14"/>
        <v>#N/A</v>
      </c>
      <c r="X33" s="719"/>
      <c r="Y33" s="3300"/>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36"/>
      <c r="Q34" s="1538" t="str">
        <f t="shared" si="11"/>
        <v>建筑结构</v>
      </c>
      <c r="R34" s="714" t="s">
        <v>21</v>
      </c>
      <c r="S34" s="715">
        <f t="shared" si="12"/>
        <v>100</v>
      </c>
      <c r="T34" s="714" t="s">
        <v>21</v>
      </c>
      <c r="U34" s="715">
        <f t="shared" si="13"/>
        <v>100</v>
      </c>
      <c r="V34" s="714" t="s">
        <v>21</v>
      </c>
      <c r="W34" s="715">
        <f t="shared" si="14"/>
        <v>100</v>
      </c>
      <c r="X34" s="1541"/>
      <c r="Y34" s="3300"/>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36"/>
      <c r="Q35" s="1538" t="str">
        <f t="shared" si="11"/>
        <v>建筑品质</v>
      </c>
      <c r="R35" s="714" t="s">
        <v>21</v>
      </c>
      <c r="S35" s="715">
        <f t="shared" si="12"/>
        <v>100</v>
      </c>
      <c r="T35" s="714" t="s">
        <v>21</v>
      </c>
      <c r="U35" s="715">
        <f t="shared" si="13"/>
        <v>100</v>
      </c>
      <c r="V35" s="714" t="s">
        <v>21</v>
      </c>
      <c r="W35" s="715">
        <f t="shared" si="14"/>
        <v>100</v>
      </c>
      <c r="X35" s="1541"/>
      <c r="Y35" s="3300"/>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36"/>
      <c r="Q36" s="1538" t="str">
        <f t="shared" si="11"/>
        <v>公共部分装修</v>
      </c>
      <c r="R36" s="714" t="s">
        <v>21</v>
      </c>
      <c r="S36" s="715">
        <f t="shared" si="12"/>
        <v>100</v>
      </c>
      <c r="T36" s="714" t="s">
        <v>21</v>
      </c>
      <c r="U36" s="715">
        <f t="shared" si="13"/>
        <v>100</v>
      </c>
      <c r="V36" s="714" t="s">
        <v>21</v>
      </c>
      <c r="W36" s="715">
        <f t="shared" si="14"/>
        <v>100</v>
      </c>
      <c r="X36" s="1541"/>
      <c r="Y36" s="3300"/>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36"/>
      <c r="Q37" s="1529" t="str">
        <f t="shared" si="11"/>
        <v>成新度</v>
      </c>
      <c r="R37" s="710" t="s">
        <v>21</v>
      </c>
      <c r="S37" s="711" t="e">
        <f t="shared" si="12"/>
        <v>#N/A</v>
      </c>
      <c r="T37" s="710" t="s">
        <v>21</v>
      </c>
      <c r="U37" s="711" t="e">
        <f t="shared" si="13"/>
        <v>#N/A</v>
      </c>
      <c r="V37" s="710" t="s">
        <v>21</v>
      </c>
      <c r="W37" s="711" t="e">
        <f t="shared" si="14"/>
        <v>#N/A</v>
      </c>
      <c r="X37" s="712"/>
      <c r="Y37" s="3300"/>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36" t="s">
        <v>2384</v>
      </c>
      <c r="Q38" s="1538" t="str">
        <f t="shared" si="11"/>
        <v>物业管理</v>
      </c>
      <c r="R38" s="714" t="s">
        <v>21</v>
      </c>
      <c r="S38" s="715">
        <f t="shared" si="12"/>
        <v>100</v>
      </c>
      <c r="T38" s="714" t="s">
        <v>21</v>
      </c>
      <c r="U38" s="715">
        <f t="shared" si="13"/>
        <v>100</v>
      </c>
      <c r="V38" s="714" t="s">
        <v>21</v>
      </c>
      <c r="W38" s="715">
        <f t="shared" si="14"/>
        <v>100</v>
      </c>
      <c r="X38" s="1541"/>
      <c r="Y38" s="3300"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36"/>
      <c r="Q39" s="1538" t="str">
        <f t="shared" si="11"/>
        <v>市政基础设施</v>
      </c>
      <c r="R39" s="714" t="s">
        <v>21</v>
      </c>
      <c r="S39" s="715">
        <f t="shared" si="12"/>
        <v>100</v>
      </c>
      <c r="T39" s="714" t="s">
        <v>21</v>
      </c>
      <c r="U39" s="715">
        <f t="shared" si="13"/>
        <v>100</v>
      </c>
      <c r="V39" s="714" t="s">
        <v>21</v>
      </c>
      <c r="W39" s="715">
        <f t="shared" si="14"/>
        <v>100</v>
      </c>
      <c r="X39" s="1541"/>
      <c r="Y39" s="3300"/>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36"/>
      <c r="Q40" s="1538" t="str">
        <f t="shared" si="11"/>
        <v>房型</v>
      </c>
      <c r="R40" s="714" t="s">
        <v>21</v>
      </c>
      <c r="S40" s="715">
        <f t="shared" si="12"/>
        <v>100</v>
      </c>
      <c r="T40" s="714" t="s">
        <v>21</v>
      </c>
      <c r="U40" s="715">
        <f t="shared" si="13"/>
        <v>100</v>
      </c>
      <c r="V40" s="714" t="s">
        <v>21</v>
      </c>
      <c r="W40" s="715">
        <f t="shared" si="14"/>
        <v>100</v>
      </c>
      <c r="X40" s="1541"/>
      <c r="Y40" s="3300"/>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36"/>
      <c r="Q41" s="716" t="str">
        <f t="shared" si="11"/>
        <v>单套/主力户型建筑面积</v>
      </c>
      <c r="R41" s="717" t="s">
        <v>21</v>
      </c>
      <c r="S41" s="718">
        <f t="shared" si="12"/>
        <v>100</v>
      </c>
      <c r="T41" s="717" t="s">
        <v>21</v>
      </c>
      <c r="U41" s="718">
        <f t="shared" si="13"/>
        <v>100</v>
      </c>
      <c r="V41" s="717" t="s">
        <v>21</v>
      </c>
      <c r="W41" s="718">
        <f t="shared" si="14"/>
        <v>100</v>
      </c>
      <c r="X41" s="719"/>
      <c r="Y41" s="3300"/>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36"/>
      <c r="Q42" s="1538" t="str">
        <f t="shared" si="11"/>
        <v>内部装修</v>
      </c>
      <c r="R42" s="714" t="s">
        <v>21</v>
      </c>
      <c r="S42" s="715">
        <f t="shared" si="12"/>
        <v>100</v>
      </c>
      <c r="T42" s="714" t="s">
        <v>21</v>
      </c>
      <c r="U42" s="715">
        <f t="shared" si="13"/>
        <v>100</v>
      </c>
      <c r="V42" s="714" t="s">
        <v>21</v>
      </c>
      <c r="W42" s="715">
        <f t="shared" si="14"/>
        <v>100</v>
      </c>
      <c r="X42" s="1541"/>
      <c r="Y42" s="3300"/>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36"/>
      <c r="Q43" s="1538" t="str">
        <f t="shared" si="11"/>
        <v>内部装修维护情况</v>
      </c>
      <c r="R43" s="714" t="s">
        <v>21</v>
      </c>
      <c r="S43" s="715">
        <f t="shared" si="12"/>
        <v>100</v>
      </c>
      <c r="T43" s="714" t="s">
        <v>21</v>
      </c>
      <c r="U43" s="715">
        <f t="shared" si="13"/>
        <v>100</v>
      </c>
      <c r="V43" s="714" t="s">
        <v>21</v>
      </c>
      <c r="W43" s="715">
        <f t="shared" si="14"/>
        <v>100</v>
      </c>
      <c r="X43" s="1541"/>
      <c r="Y43" s="330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36"/>
      <c r="Q44" s="1529">
        <f t="shared" si="11"/>
        <v>111</v>
      </c>
      <c r="R44" s="710" t="s">
        <v>21</v>
      </c>
      <c r="S44" s="711">
        <f t="shared" si="12"/>
        <v>100</v>
      </c>
      <c r="T44" s="710" t="s">
        <v>21</v>
      </c>
      <c r="U44" s="711">
        <f t="shared" si="13"/>
        <v>100</v>
      </c>
      <c r="V44" s="710" t="s">
        <v>21</v>
      </c>
      <c r="W44" s="711">
        <f t="shared" si="14"/>
        <v>100</v>
      </c>
      <c r="X44" s="712"/>
      <c r="Y44" s="330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36"/>
      <c r="Q45" s="1538">
        <f t="shared" si="11"/>
        <v>111</v>
      </c>
      <c r="R45" s="714" t="s">
        <v>21</v>
      </c>
      <c r="S45" s="715">
        <f t="shared" si="12"/>
        <v>100</v>
      </c>
      <c r="T45" s="714" t="s">
        <v>21</v>
      </c>
      <c r="U45" s="715">
        <f t="shared" si="13"/>
        <v>100</v>
      </c>
      <c r="V45" s="714" t="s">
        <v>21</v>
      </c>
      <c r="W45" s="715">
        <f t="shared" si="14"/>
        <v>100</v>
      </c>
      <c r="X45" s="1541"/>
      <c r="Y45" s="330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37"/>
      <c r="Q46" s="1538">
        <f t="shared" si="11"/>
        <v>111</v>
      </c>
      <c r="R46" s="714" t="s">
        <v>20</v>
      </c>
      <c r="S46" s="715">
        <f t="shared" si="12"/>
        <v>100</v>
      </c>
      <c r="T46" s="714" t="s">
        <v>20</v>
      </c>
      <c r="U46" s="715">
        <f t="shared" si="13"/>
        <v>100</v>
      </c>
      <c r="V46" s="714" t="s">
        <v>20</v>
      </c>
      <c r="W46" s="715">
        <f t="shared" si="14"/>
        <v>100</v>
      </c>
      <c r="X46" s="1541"/>
      <c r="Y46" s="3338"/>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5"/>
      <c r="M47" s="2956"/>
      <c r="N47" s="2947"/>
      <c r="O47" s="2956"/>
      <c r="P47" s="3295" t="str">
        <f>A47</f>
        <v>成交单价（元/平方米）</v>
      </c>
      <c r="Q47" s="3295"/>
      <c r="R47" s="3331">
        <f>E47</f>
        <v>0</v>
      </c>
      <c r="S47" s="3331"/>
      <c r="T47" s="3331">
        <f>G47</f>
        <v>0</v>
      </c>
      <c r="U47" s="3331"/>
      <c r="V47" s="3331">
        <f>I47</f>
        <v>0</v>
      </c>
      <c r="W47" s="3331"/>
      <c r="X47" s="699"/>
      <c r="Y47" s="721"/>
      <c r="Z47" s="699"/>
      <c r="AA47" s="699"/>
      <c r="AB47" s="699"/>
      <c r="AC47" s="699"/>
    </row>
    <row r="48" spans="1:29" ht="15.75" thickBot="1">
      <c r="A48" s="445" t="s">
        <v>2397</v>
      </c>
      <c r="B48" s="446"/>
      <c r="C48" s="1322" t="e">
        <f>R49</f>
        <v>#DIV/0!</v>
      </c>
      <c r="D48" s="2540" t="s">
        <v>2879</v>
      </c>
      <c r="E48" s="1323" t="e">
        <f>R48</f>
        <v>#DIV/0!</v>
      </c>
      <c r="F48" s="2541"/>
      <c r="G48" s="1322" t="e">
        <f>T48</f>
        <v>#DIV/0!</v>
      </c>
      <c r="H48" s="2541"/>
      <c r="I48" s="1323" t="e">
        <f>V48</f>
        <v>#DIV/0!</v>
      </c>
      <c r="J48" s="2541"/>
      <c r="K48" s="2542">
        <f>F48+H48+J48</f>
        <v>0</v>
      </c>
      <c r="L48" s="2955"/>
      <c r="M48" s="2956"/>
      <c r="N48" s="2956"/>
      <c r="O48" s="2956"/>
      <c r="P48" s="3295" t="str">
        <f>A48</f>
        <v>比较价值（元/平方米）</v>
      </c>
      <c r="Q48" s="3295"/>
      <c r="R48" s="3331" t="e">
        <f>IF(F1="售价",ROUND(PRODUCT(R47,AA7:AA46),0),ROUND(PRODUCT(R47,AA7:AA46),1))</f>
        <v>#DIV/0!</v>
      </c>
      <c r="S48" s="3331"/>
      <c r="T48" s="3331" t="e">
        <f>IF(F1="售价",ROUND(PRODUCT(T47,AB7:AB46),0),ROUND(PRODUCT(T47,AB7:AB46),1))</f>
        <v>#DIV/0!</v>
      </c>
      <c r="U48" s="3331"/>
      <c r="V48" s="3331" t="e">
        <f>IF(F1="售价",ROUND(PRODUCT(V47,AC7:AC46),0),ROUND(PRODUCT(V47,AC7:AC46),1))</f>
        <v>#DIV/0!</v>
      </c>
      <c r="W48" s="3331"/>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5"/>
      <c r="M49" s="2956"/>
      <c r="N49" s="2956"/>
      <c r="O49" s="2956"/>
      <c r="P49" s="3289" t="str">
        <f>A49</f>
        <v>估价对象XX用房的比较价值（楼面单价，元/平方米）</v>
      </c>
      <c r="Q49" s="3290"/>
      <c r="R49" s="3332" t="e">
        <f>IF(F1="售价",ROUND(IF(D48="简单平均",AVERAGE(R48:V48),R48*F48+T48*H48+V48*J48),0),ROUND(IF(D48="简单平均",AVERAGE(R48:V48),R48*F48+T48*H48+V48*J48),1))</f>
        <v>#DIV/0!</v>
      </c>
      <c r="S49" s="3332"/>
      <c r="T49" s="3332"/>
      <c r="U49" s="3332"/>
      <c r="V49" s="3332"/>
      <c r="W49" s="3332"/>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9" stopIfTrue="1" operator="containsText" text="超过">
      <formula>NOT(ISERROR(SEARCH("超过",F52)))</formula>
    </cfRule>
  </conditionalFormatting>
  <conditionalFormatting sqref="J54">
    <cfRule type="containsText" dxfId="116" priority="18" stopIfTrue="1" operator="containsText" text="超过">
      <formula>NOT(ISERROR(SEARCH("超过",J54)))</formula>
    </cfRule>
  </conditionalFormatting>
  <conditionalFormatting sqref="H54">
    <cfRule type="containsText" dxfId="115" priority="17" stopIfTrue="1" operator="containsText" text="超过">
      <formula>NOT(ISERROR(SEARCH("超过",H54)))</formula>
    </cfRule>
  </conditionalFormatting>
  <conditionalFormatting sqref="F54">
    <cfRule type="containsText" dxfId="114" priority="16" stopIfTrue="1" operator="containsText" text="超过">
      <formula>NOT(ISERROR(SEARCH("超过",F54)))</formula>
    </cfRule>
  </conditionalFormatting>
  <conditionalFormatting sqref="F53 H53 J53">
    <cfRule type="containsText" dxfId="113" priority="15" stopIfTrue="1" operator="containsText" text="超过">
      <formula>NOT(ISERROR(SEARCH("超过",F53)))</formula>
    </cfRule>
  </conditionalFormatting>
  <conditionalFormatting sqref="E52">
    <cfRule type="expression" dxfId="112" priority="14" stopIfTrue="1">
      <formula>$F$52="超过30%"</formula>
    </cfRule>
  </conditionalFormatting>
  <conditionalFormatting sqref="G54">
    <cfRule type="expression" dxfId="111" priority="12" stopIfTrue="1">
      <formula>$H$54="超过30%"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58402.819999999992</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2464</v>
      </c>
      <c r="B4" s="362"/>
      <c r="C4" s="3292" t="s">
        <v>2465</v>
      </c>
      <c r="D4" s="3305"/>
      <c r="E4" s="3306" t="s">
        <v>2466</v>
      </c>
      <c r="F4" s="3307"/>
      <c r="G4" s="3292" t="s">
        <v>2467</v>
      </c>
      <c r="H4" s="3305"/>
      <c r="I4" s="3292" t="s">
        <v>2468</v>
      </c>
      <c r="J4" s="3305"/>
      <c r="K4" s="567" t="s">
        <v>2469</v>
      </c>
      <c r="L4" s="2946"/>
      <c r="M4" s="2947"/>
      <c r="N4" s="2947"/>
      <c r="O4" s="2947"/>
      <c r="P4" s="3375" t="s">
        <v>2470</v>
      </c>
      <c r="Q4" s="3376"/>
      <c r="R4" s="3379" t="s">
        <v>2466</v>
      </c>
      <c r="S4" s="3380"/>
      <c r="T4" s="3379" t="s">
        <v>2467</v>
      </c>
      <c r="U4" s="3380"/>
      <c r="V4" s="3381" t="s">
        <v>2468</v>
      </c>
      <c r="W4" s="3381"/>
      <c r="X4" s="2146"/>
      <c r="Y4" s="3379" t="s">
        <v>2470</v>
      </c>
      <c r="Z4" s="3380"/>
      <c r="AA4" s="3383" t="s">
        <v>2466</v>
      </c>
      <c r="AB4" s="3383" t="s">
        <v>2467</v>
      </c>
      <c r="AC4" s="3372" t="s">
        <v>2468</v>
      </c>
    </row>
    <row r="5" spans="1:29" ht="15">
      <c r="A5" s="364"/>
      <c r="B5" s="365"/>
      <c r="C5" s="3322" t="s">
        <v>2361</v>
      </c>
      <c r="D5" s="3323"/>
      <c r="E5" s="3329" t="s">
        <v>2362</v>
      </c>
      <c r="F5" s="3330"/>
      <c r="G5" s="3322" t="s">
        <v>2363</v>
      </c>
      <c r="H5" s="3323"/>
      <c r="I5" s="3322" t="s">
        <v>2364</v>
      </c>
      <c r="J5" s="3323"/>
      <c r="K5" s="567"/>
      <c r="L5" s="2946"/>
      <c r="M5" s="2947"/>
      <c r="N5" s="2947"/>
      <c r="O5" s="2947"/>
      <c r="P5" s="3377"/>
      <c r="Q5" s="3311"/>
      <c r="R5" s="3316"/>
      <c r="S5" s="3317"/>
      <c r="T5" s="3316"/>
      <c r="U5" s="3317"/>
      <c r="V5" s="3301"/>
      <c r="W5" s="3301"/>
      <c r="X5" s="1541"/>
      <c r="Y5" s="3316"/>
      <c r="Z5" s="3317"/>
      <c r="AA5" s="3303"/>
      <c r="AB5" s="3303"/>
      <c r="AC5" s="3373"/>
    </row>
    <row r="6" spans="1:29" ht="15.75" thickBot="1">
      <c r="A6" s="366"/>
      <c r="B6" s="367"/>
      <c r="C6" s="3320" t="s">
        <v>2365</v>
      </c>
      <c r="D6" s="3321"/>
      <c r="E6" s="3327" t="s">
        <v>2365</v>
      </c>
      <c r="F6" s="3328"/>
      <c r="G6" s="3320" t="s">
        <v>2365</v>
      </c>
      <c r="H6" s="3321"/>
      <c r="I6" s="3320" t="s">
        <v>2365</v>
      </c>
      <c r="J6" s="3321"/>
      <c r="K6" s="567" t="s">
        <v>2366</v>
      </c>
      <c r="L6" s="2946"/>
      <c r="M6" s="2947"/>
      <c r="N6" s="2947"/>
      <c r="O6" s="2947"/>
      <c r="P6" s="3378"/>
      <c r="Q6" s="3313"/>
      <c r="R6" s="3316"/>
      <c r="S6" s="3317"/>
      <c r="T6" s="3318"/>
      <c r="U6" s="3319"/>
      <c r="V6" s="3301"/>
      <c r="W6" s="3301"/>
      <c r="X6" s="1541"/>
      <c r="Y6" s="3318"/>
      <c r="Z6" s="3319"/>
      <c r="AA6" s="3304"/>
      <c r="AB6" s="3304"/>
      <c r="AC6" s="3374"/>
    </row>
    <row r="7" spans="1:29" s="113" customFormat="1" ht="15.75" thickBot="1">
      <c r="A7" s="368" t="s">
        <v>2367</v>
      </c>
      <c r="B7" s="369"/>
      <c r="C7" s="370">
        <f>'数据-取费表'!B2</f>
        <v>44153</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82" t="s">
        <v>2368</v>
      </c>
      <c r="Q7" s="3326"/>
      <c r="R7" s="710" t="s">
        <v>17</v>
      </c>
      <c r="S7" s="711">
        <f t="shared" ref="S7:S15" si="0">F7</f>
        <v>0</v>
      </c>
      <c r="T7" s="710" t="s">
        <v>17</v>
      </c>
      <c r="U7" s="711">
        <f t="shared" ref="U7:U15" si="1">H7</f>
        <v>0</v>
      </c>
      <c r="V7" s="710" t="s">
        <v>17</v>
      </c>
      <c r="W7" s="711">
        <f t="shared" ref="W7:W15" si="2">J7</f>
        <v>0</v>
      </c>
      <c r="X7" s="712"/>
      <c r="Y7" s="3324" t="s">
        <v>2368</v>
      </c>
      <c r="Z7" s="3325"/>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82" t="s">
        <v>2371</v>
      </c>
      <c r="Q8" s="3325"/>
      <c r="R8" s="710" t="s">
        <v>17</v>
      </c>
      <c r="S8" s="711">
        <f t="shared" si="0"/>
        <v>0</v>
      </c>
      <c r="T8" s="710" t="s">
        <v>17</v>
      </c>
      <c r="U8" s="711">
        <f t="shared" si="1"/>
        <v>0</v>
      </c>
      <c r="V8" s="710" t="s">
        <v>17</v>
      </c>
      <c r="W8" s="711">
        <f t="shared" si="2"/>
        <v>0</v>
      </c>
      <c r="X8" s="712"/>
      <c r="Y8" s="3324" t="s">
        <v>2371</v>
      </c>
      <c r="Z8" s="3325"/>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94" t="s">
        <v>2374</v>
      </c>
      <c r="Q9" s="1529" t="str">
        <f t="shared" ref="Q9:Q15" si="6">B9</f>
        <v>用途</v>
      </c>
      <c r="R9" s="710" t="s">
        <v>17</v>
      </c>
      <c r="S9" s="711">
        <f t="shared" si="0"/>
        <v>100</v>
      </c>
      <c r="T9" s="710" t="s">
        <v>17</v>
      </c>
      <c r="U9" s="711">
        <f t="shared" si="1"/>
        <v>100</v>
      </c>
      <c r="V9" s="710" t="s">
        <v>17</v>
      </c>
      <c r="W9" s="711">
        <f t="shared" si="2"/>
        <v>100</v>
      </c>
      <c r="X9" s="712"/>
      <c r="Y9" s="3189"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94"/>
      <c r="Q10" s="1529"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94"/>
      <c r="Q11" s="1529" t="str">
        <f t="shared" si="6"/>
        <v>容积率</v>
      </c>
      <c r="R11" s="710" t="s">
        <v>17</v>
      </c>
      <c r="S11" s="711" t="e">
        <f t="shared" si="0"/>
        <v>#N/A</v>
      </c>
      <c r="T11" s="710" t="s">
        <v>17</v>
      </c>
      <c r="U11" s="711" t="e">
        <f t="shared" si="1"/>
        <v>#N/A</v>
      </c>
      <c r="V11" s="710" t="s">
        <v>17</v>
      </c>
      <c r="W11" s="711" t="e">
        <f t="shared" si="2"/>
        <v>#N/A</v>
      </c>
      <c r="X11" s="712"/>
      <c r="Y11" s="3189"/>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94"/>
      <c r="Q12" s="1529">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94"/>
      <c r="Q13" s="1529">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94"/>
      <c r="Q14" s="1529">
        <f t="shared" si="6"/>
        <v>111</v>
      </c>
      <c r="R14" s="710" t="s">
        <v>17</v>
      </c>
      <c r="S14" s="711">
        <f t="shared" si="0"/>
        <v>100</v>
      </c>
      <c r="T14" s="710" t="s">
        <v>17</v>
      </c>
      <c r="U14" s="711">
        <f t="shared" si="1"/>
        <v>100</v>
      </c>
      <c r="V14" s="710" t="s">
        <v>17</v>
      </c>
      <c r="W14" s="711">
        <f t="shared" si="2"/>
        <v>100</v>
      </c>
      <c r="X14" s="712"/>
      <c r="Y14" s="3189"/>
      <c r="Z14" s="55">
        <f t="shared" si="7"/>
        <v>111</v>
      </c>
      <c r="AA14" s="713">
        <f t="shared" si="3"/>
        <v>1</v>
      </c>
      <c r="AB14" s="713">
        <f t="shared" si="4"/>
        <v>1</v>
      </c>
      <c r="AC14" s="2147">
        <f t="shared" si="5"/>
        <v>1</v>
      </c>
    </row>
    <row r="15" spans="1:29" ht="71.25">
      <c r="A15" s="399" t="s">
        <v>2378</v>
      </c>
      <c r="B15" s="585" t="s">
        <v>2506</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33" t="s">
        <v>2379</v>
      </c>
      <c r="Q15" s="1538" t="str">
        <f t="shared" si="6"/>
        <v>办公集聚程度</v>
      </c>
      <c r="R15" s="714" t="s">
        <v>17</v>
      </c>
      <c r="S15" s="715">
        <f t="shared" si="0"/>
        <v>100</v>
      </c>
      <c r="T15" s="714" t="s">
        <v>17</v>
      </c>
      <c r="U15" s="715">
        <f t="shared" si="1"/>
        <v>100</v>
      </c>
      <c r="V15" s="714" t="s">
        <v>17</v>
      </c>
      <c r="W15" s="715">
        <f t="shared" si="2"/>
        <v>100</v>
      </c>
      <c r="X15" s="1541"/>
      <c r="Y15" s="3297"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34"/>
      <c r="Q16" s="1538"/>
      <c r="R16" s="714"/>
      <c r="S16" s="715"/>
      <c r="T16" s="714"/>
      <c r="U16" s="715"/>
      <c r="V16" s="714"/>
      <c r="W16" s="715"/>
      <c r="X16" s="1541"/>
      <c r="Y16" s="3298"/>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34"/>
      <c r="Q17" s="1538" t="str">
        <f>B17</f>
        <v>交通便捷度</v>
      </c>
      <c r="R17" s="714" t="s">
        <v>17</v>
      </c>
      <c r="S17" s="715">
        <f>F17</f>
        <v>100</v>
      </c>
      <c r="T17" s="714" t="s">
        <v>17</v>
      </c>
      <c r="U17" s="715">
        <f>H17</f>
        <v>100</v>
      </c>
      <c r="V17" s="714" t="s">
        <v>17</v>
      </c>
      <c r="W17" s="715">
        <f>J17</f>
        <v>100</v>
      </c>
      <c r="X17" s="1541"/>
      <c r="Y17" s="3298"/>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34"/>
      <c r="Q18" s="1538"/>
      <c r="R18" s="714"/>
      <c r="S18" s="715"/>
      <c r="T18" s="714"/>
      <c r="U18" s="715"/>
      <c r="V18" s="714"/>
      <c r="W18" s="715"/>
      <c r="X18" s="1541"/>
      <c r="Y18" s="3298"/>
      <c r="Z18" s="1542"/>
      <c r="AA18" s="1539">
        <v>1</v>
      </c>
      <c r="AB18" s="1539">
        <v>1</v>
      </c>
      <c r="AC18" s="2150">
        <v>1</v>
      </c>
    </row>
    <row r="19" spans="1:29" ht="42.75">
      <c r="A19" s="387"/>
      <c r="B19" s="587" t="s">
        <v>2507</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34"/>
      <c r="Q19" s="1538" t="str">
        <f>B19</f>
        <v>公共配套设施</v>
      </c>
      <c r="R19" s="714" t="s">
        <v>17</v>
      </c>
      <c r="S19" s="715">
        <f>F19</f>
        <v>100</v>
      </c>
      <c r="T19" s="714" t="s">
        <v>17</v>
      </c>
      <c r="U19" s="715">
        <f>H19</f>
        <v>100</v>
      </c>
      <c r="V19" s="714" t="s">
        <v>17</v>
      </c>
      <c r="W19" s="715">
        <f>J19</f>
        <v>100</v>
      </c>
      <c r="X19" s="1541"/>
      <c r="Y19" s="3298"/>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34"/>
      <c r="Q20" s="1538"/>
      <c r="R20" s="714"/>
      <c r="S20" s="715"/>
      <c r="T20" s="714"/>
      <c r="U20" s="715"/>
      <c r="V20" s="714"/>
      <c r="W20" s="715"/>
      <c r="X20" s="1541"/>
      <c r="Y20" s="3298"/>
      <c r="Z20" s="1542"/>
      <c r="AA20" s="1539">
        <v>1</v>
      </c>
      <c r="AB20" s="1539">
        <v>1</v>
      </c>
      <c r="AC20" s="2150">
        <v>1</v>
      </c>
    </row>
    <row r="21" spans="1:29" ht="28.5">
      <c r="A21" s="387"/>
      <c r="B21" s="589" t="s">
        <v>2508</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34"/>
      <c r="Q21" s="1538" t="str">
        <f>B21</f>
        <v>基础设施水平</v>
      </c>
      <c r="R21" s="714" t="s">
        <v>17</v>
      </c>
      <c r="S21" s="715">
        <f>F21</f>
        <v>100</v>
      </c>
      <c r="T21" s="714" t="s">
        <v>17</v>
      </c>
      <c r="U21" s="715">
        <f>H21</f>
        <v>100</v>
      </c>
      <c r="V21" s="714" t="s">
        <v>17</v>
      </c>
      <c r="W21" s="715">
        <f>J21</f>
        <v>100</v>
      </c>
      <c r="X21" s="1541"/>
      <c r="Y21" s="3298"/>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34"/>
      <c r="Q22" s="1538"/>
      <c r="R22" s="714"/>
      <c r="S22" s="715"/>
      <c r="T22" s="714"/>
      <c r="U22" s="715"/>
      <c r="V22" s="714"/>
      <c r="W22" s="715"/>
      <c r="X22" s="1541"/>
      <c r="Y22" s="3298"/>
      <c r="Z22" s="1542"/>
      <c r="AA22" s="1539">
        <v>1</v>
      </c>
      <c r="AB22" s="1539">
        <v>1</v>
      </c>
      <c r="AC22" s="2150">
        <v>1</v>
      </c>
    </row>
    <row r="23" spans="1:29" ht="42.75">
      <c r="A23" s="387"/>
      <c r="B23" s="587" t="s">
        <v>2509</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34"/>
      <c r="Q23" s="1538" t="str">
        <f>B23</f>
        <v>环境质量</v>
      </c>
      <c r="R23" s="714" t="s">
        <v>17</v>
      </c>
      <c r="S23" s="715">
        <f>F23</f>
        <v>100</v>
      </c>
      <c r="T23" s="714" t="s">
        <v>17</v>
      </c>
      <c r="U23" s="715">
        <f>H23</f>
        <v>100</v>
      </c>
      <c r="V23" s="714" t="s">
        <v>17</v>
      </c>
      <c r="W23" s="715">
        <f>J23</f>
        <v>100</v>
      </c>
      <c r="X23" s="1541"/>
      <c r="Y23" s="3298"/>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34"/>
      <c r="Q24" s="1538"/>
      <c r="R24" s="714"/>
      <c r="S24" s="715"/>
      <c r="T24" s="714"/>
      <c r="U24" s="715"/>
      <c r="V24" s="714"/>
      <c r="W24" s="715"/>
      <c r="X24" s="1541"/>
      <c r="Y24" s="3298"/>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34"/>
      <c r="Q25" s="1538" t="str">
        <f>B25</f>
        <v>毗邻道路的类型与等级</v>
      </c>
      <c r="R25" s="714" t="s">
        <v>17</v>
      </c>
      <c r="S25" s="715">
        <f>F25</f>
        <v>100</v>
      </c>
      <c r="T25" s="714" t="s">
        <v>17</v>
      </c>
      <c r="U25" s="715">
        <f>H25</f>
        <v>100</v>
      </c>
      <c r="V25" s="714" t="s">
        <v>17</v>
      </c>
      <c r="W25" s="715">
        <f>J25</f>
        <v>100</v>
      </c>
      <c r="X25" s="1541"/>
      <c r="Y25" s="3298"/>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34"/>
      <c r="Q26" s="1538"/>
      <c r="R26" s="714"/>
      <c r="S26" s="715"/>
      <c r="T26" s="714"/>
      <c r="U26" s="715"/>
      <c r="V26" s="714"/>
      <c r="W26" s="715"/>
      <c r="X26" s="1541"/>
      <c r="Y26" s="3298"/>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34"/>
      <c r="Q27" s="1538" t="str">
        <f t="shared" ref="Q27:Q47" si="11">B27</f>
        <v>楼层</v>
      </c>
      <c r="R27" s="714" t="s">
        <v>17</v>
      </c>
      <c r="S27" s="715">
        <f>F27</f>
        <v>100</v>
      </c>
      <c r="T27" s="714" t="s">
        <v>17</v>
      </c>
      <c r="U27" s="715">
        <f>H27</f>
        <v>100</v>
      </c>
      <c r="V27" s="714" t="s">
        <v>17</v>
      </c>
      <c r="W27" s="715">
        <f>J27</f>
        <v>100</v>
      </c>
      <c r="X27" s="1541"/>
      <c r="Y27" s="3298"/>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34"/>
      <c r="Q28" s="1529" t="str">
        <f t="shared" si="11"/>
        <v>朝向</v>
      </c>
      <c r="R28" s="710" t="s">
        <v>17</v>
      </c>
      <c r="S28" s="711">
        <f>F28</f>
        <v>100</v>
      </c>
      <c r="T28" s="710" t="s">
        <v>17</v>
      </c>
      <c r="U28" s="711">
        <f>H28</f>
        <v>100</v>
      </c>
      <c r="V28" s="710" t="s">
        <v>17</v>
      </c>
      <c r="W28" s="711">
        <f>J28</f>
        <v>100</v>
      </c>
      <c r="X28" s="712"/>
      <c r="Y28" s="3298"/>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34"/>
      <c r="Q29" s="1538">
        <f t="shared" si="11"/>
        <v>111</v>
      </c>
      <c r="R29" s="714" t="s">
        <v>17</v>
      </c>
      <c r="S29" s="715">
        <f t="shared" ref="S29:S47" si="12">F29</f>
        <v>100</v>
      </c>
      <c r="T29" s="714" t="s">
        <v>17</v>
      </c>
      <c r="U29" s="715">
        <f t="shared" ref="U29:U47" si="13">H29</f>
        <v>100</v>
      </c>
      <c r="V29" s="714" t="s">
        <v>17</v>
      </c>
      <c r="W29" s="715">
        <f t="shared" ref="W29:W47" si="14">J29</f>
        <v>100</v>
      </c>
      <c r="X29" s="1541"/>
      <c r="Y29" s="3298"/>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34"/>
      <c r="Q30" s="1538">
        <f t="shared" si="11"/>
        <v>111</v>
      </c>
      <c r="R30" s="714" t="s">
        <v>17</v>
      </c>
      <c r="S30" s="715">
        <f t="shared" si="12"/>
        <v>100</v>
      </c>
      <c r="T30" s="714" t="s">
        <v>17</v>
      </c>
      <c r="U30" s="715">
        <f t="shared" si="13"/>
        <v>100</v>
      </c>
      <c r="V30" s="714" t="s">
        <v>17</v>
      </c>
      <c r="W30" s="715">
        <f t="shared" si="14"/>
        <v>100</v>
      </c>
      <c r="X30" s="1541"/>
      <c r="Y30" s="3298"/>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34"/>
      <c r="Q31" s="1538">
        <f t="shared" si="11"/>
        <v>111</v>
      </c>
      <c r="R31" s="714" t="s">
        <v>17</v>
      </c>
      <c r="S31" s="715">
        <f t="shared" si="12"/>
        <v>100</v>
      </c>
      <c r="T31" s="714" t="s">
        <v>17</v>
      </c>
      <c r="U31" s="715">
        <f t="shared" si="13"/>
        <v>100</v>
      </c>
      <c r="V31" s="714" t="s">
        <v>17</v>
      </c>
      <c r="W31" s="715">
        <f t="shared" si="14"/>
        <v>100</v>
      </c>
      <c r="X31" s="1541"/>
      <c r="Y31" s="3298"/>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34"/>
      <c r="Q32" s="1538">
        <f t="shared" si="11"/>
        <v>111</v>
      </c>
      <c r="R32" s="714" t="s">
        <v>17</v>
      </c>
      <c r="S32" s="715">
        <f t="shared" si="12"/>
        <v>100</v>
      </c>
      <c r="T32" s="714" t="s">
        <v>17</v>
      </c>
      <c r="U32" s="715">
        <f t="shared" si="13"/>
        <v>100</v>
      </c>
      <c r="V32" s="714" t="s">
        <v>17</v>
      </c>
      <c r="W32" s="715">
        <f t="shared" si="14"/>
        <v>100</v>
      </c>
      <c r="X32" s="1541"/>
      <c r="Y32" s="3298"/>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35" t="s">
        <v>2384</v>
      </c>
      <c r="Q33" s="1538" t="str">
        <f t="shared" si="11"/>
        <v>建筑类型</v>
      </c>
      <c r="R33" s="714" t="s">
        <v>17</v>
      </c>
      <c r="S33" s="715">
        <f t="shared" si="12"/>
        <v>100</v>
      </c>
      <c r="T33" s="714" t="s">
        <v>17</v>
      </c>
      <c r="U33" s="715">
        <f t="shared" si="13"/>
        <v>100</v>
      </c>
      <c r="V33" s="714" t="s">
        <v>17</v>
      </c>
      <c r="W33" s="715">
        <f t="shared" si="14"/>
        <v>100</v>
      </c>
      <c r="X33" s="1541"/>
      <c r="Y33" s="3300"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36"/>
      <c r="Q34" s="716" t="str">
        <f t="shared" si="11"/>
        <v>项目建筑规模</v>
      </c>
      <c r="R34" s="717" t="s">
        <v>17</v>
      </c>
      <c r="S34" s="718" t="e">
        <f t="shared" si="12"/>
        <v>#N/A</v>
      </c>
      <c r="T34" s="717" t="s">
        <v>17</v>
      </c>
      <c r="U34" s="718" t="e">
        <f t="shared" si="13"/>
        <v>#N/A</v>
      </c>
      <c r="V34" s="717" t="s">
        <v>17</v>
      </c>
      <c r="W34" s="718" t="e">
        <f t="shared" si="14"/>
        <v>#N/A</v>
      </c>
      <c r="X34" s="719"/>
      <c r="Y34" s="3300"/>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36"/>
      <c r="Q35" s="1538" t="str">
        <f t="shared" si="11"/>
        <v>建筑结构</v>
      </c>
      <c r="R35" s="714" t="s">
        <v>17</v>
      </c>
      <c r="S35" s="715">
        <f t="shared" si="12"/>
        <v>100</v>
      </c>
      <c r="T35" s="714" t="s">
        <v>17</v>
      </c>
      <c r="U35" s="715">
        <f t="shared" si="13"/>
        <v>100</v>
      </c>
      <c r="V35" s="714" t="s">
        <v>17</v>
      </c>
      <c r="W35" s="715">
        <f t="shared" si="14"/>
        <v>100</v>
      </c>
      <c r="X35" s="1541"/>
      <c r="Y35" s="3300"/>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36"/>
      <c r="Q36" s="1538" t="str">
        <f t="shared" si="11"/>
        <v>公共部分装修</v>
      </c>
      <c r="R36" s="714" t="s">
        <v>17</v>
      </c>
      <c r="S36" s="715">
        <f t="shared" si="12"/>
        <v>100</v>
      </c>
      <c r="T36" s="714" t="s">
        <v>17</v>
      </c>
      <c r="U36" s="715">
        <f t="shared" si="13"/>
        <v>100</v>
      </c>
      <c r="V36" s="714" t="s">
        <v>17</v>
      </c>
      <c r="W36" s="715">
        <f t="shared" si="14"/>
        <v>100</v>
      </c>
      <c r="X36" s="1541"/>
      <c r="Y36" s="3300"/>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36"/>
      <c r="Q37" s="1538" t="str">
        <f t="shared" si="11"/>
        <v>成新度</v>
      </c>
      <c r="R37" s="714" t="s">
        <v>17</v>
      </c>
      <c r="S37" s="715" t="e">
        <f t="shared" si="12"/>
        <v>#N/A</v>
      </c>
      <c r="T37" s="714" t="s">
        <v>17</v>
      </c>
      <c r="U37" s="715" t="e">
        <f t="shared" si="13"/>
        <v>#N/A</v>
      </c>
      <c r="V37" s="714" t="s">
        <v>17</v>
      </c>
      <c r="W37" s="715" t="e">
        <f t="shared" si="14"/>
        <v>#N/A</v>
      </c>
      <c r="X37" s="1541"/>
      <c r="Y37" s="3300"/>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36"/>
      <c r="Q38" s="1529" t="str">
        <f t="shared" si="11"/>
        <v>写字楼等级</v>
      </c>
      <c r="R38" s="710" t="s">
        <v>17</v>
      </c>
      <c r="S38" s="711">
        <f t="shared" si="12"/>
        <v>100</v>
      </c>
      <c r="T38" s="710" t="s">
        <v>17</v>
      </c>
      <c r="U38" s="711">
        <f t="shared" si="13"/>
        <v>100</v>
      </c>
      <c r="V38" s="710" t="s">
        <v>17</v>
      </c>
      <c r="W38" s="711">
        <f t="shared" si="14"/>
        <v>100</v>
      </c>
      <c r="X38" s="712"/>
      <c r="Y38" s="3300"/>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36" t="s">
        <v>2384</v>
      </c>
      <c r="Q39" s="1538" t="str">
        <f t="shared" si="11"/>
        <v>物业管理</v>
      </c>
      <c r="R39" s="714" t="s">
        <v>17</v>
      </c>
      <c r="S39" s="715">
        <f t="shared" si="12"/>
        <v>100</v>
      </c>
      <c r="T39" s="714" t="s">
        <v>17</v>
      </c>
      <c r="U39" s="715">
        <f t="shared" si="13"/>
        <v>100</v>
      </c>
      <c r="V39" s="714" t="s">
        <v>17</v>
      </c>
      <c r="W39" s="715">
        <f t="shared" si="14"/>
        <v>100</v>
      </c>
      <c r="X39" s="1541"/>
      <c r="Y39" s="3300"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36"/>
      <c r="Q40" s="1538" t="str">
        <f t="shared" si="11"/>
        <v>市政基础设施</v>
      </c>
      <c r="R40" s="714" t="s">
        <v>17</v>
      </c>
      <c r="S40" s="715">
        <f t="shared" si="12"/>
        <v>100</v>
      </c>
      <c r="T40" s="714" t="s">
        <v>17</v>
      </c>
      <c r="U40" s="715">
        <f t="shared" si="13"/>
        <v>100</v>
      </c>
      <c r="V40" s="714" t="s">
        <v>17</v>
      </c>
      <c r="W40" s="715">
        <f t="shared" si="14"/>
        <v>100</v>
      </c>
      <c r="X40" s="1541"/>
      <c r="Y40" s="3300"/>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36"/>
      <c r="Q41" s="1538" t="str">
        <f t="shared" si="11"/>
        <v>层高</v>
      </c>
      <c r="R41" s="714" t="s">
        <v>17</v>
      </c>
      <c r="S41" s="715">
        <f t="shared" si="12"/>
        <v>100</v>
      </c>
      <c r="T41" s="714" t="s">
        <v>17</v>
      </c>
      <c r="U41" s="715">
        <f t="shared" si="13"/>
        <v>100</v>
      </c>
      <c r="V41" s="714" t="s">
        <v>17</v>
      </c>
      <c r="W41" s="715">
        <f t="shared" si="14"/>
        <v>100</v>
      </c>
      <c r="X41" s="1541"/>
      <c r="Y41" s="3300"/>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36"/>
      <c r="Q42" s="716" t="str">
        <f t="shared" si="11"/>
        <v>单套建筑面积</v>
      </c>
      <c r="R42" s="717" t="s">
        <v>17</v>
      </c>
      <c r="S42" s="718">
        <f t="shared" si="12"/>
        <v>100</v>
      </c>
      <c r="T42" s="717" t="s">
        <v>17</v>
      </c>
      <c r="U42" s="718">
        <f t="shared" si="13"/>
        <v>100</v>
      </c>
      <c r="V42" s="717" t="s">
        <v>17</v>
      </c>
      <c r="W42" s="718">
        <f t="shared" si="14"/>
        <v>100</v>
      </c>
      <c r="X42" s="719"/>
      <c r="Y42" s="3300"/>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36"/>
      <c r="Q43" s="1538" t="str">
        <f t="shared" si="11"/>
        <v>内部装修</v>
      </c>
      <c r="R43" s="714" t="s">
        <v>17</v>
      </c>
      <c r="S43" s="715">
        <f t="shared" si="12"/>
        <v>100</v>
      </c>
      <c r="T43" s="714" t="s">
        <v>17</v>
      </c>
      <c r="U43" s="715">
        <f t="shared" si="13"/>
        <v>100</v>
      </c>
      <c r="V43" s="714" t="s">
        <v>17</v>
      </c>
      <c r="W43" s="715">
        <f t="shared" si="14"/>
        <v>100</v>
      </c>
      <c r="X43" s="1541"/>
      <c r="Y43" s="3300"/>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36"/>
      <c r="Q44" s="1538" t="str">
        <f t="shared" si="11"/>
        <v>内部装修维护情况</v>
      </c>
      <c r="R44" s="714" t="s">
        <v>17</v>
      </c>
      <c r="S44" s="715">
        <f t="shared" si="12"/>
        <v>100</v>
      </c>
      <c r="T44" s="714" t="s">
        <v>17</v>
      </c>
      <c r="U44" s="715">
        <f t="shared" si="13"/>
        <v>100</v>
      </c>
      <c r="V44" s="714" t="s">
        <v>17</v>
      </c>
      <c r="W44" s="715">
        <f t="shared" si="14"/>
        <v>100</v>
      </c>
      <c r="X44" s="1541"/>
      <c r="Y44" s="3300"/>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36"/>
      <c r="Q45" s="1529">
        <f t="shared" si="11"/>
        <v>111</v>
      </c>
      <c r="R45" s="710" t="s">
        <v>17</v>
      </c>
      <c r="S45" s="711">
        <f t="shared" si="12"/>
        <v>100</v>
      </c>
      <c r="T45" s="710" t="s">
        <v>17</v>
      </c>
      <c r="U45" s="711">
        <f t="shared" si="13"/>
        <v>100</v>
      </c>
      <c r="V45" s="710" t="s">
        <v>17</v>
      </c>
      <c r="W45" s="711">
        <f t="shared" si="14"/>
        <v>100</v>
      </c>
      <c r="X45" s="712"/>
      <c r="Y45" s="3300"/>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36"/>
      <c r="Q46" s="1538">
        <f t="shared" si="11"/>
        <v>111</v>
      </c>
      <c r="R46" s="714" t="s">
        <v>17</v>
      </c>
      <c r="S46" s="715">
        <f t="shared" si="12"/>
        <v>100</v>
      </c>
      <c r="T46" s="714" t="s">
        <v>17</v>
      </c>
      <c r="U46" s="715">
        <f t="shared" si="13"/>
        <v>100</v>
      </c>
      <c r="V46" s="714" t="s">
        <v>17</v>
      </c>
      <c r="W46" s="715">
        <f t="shared" si="14"/>
        <v>100</v>
      </c>
      <c r="X46" s="1541"/>
      <c r="Y46" s="3300"/>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37"/>
      <c r="Q47" s="1538">
        <f t="shared" si="11"/>
        <v>111</v>
      </c>
      <c r="R47" s="714" t="s">
        <v>17</v>
      </c>
      <c r="S47" s="715">
        <f t="shared" si="12"/>
        <v>100</v>
      </c>
      <c r="T47" s="714" t="s">
        <v>17</v>
      </c>
      <c r="U47" s="715">
        <f t="shared" si="13"/>
        <v>100</v>
      </c>
      <c r="V47" s="714" t="s">
        <v>17</v>
      </c>
      <c r="W47" s="715">
        <f t="shared" si="14"/>
        <v>100</v>
      </c>
      <c r="X47" s="1541"/>
      <c r="Y47" s="3338"/>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5"/>
      <c r="M48" s="2947"/>
      <c r="N48" s="2947"/>
      <c r="O48" s="2947"/>
      <c r="P48" s="3294" t="str">
        <f>A48</f>
        <v>成交单价（元/平方米）</v>
      </c>
      <c r="Q48" s="3295"/>
      <c r="R48" s="3331">
        <f>E48</f>
        <v>0</v>
      </c>
      <c r="S48" s="3331"/>
      <c r="T48" s="3331">
        <f>G48</f>
        <v>0</v>
      </c>
      <c r="U48" s="3331"/>
      <c r="V48" s="3331">
        <f>I48</f>
        <v>0</v>
      </c>
      <c r="W48" s="3331"/>
      <c r="X48" s="405"/>
      <c r="Y48" s="721"/>
      <c r="Z48" s="405"/>
      <c r="AA48" s="405"/>
      <c r="AB48" s="405"/>
      <c r="AC48" s="586"/>
    </row>
    <row r="49" spans="1:29" ht="15.75" thickBot="1">
      <c r="A49" s="445" t="s">
        <v>2488</v>
      </c>
      <c r="B49" s="446"/>
      <c r="C49" s="1322" t="e">
        <f>R50</f>
        <v>#DIV/0!</v>
      </c>
      <c r="D49" s="2540" t="s">
        <v>2879</v>
      </c>
      <c r="E49" s="1323" t="e">
        <f>R49</f>
        <v>#DIV/0!</v>
      </c>
      <c r="F49" s="2541"/>
      <c r="G49" s="1322" t="e">
        <f>T49</f>
        <v>#DIV/0!</v>
      </c>
      <c r="H49" s="2541"/>
      <c r="I49" s="1323" t="e">
        <f>V49</f>
        <v>#DIV/0!</v>
      </c>
      <c r="J49" s="2541"/>
      <c r="K49" s="2543">
        <f>F49+H49+J49</f>
        <v>0</v>
      </c>
      <c r="L49" s="2955"/>
      <c r="M49" s="2947"/>
      <c r="N49" s="2947"/>
      <c r="O49" s="2947"/>
      <c r="P49" s="3294" t="str">
        <f>A49</f>
        <v>比较价值（元/平方米）</v>
      </c>
      <c r="Q49" s="3295"/>
      <c r="R49" s="3331" t="e">
        <f>IF(F1="售价",ROUND(PRODUCT(R48,AA7:AA47),0),ROUND(PRODUCT(R48,AA7:AA47),1))</f>
        <v>#DIV/0!</v>
      </c>
      <c r="S49" s="3331"/>
      <c r="T49" s="3331" t="e">
        <f>IF(F1="售价",ROUND(PRODUCT(T48,AB7:AB47),0),ROUND(PRODUCT(T48,AB7:AB47),1))</f>
        <v>#DIV/0!</v>
      </c>
      <c r="U49" s="3331"/>
      <c r="V49" s="3331" t="e">
        <f>IF(F1="售价",ROUND(PRODUCT(V48,AC7:AC47),0),ROUND(PRODUCT(V48,AC7:AC47),1))</f>
        <v>#DIV/0!</v>
      </c>
      <c r="W49" s="3331"/>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5"/>
      <c r="M50" s="2947"/>
      <c r="N50" s="2947"/>
      <c r="O50" s="2947"/>
      <c r="P50" s="3369" t="str">
        <f>A50</f>
        <v>估价对象XX用房的比较价值（楼面单价，元/平方米）</v>
      </c>
      <c r="Q50" s="3370"/>
      <c r="R50" s="3371" t="e">
        <f>IF(F1="售价",ROUND(IF(D49="简单平均",AVERAGE(R49:V49),R49*F49+T49*H49+V49*J49),0),ROUND(IF(D49="简单平均",AVERAGE(R49:V49),R49*F49+T49*H49+V49*J49),1))</f>
        <v>#DIV/0!</v>
      </c>
      <c r="S50" s="3371"/>
      <c r="T50" s="3371"/>
      <c r="U50" s="3371"/>
      <c r="V50" s="3371"/>
      <c r="W50" s="3371"/>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2493</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2367</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2404</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2369</v>
      </c>
      <c r="B62" s="467"/>
      <c r="C62" s="479" t="s">
        <v>2471</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2407</v>
      </c>
      <c r="B64" s="485" t="s">
        <v>2373</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2378</v>
      </c>
      <c r="B77" s="485" t="s">
        <v>2516</v>
      </c>
      <c r="C77" s="530" t="s">
        <v>2416</v>
      </c>
      <c r="D77" s="530" t="s">
        <v>2417</v>
      </c>
      <c r="E77" s="530" t="s">
        <v>2418</v>
      </c>
      <c r="F77" s="530" t="s">
        <v>2419</v>
      </c>
      <c r="G77" s="530" t="s">
        <v>2420</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2421</v>
      </c>
      <c r="C79" s="535" t="s">
        <v>2416</v>
      </c>
      <c r="D79" s="535" t="s">
        <v>2417</v>
      </c>
      <c r="E79" s="535" t="s">
        <v>2418</v>
      </c>
      <c r="F79" s="535" t="s">
        <v>2419</v>
      </c>
      <c r="G79" s="535" t="s">
        <v>2420</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2422</v>
      </c>
      <c r="C81" s="535" t="s">
        <v>2416</v>
      </c>
      <c r="D81" s="535" t="s">
        <v>2417</v>
      </c>
      <c r="E81" s="535" t="s">
        <v>2418</v>
      </c>
      <c r="F81" s="535" t="s">
        <v>2419</v>
      </c>
      <c r="G81" s="535" t="s">
        <v>2420</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2508</v>
      </c>
      <c r="C83" s="616" t="s">
        <v>2494</v>
      </c>
      <c r="D83" s="616" t="s">
        <v>2495</v>
      </c>
      <c r="E83" s="616" t="s">
        <v>2496</v>
      </c>
      <c r="F83" s="616" t="s">
        <v>2497</v>
      </c>
      <c r="G83" s="616" t="s">
        <v>2498</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2517</v>
      </c>
      <c r="C85" s="535" t="s">
        <v>2416</v>
      </c>
      <c r="D85" s="535" t="s">
        <v>2417</v>
      </c>
      <c r="E85" s="535" t="s">
        <v>2418</v>
      </c>
      <c r="F85" s="535" t="s">
        <v>2419</v>
      </c>
      <c r="G85" s="535" t="s">
        <v>2420</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2518</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2382</v>
      </c>
      <c r="B101" s="485" t="s">
        <v>2431</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2433</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2435</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2519</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2436</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2437</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2520</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2503</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2439</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58402.819999999992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92" t="s">
        <v>2465</v>
      </c>
      <c r="D4" s="3305"/>
      <c r="E4" s="3306" t="s">
        <v>2466</v>
      </c>
      <c r="F4" s="3307"/>
      <c r="G4" s="3292" t="s">
        <v>2467</v>
      </c>
      <c r="H4" s="3305"/>
      <c r="I4" s="3292" t="s">
        <v>2468</v>
      </c>
      <c r="J4" s="3305"/>
      <c r="K4" s="567" t="s">
        <v>2469</v>
      </c>
      <c r="L4" s="1044"/>
      <c r="M4" s="1045"/>
      <c r="N4" s="1045"/>
      <c r="O4" s="1045"/>
      <c r="P4" s="3308" t="s">
        <v>2470</v>
      </c>
      <c r="Q4" s="3309"/>
      <c r="R4" s="3314" t="s">
        <v>2466</v>
      </c>
      <c r="S4" s="3315"/>
      <c r="T4" s="3314" t="s">
        <v>2467</v>
      </c>
      <c r="U4" s="3315"/>
      <c r="V4" s="3301" t="s">
        <v>2468</v>
      </c>
      <c r="W4" s="3301"/>
      <c r="X4" s="1541"/>
      <c r="Y4" s="3314" t="s">
        <v>2470</v>
      </c>
      <c r="Z4" s="3315"/>
      <c r="AA4" s="3302" t="s">
        <v>2466</v>
      </c>
      <c r="AB4" s="3303" t="s">
        <v>2467</v>
      </c>
      <c r="AC4" s="3302" t="s">
        <v>2468</v>
      </c>
    </row>
    <row r="5" spans="1:29" ht="15">
      <c r="A5" s="364"/>
      <c r="B5" s="365"/>
      <c r="C5" s="3322" t="s">
        <v>2361</v>
      </c>
      <c r="D5" s="3323"/>
      <c r="E5" s="3329" t="s">
        <v>2362</v>
      </c>
      <c r="F5" s="3330"/>
      <c r="G5" s="3322" t="s">
        <v>2363</v>
      </c>
      <c r="H5" s="3323"/>
      <c r="I5" s="3322" t="s">
        <v>2364</v>
      </c>
      <c r="J5" s="3323"/>
      <c r="K5" s="567"/>
      <c r="L5" s="1044"/>
      <c r="M5" s="1045"/>
      <c r="N5" s="1045"/>
      <c r="O5" s="1045"/>
      <c r="P5" s="3310"/>
      <c r="Q5" s="3311"/>
      <c r="R5" s="3316"/>
      <c r="S5" s="3317"/>
      <c r="T5" s="3316"/>
      <c r="U5" s="3317"/>
      <c r="V5" s="3301"/>
      <c r="W5" s="3301"/>
      <c r="X5" s="1541"/>
      <c r="Y5" s="3316"/>
      <c r="Z5" s="3317"/>
      <c r="AA5" s="3303"/>
      <c r="AB5" s="3303"/>
      <c r="AC5" s="3303"/>
    </row>
    <row r="6" spans="1:29" ht="15.75" thickBot="1">
      <c r="A6" s="366"/>
      <c r="B6" s="367"/>
      <c r="C6" s="3320" t="s">
        <v>2365</v>
      </c>
      <c r="D6" s="3321"/>
      <c r="E6" s="3327" t="s">
        <v>2365</v>
      </c>
      <c r="F6" s="3328"/>
      <c r="G6" s="3320" t="s">
        <v>2365</v>
      </c>
      <c r="H6" s="3321"/>
      <c r="I6" s="3320" t="s">
        <v>2365</v>
      </c>
      <c r="J6" s="3321"/>
      <c r="K6" s="567" t="s">
        <v>2366</v>
      </c>
      <c r="L6" s="1044"/>
      <c r="M6" s="1045"/>
      <c r="N6" s="1045"/>
      <c r="O6" s="1045"/>
      <c r="P6" s="3312"/>
      <c r="Q6" s="3313"/>
      <c r="R6" s="3316"/>
      <c r="S6" s="3317"/>
      <c r="T6" s="3318"/>
      <c r="U6" s="3319"/>
      <c r="V6" s="3301"/>
      <c r="W6" s="3301"/>
      <c r="X6" s="1541"/>
      <c r="Y6" s="3318"/>
      <c r="Z6" s="3319"/>
      <c r="AA6" s="3304"/>
      <c r="AB6" s="3304"/>
      <c r="AC6" s="3304"/>
    </row>
    <row r="7" spans="1:29" s="113" customFormat="1" ht="15.75" thickBot="1">
      <c r="A7" s="368" t="s">
        <v>2367</v>
      </c>
      <c r="B7" s="369"/>
      <c r="C7" s="370">
        <f>'数据-取费表'!B2</f>
        <v>44153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4" t="s">
        <v>2368</v>
      </c>
      <c r="Q7" s="3326"/>
      <c r="R7" s="710" t="s">
        <v>17</v>
      </c>
      <c r="S7" s="711">
        <f t="shared" ref="S7:S15" si="0">F7</f>
        <v>0</v>
      </c>
      <c r="T7" s="710" t="s">
        <v>17</v>
      </c>
      <c r="U7" s="711">
        <f t="shared" ref="U7:U15" si="1">H7</f>
        <v>0</v>
      </c>
      <c r="V7" s="710" t="s">
        <v>17</v>
      </c>
      <c r="W7" s="711">
        <f t="shared" ref="W7:W15" si="2">J7</f>
        <v>0</v>
      </c>
      <c r="X7" s="712"/>
      <c r="Y7" s="3324" t="s">
        <v>2368</v>
      </c>
      <c r="Z7" s="3325"/>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4" t="s">
        <v>2371</v>
      </c>
      <c r="Q8" s="3325"/>
      <c r="R8" s="710" t="s">
        <v>17</v>
      </c>
      <c r="S8" s="711">
        <f t="shared" si="0"/>
        <v>0</v>
      </c>
      <c r="T8" s="710" t="s">
        <v>17</v>
      </c>
      <c r="U8" s="711">
        <f t="shared" si="1"/>
        <v>0</v>
      </c>
      <c r="V8" s="710" t="s">
        <v>17</v>
      </c>
      <c r="W8" s="711">
        <f t="shared" si="2"/>
        <v>0</v>
      </c>
      <c r="X8" s="712"/>
      <c r="Y8" s="3324" t="s">
        <v>2371</v>
      </c>
      <c r="Z8" s="3325"/>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5" t="s">
        <v>2374</v>
      </c>
      <c r="Q9" s="1529" t="str">
        <f t="shared" ref="Q9:Q15" si="6">B9</f>
        <v>用途</v>
      </c>
      <c r="R9" s="710" t="s">
        <v>17</v>
      </c>
      <c r="S9" s="711">
        <f t="shared" si="0"/>
        <v>100</v>
      </c>
      <c r="T9" s="710" t="s">
        <v>17</v>
      </c>
      <c r="U9" s="711">
        <f t="shared" si="1"/>
        <v>100</v>
      </c>
      <c r="V9" s="710" t="s">
        <v>17</v>
      </c>
      <c r="W9" s="711">
        <f t="shared" si="2"/>
        <v>100</v>
      </c>
      <c r="X9" s="712"/>
      <c r="Y9" s="318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5"/>
      <c r="Q10" s="1529"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5"/>
      <c r="Q11" s="1529" t="str">
        <f t="shared" si="6"/>
        <v>容积率</v>
      </c>
      <c r="R11" s="710" t="s">
        <v>17</v>
      </c>
      <c r="S11" s="711" t="e">
        <f t="shared" si="0"/>
        <v>#N/A</v>
      </c>
      <c r="T11" s="710" t="s">
        <v>17</v>
      </c>
      <c r="U11" s="711" t="e">
        <f t="shared" si="1"/>
        <v>#N/A</v>
      </c>
      <c r="V11" s="710" t="s">
        <v>17</v>
      </c>
      <c r="W11" s="711" t="e">
        <f t="shared" si="2"/>
        <v>#N/A</v>
      </c>
      <c r="X11" s="712"/>
      <c r="Y11" s="3189"/>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95"/>
      <c r="Q12" s="1529">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95"/>
      <c r="Q13" s="1529">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95"/>
      <c r="Q14" s="1529">
        <f t="shared" si="6"/>
        <v>111</v>
      </c>
      <c r="R14" s="710" t="s">
        <v>17</v>
      </c>
      <c r="S14" s="711">
        <f t="shared" si="0"/>
        <v>100</v>
      </c>
      <c r="T14" s="710" t="s">
        <v>17</v>
      </c>
      <c r="U14" s="711">
        <f t="shared" si="1"/>
        <v>100</v>
      </c>
      <c r="V14" s="710" t="s">
        <v>17</v>
      </c>
      <c r="W14" s="711">
        <f t="shared" si="2"/>
        <v>100</v>
      </c>
      <c r="X14" s="712"/>
      <c r="Y14" s="3189"/>
      <c r="Z14" s="55">
        <f t="shared" si="7"/>
        <v>111</v>
      </c>
      <c r="AA14" s="713">
        <f t="shared" si="3"/>
        <v>1</v>
      </c>
      <c r="AB14" s="713">
        <f t="shared" si="4"/>
        <v>1</v>
      </c>
      <c r="AC14" s="713">
        <f t="shared" si="5"/>
        <v>1</v>
      </c>
    </row>
    <row r="15" spans="1:29" ht="57">
      <c r="A15" s="399" t="s">
        <v>2378</v>
      </c>
      <c r="B15" s="65" t="s">
        <v>2522</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7" t="s">
        <v>2379</v>
      </c>
      <c r="Q15" s="1538" t="str">
        <f t="shared" si="6"/>
        <v>产业集聚程度</v>
      </c>
      <c r="R15" s="714" t="s">
        <v>17</v>
      </c>
      <c r="S15" s="715">
        <f t="shared" si="0"/>
        <v>100</v>
      </c>
      <c r="T15" s="714" t="s">
        <v>17</v>
      </c>
      <c r="U15" s="715">
        <f t="shared" si="1"/>
        <v>100</v>
      </c>
      <c r="V15" s="714" t="s">
        <v>17</v>
      </c>
      <c r="W15" s="715">
        <f t="shared" si="2"/>
        <v>100</v>
      </c>
      <c r="X15" s="1541"/>
      <c r="Y15" s="3297"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98"/>
      <c r="Q16" s="1538"/>
      <c r="R16" s="714"/>
      <c r="S16" s="715"/>
      <c r="T16" s="714"/>
      <c r="U16" s="715"/>
      <c r="V16" s="714"/>
      <c r="W16" s="715"/>
      <c r="X16" s="1541"/>
      <c r="Y16" s="3298"/>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8"/>
      <c r="Q17" s="1538" t="str">
        <f>B17</f>
        <v>交通便捷度</v>
      </c>
      <c r="R17" s="714" t="s">
        <v>17</v>
      </c>
      <c r="S17" s="715">
        <f>F17</f>
        <v>100</v>
      </c>
      <c r="T17" s="714" t="s">
        <v>17</v>
      </c>
      <c r="U17" s="715">
        <f>H17</f>
        <v>100</v>
      </c>
      <c r="V17" s="714" t="s">
        <v>17</v>
      </c>
      <c r="W17" s="715">
        <f>J17</f>
        <v>100</v>
      </c>
      <c r="X17" s="1541"/>
      <c r="Y17" s="329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98"/>
      <c r="Q18" s="1538"/>
      <c r="R18" s="714"/>
      <c r="S18" s="715"/>
      <c r="T18" s="714"/>
      <c r="U18" s="715"/>
      <c r="V18" s="714"/>
      <c r="W18" s="715"/>
      <c r="X18" s="1541"/>
      <c r="Y18" s="3298"/>
      <c r="Z18" s="1542"/>
      <c r="AA18" s="1539">
        <v>1</v>
      </c>
      <c r="AB18" s="1539">
        <v>1</v>
      </c>
      <c r="AC18" s="1539">
        <v>1</v>
      </c>
    </row>
    <row r="19" spans="1:29" ht="42.75">
      <c r="A19" s="387"/>
      <c r="B19" s="410" t="s">
        <v>2507</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8"/>
      <c r="Q19" s="1538" t="str">
        <f>B19</f>
        <v>公共配套设施</v>
      </c>
      <c r="R19" s="714" t="s">
        <v>17</v>
      </c>
      <c r="S19" s="715">
        <f>F19</f>
        <v>100</v>
      </c>
      <c r="T19" s="714" t="s">
        <v>17</v>
      </c>
      <c r="U19" s="715">
        <f>H19</f>
        <v>100</v>
      </c>
      <c r="V19" s="714" t="s">
        <v>17</v>
      </c>
      <c r="W19" s="715">
        <f>J19</f>
        <v>100</v>
      </c>
      <c r="X19" s="1541"/>
      <c r="Y19" s="329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98"/>
      <c r="Q20" s="1538"/>
      <c r="R20" s="714"/>
      <c r="S20" s="715"/>
      <c r="T20" s="714"/>
      <c r="U20" s="715"/>
      <c r="V20" s="714"/>
      <c r="W20" s="715"/>
      <c r="X20" s="1541"/>
      <c r="Y20" s="3298"/>
      <c r="Z20" s="1542"/>
      <c r="AA20" s="1539">
        <v>1</v>
      </c>
      <c r="AB20" s="1539">
        <v>1</v>
      </c>
      <c r="AC20" s="1539">
        <v>1</v>
      </c>
    </row>
    <row r="21" spans="1:29" ht="28.5">
      <c r="A21" s="387"/>
      <c r="B21" s="1293" t="s">
        <v>2508</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8"/>
      <c r="Q21" s="1538" t="str">
        <f>B21</f>
        <v>基础设施水平</v>
      </c>
      <c r="R21" s="714" t="s">
        <v>17</v>
      </c>
      <c r="S21" s="715">
        <f>F21</f>
        <v>100</v>
      </c>
      <c r="T21" s="714" t="s">
        <v>17</v>
      </c>
      <c r="U21" s="715">
        <f>H21</f>
        <v>100</v>
      </c>
      <c r="V21" s="714" t="s">
        <v>17</v>
      </c>
      <c r="W21" s="715">
        <f>J21</f>
        <v>100</v>
      </c>
      <c r="X21" s="1541"/>
      <c r="Y21" s="329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98"/>
      <c r="Q22" s="1538"/>
      <c r="R22" s="714"/>
      <c r="S22" s="715"/>
      <c r="T22" s="714"/>
      <c r="U22" s="715"/>
      <c r="V22" s="714"/>
      <c r="W22" s="715"/>
      <c r="X22" s="1541"/>
      <c r="Y22" s="3298"/>
      <c r="Z22" s="1542"/>
      <c r="AA22" s="1539">
        <v>1</v>
      </c>
      <c r="AB22" s="1539">
        <v>1</v>
      </c>
      <c r="AC22" s="1539">
        <v>1</v>
      </c>
    </row>
    <row r="23" spans="1:29" ht="71.25">
      <c r="A23" s="387"/>
      <c r="B23" s="410" t="s">
        <v>2509</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8"/>
      <c r="Q23" s="1538" t="str">
        <f>B23</f>
        <v>环境质量</v>
      </c>
      <c r="R23" s="714" t="s">
        <v>17</v>
      </c>
      <c r="S23" s="715">
        <f>F23</f>
        <v>100</v>
      </c>
      <c r="T23" s="714" t="s">
        <v>17</v>
      </c>
      <c r="U23" s="715">
        <f>H23</f>
        <v>100</v>
      </c>
      <c r="V23" s="714" t="s">
        <v>17</v>
      </c>
      <c r="W23" s="715">
        <f>J23</f>
        <v>100</v>
      </c>
      <c r="X23" s="1541"/>
      <c r="Y23" s="3298"/>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98"/>
      <c r="Q24" s="1538"/>
      <c r="R24" s="714"/>
      <c r="S24" s="715"/>
      <c r="T24" s="714"/>
      <c r="U24" s="715"/>
      <c r="V24" s="714"/>
      <c r="W24" s="715"/>
      <c r="X24" s="1541"/>
      <c r="Y24" s="3298"/>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8"/>
      <c r="Q25" s="1538">
        <f>B25</f>
        <v>111</v>
      </c>
      <c r="R25" s="714" t="s">
        <v>17</v>
      </c>
      <c r="S25" s="715">
        <f>F25</f>
        <v>100</v>
      </c>
      <c r="T25" s="714" t="s">
        <v>17</v>
      </c>
      <c r="U25" s="715">
        <f>H25</f>
        <v>100</v>
      </c>
      <c r="V25" s="714" t="s">
        <v>17</v>
      </c>
      <c r="W25" s="715">
        <f>J25</f>
        <v>100</v>
      </c>
      <c r="X25" s="1541"/>
      <c r="Y25" s="3298"/>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8"/>
      <c r="Q26" s="1538">
        <f t="shared" ref="Q26:Q40" si="11">B26</f>
        <v>111</v>
      </c>
      <c r="R26" s="714" t="s">
        <v>17</v>
      </c>
      <c r="S26" s="715">
        <f>F26</f>
        <v>100</v>
      </c>
      <c r="T26" s="714" t="s">
        <v>17</v>
      </c>
      <c r="U26" s="715">
        <f>H26</f>
        <v>100</v>
      </c>
      <c r="V26" s="714" t="s">
        <v>17</v>
      </c>
      <c r="W26" s="715">
        <f>J26</f>
        <v>100</v>
      </c>
      <c r="X26" s="1541"/>
      <c r="Y26" s="3298"/>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8"/>
      <c r="Q27" s="1529">
        <f t="shared" si="11"/>
        <v>111</v>
      </c>
      <c r="R27" s="710" t="s">
        <v>17</v>
      </c>
      <c r="S27" s="711">
        <f>F27</f>
        <v>100</v>
      </c>
      <c r="T27" s="710" t="s">
        <v>17</v>
      </c>
      <c r="U27" s="711">
        <f>H27</f>
        <v>100</v>
      </c>
      <c r="V27" s="710" t="s">
        <v>17</v>
      </c>
      <c r="W27" s="711">
        <f>J27</f>
        <v>100</v>
      </c>
      <c r="X27" s="712"/>
      <c r="Y27" s="3298"/>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8"/>
      <c r="Q28" s="1538">
        <f t="shared" si="11"/>
        <v>111</v>
      </c>
      <c r="R28" s="714" t="s">
        <v>17</v>
      </c>
      <c r="S28" s="715">
        <f t="shared" ref="S28:S40" si="12">F28</f>
        <v>100</v>
      </c>
      <c r="T28" s="714" t="s">
        <v>17</v>
      </c>
      <c r="U28" s="715">
        <f t="shared" ref="U28:U40" si="13">H28</f>
        <v>100</v>
      </c>
      <c r="V28" s="714" t="s">
        <v>17</v>
      </c>
      <c r="W28" s="715">
        <f t="shared" ref="W28:W40" si="14">J28</f>
        <v>100</v>
      </c>
      <c r="X28" s="1541"/>
      <c r="Y28" s="3298"/>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299" t="s">
        <v>2384</v>
      </c>
      <c r="Q29" s="1538" t="str">
        <f t="shared" si="11"/>
        <v>建筑类型</v>
      </c>
      <c r="R29" s="714" t="s">
        <v>17</v>
      </c>
      <c r="S29" s="715">
        <f t="shared" si="12"/>
        <v>100</v>
      </c>
      <c r="T29" s="714" t="s">
        <v>17</v>
      </c>
      <c r="U29" s="715">
        <f t="shared" si="13"/>
        <v>100</v>
      </c>
      <c r="V29" s="714" t="s">
        <v>17</v>
      </c>
      <c r="W29" s="715">
        <f t="shared" si="14"/>
        <v>100</v>
      </c>
      <c r="X29" s="1541"/>
      <c r="Y29" s="3300"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0"/>
      <c r="Q30" s="716" t="str">
        <f t="shared" si="11"/>
        <v>项目建筑规模</v>
      </c>
      <c r="R30" s="717" t="s">
        <v>17</v>
      </c>
      <c r="S30" s="718" t="e">
        <f t="shared" si="12"/>
        <v>#N/A</v>
      </c>
      <c r="T30" s="717" t="s">
        <v>17</v>
      </c>
      <c r="U30" s="718" t="e">
        <f t="shared" si="13"/>
        <v>#N/A</v>
      </c>
      <c r="V30" s="717" t="s">
        <v>17</v>
      </c>
      <c r="W30" s="718" t="e">
        <f t="shared" si="14"/>
        <v>#N/A</v>
      </c>
      <c r="X30" s="719"/>
      <c r="Y30" s="3300"/>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0"/>
      <c r="Q31" s="1538" t="str">
        <f t="shared" si="11"/>
        <v>建筑结构</v>
      </c>
      <c r="R31" s="714" t="s">
        <v>17</v>
      </c>
      <c r="S31" s="715">
        <f t="shared" si="12"/>
        <v>100</v>
      </c>
      <c r="T31" s="714" t="s">
        <v>17</v>
      </c>
      <c r="U31" s="715">
        <f t="shared" si="13"/>
        <v>100</v>
      </c>
      <c r="V31" s="714" t="s">
        <v>17</v>
      </c>
      <c r="W31" s="715">
        <f t="shared" si="14"/>
        <v>100</v>
      </c>
      <c r="X31" s="1541"/>
      <c r="Y31" s="3300"/>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0"/>
      <c r="Q32" s="1538" t="str">
        <f t="shared" si="11"/>
        <v>公共部分装修</v>
      </c>
      <c r="R32" s="714" t="s">
        <v>17</v>
      </c>
      <c r="S32" s="715">
        <f t="shared" si="12"/>
        <v>100</v>
      </c>
      <c r="T32" s="714" t="s">
        <v>17</v>
      </c>
      <c r="U32" s="715">
        <f t="shared" si="13"/>
        <v>100</v>
      </c>
      <c r="V32" s="714" t="s">
        <v>17</v>
      </c>
      <c r="W32" s="715">
        <f t="shared" si="14"/>
        <v>100</v>
      </c>
      <c r="X32" s="1541"/>
      <c r="Y32" s="3300"/>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0"/>
      <c r="Q33" s="1538" t="str">
        <f t="shared" si="11"/>
        <v>成新度</v>
      </c>
      <c r="R33" s="714" t="s">
        <v>17</v>
      </c>
      <c r="S33" s="715" t="e">
        <f t="shared" si="12"/>
        <v>#N/A</v>
      </c>
      <c r="T33" s="714" t="s">
        <v>17</v>
      </c>
      <c r="U33" s="715" t="e">
        <f t="shared" si="13"/>
        <v>#N/A</v>
      </c>
      <c r="V33" s="714" t="s">
        <v>17</v>
      </c>
      <c r="W33" s="715" t="e">
        <f t="shared" si="14"/>
        <v>#N/A</v>
      </c>
      <c r="X33" s="1541"/>
      <c r="Y33" s="3300"/>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0"/>
      <c r="Q34" s="1529" t="str">
        <f t="shared" si="11"/>
        <v>物业管理</v>
      </c>
      <c r="R34" s="710" t="s">
        <v>17</v>
      </c>
      <c r="S34" s="711">
        <f t="shared" si="12"/>
        <v>100</v>
      </c>
      <c r="T34" s="710" t="s">
        <v>17</v>
      </c>
      <c r="U34" s="711">
        <f t="shared" si="13"/>
        <v>100</v>
      </c>
      <c r="V34" s="710" t="s">
        <v>17</v>
      </c>
      <c r="W34" s="711">
        <f t="shared" si="14"/>
        <v>100</v>
      </c>
      <c r="X34" s="712"/>
      <c r="Y34" s="3300"/>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0" t="s">
        <v>2384</v>
      </c>
      <c r="Q35" s="1538" t="str">
        <f t="shared" si="11"/>
        <v>市政基础设施</v>
      </c>
      <c r="R35" s="714" t="s">
        <v>17</v>
      </c>
      <c r="S35" s="715">
        <f t="shared" si="12"/>
        <v>100</v>
      </c>
      <c r="T35" s="714" t="s">
        <v>17</v>
      </c>
      <c r="U35" s="715">
        <f t="shared" si="13"/>
        <v>100</v>
      </c>
      <c r="V35" s="714" t="s">
        <v>17</v>
      </c>
      <c r="W35" s="715">
        <f t="shared" si="14"/>
        <v>100</v>
      </c>
      <c r="X35" s="1541"/>
      <c r="Y35" s="3300"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0"/>
      <c r="Q36" s="1538" t="str">
        <f t="shared" si="11"/>
        <v>内部装修</v>
      </c>
      <c r="R36" s="714" t="s">
        <v>17</v>
      </c>
      <c r="S36" s="715">
        <f t="shared" si="12"/>
        <v>100</v>
      </c>
      <c r="T36" s="714" t="s">
        <v>17</v>
      </c>
      <c r="U36" s="715">
        <f t="shared" si="13"/>
        <v>100</v>
      </c>
      <c r="V36" s="714" t="s">
        <v>17</v>
      </c>
      <c r="W36" s="715">
        <f t="shared" si="14"/>
        <v>100</v>
      </c>
      <c r="X36" s="1541"/>
      <c r="Y36" s="3300"/>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0"/>
      <c r="Q37" s="1538" t="str">
        <f t="shared" si="11"/>
        <v>内部装修状况</v>
      </c>
      <c r="R37" s="714" t="s">
        <v>17</v>
      </c>
      <c r="S37" s="715">
        <f t="shared" si="12"/>
        <v>100</v>
      </c>
      <c r="T37" s="714" t="s">
        <v>17</v>
      </c>
      <c r="U37" s="715">
        <f t="shared" si="13"/>
        <v>100</v>
      </c>
      <c r="V37" s="714" t="s">
        <v>17</v>
      </c>
      <c r="W37" s="715">
        <f t="shared" si="14"/>
        <v>100</v>
      </c>
      <c r="X37" s="1541"/>
      <c r="Y37" s="330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0"/>
      <c r="Q38" s="716">
        <f t="shared" si="11"/>
        <v>111</v>
      </c>
      <c r="R38" s="717" t="s">
        <v>17</v>
      </c>
      <c r="S38" s="718">
        <f t="shared" si="12"/>
        <v>100</v>
      </c>
      <c r="T38" s="717" t="s">
        <v>17</v>
      </c>
      <c r="U38" s="718">
        <f t="shared" si="13"/>
        <v>100</v>
      </c>
      <c r="V38" s="717" t="s">
        <v>17</v>
      </c>
      <c r="W38" s="718">
        <f t="shared" si="14"/>
        <v>100</v>
      </c>
      <c r="X38" s="719"/>
      <c r="Y38" s="330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0"/>
      <c r="Q39" s="1538">
        <f t="shared" si="11"/>
        <v>111</v>
      </c>
      <c r="R39" s="714" t="s">
        <v>17</v>
      </c>
      <c r="S39" s="715">
        <f t="shared" si="12"/>
        <v>100</v>
      </c>
      <c r="T39" s="714" t="s">
        <v>17</v>
      </c>
      <c r="U39" s="715">
        <f t="shared" si="13"/>
        <v>100</v>
      </c>
      <c r="V39" s="714" t="s">
        <v>17</v>
      </c>
      <c r="W39" s="715">
        <f t="shared" si="14"/>
        <v>100</v>
      </c>
      <c r="X39" s="1541"/>
      <c r="Y39" s="330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8"/>
      <c r="Q40" s="1538">
        <f t="shared" si="11"/>
        <v>111</v>
      </c>
      <c r="R40" s="714" t="s">
        <v>17</v>
      </c>
      <c r="S40" s="715">
        <f t="shared" si="12"/>
        <v>100</v>
      </c>
      <c r="T40" s="714" t="s">
        <v>17</v>
      </c>
      <c r="U40" s="715">
        <f t="shared" si="13"/>
        <v>100</v>
      </c>
      <c r="V40" s="714" t="s">
        <v>17</v>
      </c>
      <c r="W40" s="715">
        <f t="shared" si="14"/>
        <v>100</v>
      </c>
      <c r="X40" s="1541"/>
      <c r="Y40" s="3338"/>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295" t="str">
        <f>A41</f>
        <v>成交单价（元/平方米）</v>
      </c>
      <c r="Q41" s="3295"/>
      <c r="R41" s="3331">
        <f>E41</f>
        <v>0</v>
      </c>
      <c r="S41" s="3331"/>
      <c r="T41" s="3331">
        <f>G41</f>
        <v>0</v>
      </c>
      <c r="U41" s="3331"/>
      <c r="V41" s="3331">
        <f>I41</f>
        <v>0</v>
      </c>
      <c r="W41" s="3331"/>
      <c r="X41" s="699"/>
      <c r="Y41" s="721"/>
      <c r="Z41" s="699"/>
      <c r="AA41" s="699"/>
      <c r="AB41" s="699"/>
      <c r="AC41" s="699"/>
    </row>
    <row r="42" spans="1:29" ht="15.75" thickBot="1">
      <c r="A42" s="445" t="s">
        <v>2488</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295" t="str">
        <f>A42</f>
        <v>比较价值（元/平方米）</v>
      </c>
      <c r="Q42" s="3295"/>
      <c r="R42" s="3331" t="e">
        <f>IF(F1="售价",ROUND(PRODUCT(R41,AA7:AA40),0),ROUND(PRODUCT(R41,AA7:AA40),1))</f>
        <v>#DIV/0!</v>
      </c>
      <c r="S42" s="3331"/>
      <c r="T42" s="3331" t="e">
        <f>IF(F1="售价",ROUND(PRODUCT(T41,AB7:AB40),0),ROUND(PRODUCT(T41,AB7:AB40),1))</f>
        <v>#DIV/0!</v>
      </c>
      <c r="U42" s="3331"/>
      <c r="V42" s="3331" t="e">
        <f>IF(F1="售价",ROUND(PRODUCT(V41,AC7:AC40),0),ROUND(PRODUCT(V41,AC7:AC40),1))</f>
        <v>#DIV/0!</v>
      </c>
      <c r="W42" s="3331"/>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89" t="str">
        <f>A43</f>
        <v>估价对象XX用房的比较价值（楼面单价，元/平方米）</v>
      </c>
      <c r="Q43" s="3290"/>
      <c r="R43" s="3332" t="e">
        <f>IF(F1="售价",ROUND(IF(D42="简单平均",AVERAGE(R42:V42),R42*F42+T42*H42+V42*J42),0),ROUND(IF(D42="简单平均",AVERAGE(R42:V42),R42*F42+T42*H42+V42*J42),1))</f>
        <v>#DIV/0!</v>
      </c>
      <c r="S43" s="3332"/>
      <c r="T43" s="3332"/>
      <c r="U43" s="3332"/>
      <c r="V43" s="3332"/>
      <c r="W43" s="3332"/>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3001"/>
      <c r="O54" s="3002"/>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2464</v>
      </c>
      <c r="B4" s="362"/>
      <c r="C4" s="3292" t="s">
        <v>2465</v>
      </c>
      <c r="D4" s="3305"/>
      <c r="E4" s="3306" t="s">
        <v>2466</v>
      </c>
      <c r="F4" s="3307"/>
      <c r="G4" s="3292" t="s">
        <v>2467</v>
      </c>
      <c r="H4" s="3305"/>
      <c r="I4" s="3292" t="s">
        <v>2468</v>
      </c>
      <c r="J4" s="3305"/>
      <c r="K4" s="567" t="s">
        <v>2469</v>
      </c>
      <c r="L4" s="2946"/>
      <c r="M4" s="2947"/>
      <c r="N4" s="2947"/>
      <c r="O4" s="2947"/>
      <c r="P4" s="3308" t="s">
        <v>2470</v>
      </c>
      <c r="Q4" s="3309"/>
      <c r="R4" s="3314" t="s">
        <v>2466</v>
      </c>
      <c r="S4" s="3315"/>
      <c r="T4" s="3314" t="s">
        <v>2467</v>
      </c>
      <c r="U4" s="3315"/>
      <c r="V4" s="3301" t="s">
        <v>2468</v>
      </c>
      <c r="W4" s="3301"/>
      <c r="X4" s="1541"/>
      <c r="Y4" s="3314" t="s">
        <v>2470</v>
      </c>
      <c r="Z4" s="3315"/>
      <c r="AA4" s="3302" t="s">
        <v>2466</v>
      </c>
      <c r="AB4" s="3303" t="s">
        <v>2467</v>
      </c>
      <c r="AC4" s="3302" t="s">
        <v>2468</v>
      </c>
    </row>
    <row r="5" spans="1:29" ht="15">
      <c r="A5" s="364"/>
      <c r="B5" s="365"/>
      <c r="C5" s="3322" t="s">
        <v>2361</v>
      </c>
      <c r="D5" s="3323"/>
      <c r="E5" s="3329" t="s">
        <v>2362</v>
      </c>
      <c r="F5" s="3330"/>
      <c r="G5" s="3322" t="s">
        <v>2363</v>
      </c>
      <c r="H5" s="3323"/>
      <c r="I5" s="3322" t="s">
        <v>2364</v>
      </c>
      <c r="J5" s="3323"/>
      <c r="K5" s="567"/>
      <c r="L5" s="2946"/>
      <c r="M5" s="2947"/>
      <c r="N5" s="2947"/>
      <c r="O5" s="2947"/>
      <c r="P5" s="3310"/>
      <c r="Q5" s="3311"/>
      <c r="R5" s="3316"/>
      <c r="S5" s="3317"/>
      <c r="T5" s="3316"/>
      <c r="U5" s="3317"/>
      <c r="V5" s="3301"/>
      <c r="W5" s="3301"/>
      <c r="X5" s="1541"/>
      <c r="Y5" s="3316"/>
      <c r="Z5" s="3317"/>
      <c r="AA5" s="3303"/>
      <c r="AB5" s="3303"/>
      <c r="AC5" s="3303"/>
    </row>
    <row r="6" spans="1:29" ht="15.75" thickBot="1">
      <c r="A6" s="366"/>
      <c r="B6" s="367"/>
      <c r="C6" s="3320" t="s">
        <v>2365</v>
      </c>
      <c r="D6" s="3321"/>
      <c r="E6" s="3327" t="s">
        <v>2365</v>
      </c>
      <c r="F6" s="3328"/>
      <c r="G6" s="3320" t="s">
        <v>2365</v>
      </c>
      <c r="H6" s="3321"/>
      <c r="I6" s="3320" t="s">
        <v>2365</v>
      </c>
      <c r="J6" s="3321"/>
      <c r="K6" s="567" t="s">
        <v>2366</v>
      </c>
      <c r="L6" s="2946"/>
      <c r="M6" s="2947"/>
      <c r="N6" s="2947"/>
      <c r="O6" s="2947"/>
      <c r="P6" s="3312"/>
      <c r="Q6" s="3313"/>
      <c r="R6" s="3316"/>
      <c r="S6" s="3317"/>
      <c r="T6" s="3318"/>
      <c r="U6" s="3319"/>
      <c r="V6" s="3301"/>
      <c r="W6" s="3301"/>
      <c r="X6" s="1541"/>
      <c r="Y6" s="3318"/>
      <c r="Z6" s="3319"/>
      <c r="AA6" s="3304"/>
      <c r="AB6" s="3304"/>
      <c r="AC6" s="3304"/>
    </row>
    <row r="7" spans="1:29" s="113" customFormat="1" ht="15.75" thickBot="1">
      <c r="A7" s="368" t="s">
        <v>2367</v>
      </c>
      <c r="B7" s="369"/>
      <c r="C7" s="370">
        <f>'数据-取费表'!B2</f>
        <v>44153</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24" t="s">
        <v>2368</v>
      </c>
      <c r="Q7" s="3326"/>
      <c r="R7" s="710" t="s">
        <v>17</v>
      </c>
      <c r="S7" s="711">
        <f t="shared" ref="S7:S14" si="0">F7</f>
        <v>0</v>
      </c>
      <c r="T7" s="710" t="s">
        <v>17</v>
      </c>
      <c r="U7" s="711">
        <f t="shared" ref="U7:U14" si="1">H7</f>
        <v>0</v>
      </c>
      <c r="V7" s="710" t="s">
        <v>17</v>
      </c>
      <c r="W7" s="711">
        <f t="shared" ref="W7:W14" si="2">J7</f>
        <v>0</v>
      </c>
      <c r="X7" s="712"/>
      <c r="Y7" s="3324" t="s">
        <v>2368</v>
      </c>
      <c r="Z7" s="3325"/>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24" t="s">
        <v>2371</v>
      </c>
      <c r="Q8" s="3325"/>
      <c r="R8" s="710" t="s">
        <v>17</v>
      </c>
      <c r="S8" s="711">
        <f t="shared" si="0"/>
        <v>0</v>
      </c>
      <c r="T8" s="710" t="s">
        <v>17</v>
      </c>
      <c r="U8" s="711">
        <f t="shared" si="1"/>
        <v>0</v>
      </c>
      <c r="V8" s="710" t="s">
        <v>17</v>
      </c>
      <c r="W8" s="711">
        <f t="shared" si="2"/>
        <v>0</v>
      </c>
      <c r="X8" s="712"/>
      <c r="Y8" s="3324" t="s">
        <v>2371</v>
      </c>
      <c r="Z8" s="3325"/>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95" t="s">
        <v>2374</v>
      </c>
      <c r="Q9" s="1529" t="str">
        <f t="shared" ref="Q9:Q14" si="6">B9</f>
        <v>用途</v>
      </c>
      <c r="R9" s="710" t="s">
        <v>17</v>
      </c>
      <c r="S9" s="711">
        <f t="shared" si="0"/>
        <v>100</v>
      </c>
      <c r="T9" s="710" t="s">
        <v>17</v>
      </c>
      <c r="U9" s="711">
        <f t="shared" si="1"/>
        <v>100</v>
      </c>
      <c r="V9" s="710" t="s">
        <v>17</v>
      </c>
      <c r="W9" s="711">
        <f t="shared" si="2"/>
        <v>100</v>
      </c>
      <c r="X9" s="712"/>
      <c r="Y9" s="3189"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95"/>
      <c r="Q10" s="1529"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95"/>
      <c r="Q11" s="1529">
        <f t="shared" si="6"/>
        <v>111</v>
      </c>
      <c r="R11" s="710" t="s">
        <v>17</v>
      </c>
      <c r="S11" s="711">
        <f t="shared" si="0"/>
        <v>100</v>
      </c>
      <c r="T11" s="710" t="s">
        <v>17</v>
      </c>
      <c r="U11" s="711">
        <f t="shared" si="1"/>
        <v>100</v>
      </c>
      <c r="V11" s="710" t="s">
        <v>17</v>
      </c>
      <c r="W11" s="711">
        <f t="shared" si="2"/>
        <v>100</v>
      </c>
      <c r="X11" s="712"/>
      <c r="Y11" s="318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95"/>
      <c r="Q12" s="1529">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95"/>
      <c r="Q13" s="1529">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85.5">
      <c r="A14" s="361" t="s">
        <v>2378</v>
      </c>
      <c r="B14" s="585" t="s">
        <v>2528</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97" t="s">
        <v>2379</v>
      </c>
      <c r="Q14" s="1538" t="str">
        <f t="shared" si="6"/>
        <v>交通便捷度</v>
      </c>
      <c r="R14" s="714" t="s">
        <v>17</v>
      </c>
      <c r="S14" s="715">
        <f t="shared" si="0"/>
        <v>100</v>
      </c>
      <c r="T14" s="714" t="s">
        <v>17</v>
      </c>
      <c r="U14" s="715">
        <f t="shared" si="1"/>
        <v>100</v>
      </c>
      <c r="V14" s="714" t="s">
        <v>17</v>
      </c>
      <c r="W14" s="715">
        <f t="shared" si="2"/>
        <v>100</v>
      </c>
      <c r="X14" s="1541"/>
      <c r="Y14" s="3297"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98"/>
      <c r="Q15" s="1538"/>
      <c r="R15" s="714"/>
      <c r="S15" s="715"/>
      <c r="T15" s="714"/>
      <c r="U15" s="715"/>
      <c r="V15" s="714"/>
      <c r="W15" s="715"/>
      <c r="X15" s="1541"/>
      <c r="Y15" s="3298"/>
      <c r="Z15" s="1542"/>
      <c r="AA15" s="1539">
        <v>1</v>
      </c>
      <c r="AB15" s="1539">
        <v>1</v>
      </c>
      <c r="AC15" s="1539">
        <v>1</v>
      </c>
    </row>
    <row r="16" spans="1:29" ht="42.75">
      <c r="A16" s="364"/>
      <c r="B16" s="587" t="s">
        <v>2507</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98"/>
      <c r="Q16" s="1538" t="str">
        <f>B16</f>
        <v>公共配套设施</v>
      </c>
      <c r="R16" s="714" t="s">
        <v>17</v>
      </c>
      <c r="S16" s="715">
        <f>F16</f>
        <v>100</v>
      </c>
      <c r="T16" s="714" t="s">
        <v>17</v>
      </c>
      <c r="U16" s="715">
        <f>H16</f>
        <v>100</v>
      </c>
      <c r="V16" s="714" t="s">
        <v>17</v>
      </c>
      <c r="W16" s="715">
        <f>J16</f>
        <v>100</v>
      </c>
      <c r="X16" s="1541"/>
      <c r="Y16" s="3298"/>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98"/>
      <c r="Q17" s="1538"/>
      <c r="R17" s="714"/>
      <c r="S17" s="715"/>
      <c r="T17" s="714"/>
      <c r="U17" s="715"/>
      <c r="V17" s="714"/>
      <c r="W17" s="715"/>
      <c r="X17" s="1541"/>
      <c r="Y17" s="3298"/>
      <c r="Z17" s="1542"/>
      <c r="AA17" s="1539">
        <v>1</v>
      </c>
      <c r="AB17" s="1539">
        <v>1</v>
      </c>
      <c r="AC17" s="1539">
        <v>1</v>
      </c>
    </row>
    <row r="18" spans="1:29" ht="28.5">
      <c r="A18" s="364"/>
      <c r="B18" s="589" t="s">
        <v>2508</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98"/>
      <c r="Q18" s="1538" t="str">
        <f>B18</f>
        <v>基础设施水平</v>
      </c>
      <c r="R18" s="714" t="s">
        <v>17</v>
      </c>
      <c r="S18" s="715">
        <f>F18</f>
        <v>100</v>
      </c>
      <c r="T18" s="714" t="s">
        <v>17</v>
      </c>
      <c r="U18" s="715">
        <f>H18</f>
        <v>100</v>
      </c>
      <c r="V18" s="714" t="s">
        <v>17</v>
      </c>
      <c r="W18" s="715">
        <f>J18</f>
        <v>100</v>
      </c>
      <c r="X18" s="1541"/>
      <c r="Y18" s="3298"/>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98"/>
      <c r="Q19" s="1538"/>
      <c r="R19" s="714"/>
      <c r="S19" s="715"/>
      <c r="T19" s="714"/>
      <c r="U19" s="715"/>
      <c r="V19" s="714"/>
      <c r="W19" s="715"/>
      <c r="X19" s="1541"/>
      <c r="Y19" s="3298"/>
      <c r="Z19" s="1542"/>
      <c r="AA19" s="1539">
        <v>1</v>
      </c>
      <c r="AB19" s="1539">
        <v>1</v>
      </c>
      <c r="AC19" s="1539">
        <v>1</v>
      </c>
    </row>
    <row r="20" spans="1:29" ht="57">
      <c r="A20" s="364"/>
      <c r="B20" s="587" t="s">
        <v>2529</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98"/>
      <c r="Q20" s="1538" t="str">
        <f>B20</f>
        <v>自然及人文环境</v>
      </c>
      <c r="R20" s="714" t="s">
        <v>17</v>
      </c>
      <c r="S20" s="715">
        <f>F20</f>
        <v>100</v>
      </c>
      <c r="T20" s="714" t="s">
        <v>17</v>
      </c>
      <c r="U20" s="715">
        <f>H20</f>
        <v>100</v>
      </c>
      <c r="V20" s="714" t="s">
        <v>17</v>
      </c>
      <c r="W20" s="715">
        <f>J20</f>
        <v>100</v>
      </c>
      <c r="X20" s="1541"/>
      <c r="Y20" s="3298"/>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98"/>
      <c r="Q21" s="1538"/>
      <c r="R21" s="714"/>
      <c r="S21" s="715"/>
      <c r="T21" s="714"/>
      <c r="U21" s="715"/>
      <c r="V21" s="714"/>
      <c r="W21" s="715"/>
      <c r="X21" s="1541"/>
      <c r="Y21" s="3298"/>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98"/>
      <c r="Q22" s="1538" t="str">
        <f>B22</f>
        <v>楼层</v>
      </c>
      <c r="R22" s="714" t="s">
        <v>17</v>
      </c>
      <c r="S22" s="715">
        <f>F22</f>
        <v>100</v>
      </c>
      <c r="T22" s="714" t="s">
        <v>17</v>
      </c>
      <c r="U22" s="715">
        <f>H22</f>
        <v>100</v>
      </c>
      <c r="V22" s="714" t="s">
        <v>17</v>
      </c>
      <c r="W22" s="715">
        <f>J22</f>
        <v>100</v>
      </c>
      <c r="X22" s="1541"/>
      <c r="Y22" s="3298"/>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98"/>
      <c r="Q23" s="1538">
        <f>B23</f>
        <v>111</v>
      </c>
      <c r="R23" s="714" t="s">
        <v>17</v>
      </c>
      <c r="S23" s="715">
        <f>F23</f>
        <v>100</v>
      </c>
      <c r="T23" s="714" t="s">
        <v>17</v>
      </c>
      <c r="U23" s="715">
        <f>H23</f>
        <v>100</v>
      </c>
      <c r="V23" s="714" t="s">
        <v>17</v>
      </c>
      <c r="W23" s="715">
        <f>J23</f>
        <v>100</v>
      </c>
      <c r="X23" s="1541"/>
      <c r="Y23" s="3298"/>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98"/>
      <c r="Q24" s="1538">
        <f t="shared" ref="Q24:Q36" si="11">B24</f>
        <v>111</v>
      </c>
      <c r="R24" s="714" t="s">
        <v>17</v>
      </c>
      <c r="S24" s="715">
        <f>F24</f>
        <v>100</v>
      </c>
      <c r="T24" s="714" t="s">
        <v>17</v>
      </c>
      <c r="U24" s="715">
        <f>H24</f>
        <v>100</v>
      </c>
      <c r="V24" s="714" t="s">
        <v>17</v>
      </c>
      <c r="W24" s="715">
        <f>J24</f>
        <v>100</v>
      </c>
      <c r="X24" s="1541"/>
      <c r="Y24" s="3298"/>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98"/>
      <c r="Q25" s="1529">
        <f t="shared" si="11"/>
        <v>111</v>
      </c>
      <c r="R25" s="710" t="s">
        <v>17</v>
      </c>
      <c r="S25" s="711">
        <f>F25</f>
        <v>100</v>
      </c>
      <c r="T25" s="710" t="s">
        <v>17</v>
      </c>
      <c r="U25" s="711">
        <f>H25</f>
        <v>100</v>
      </c>
      <c r="V25" s="710" t="s">
        <v>17</v>
      </c>
      <c r="W25" s="711">
        <f>J25</f>
        <v>100</v>
      </c>
      <c r="X25" s="712"/>
      <c r="Y25" s="3298"/>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299"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0"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00"/>
      <c r="Q27" s="716" t="str">
        <f t="shared" si="11"/>
        <v>项目停车位配比</v>
      </c>
      <c r="R27" s="717" t="s">
        <v>17</v>
      </c>
      <c r="S27" s="718">
        <f t="shared" si="12"/>
        <v>100</v>
      </c>
      <c r="T27" s="717" t="s">
        <v>17</v>
      </c>
      <c r="U27" s="718">
        <f t="shared" si="13"/>
        <v>100</v>
      </c>
      <c r="V27" s="717" t="s">
        <v>17</v>
      </c>
      <c r="W27" s="718">
        <f t="shared" si="14"/>
        <v>100</v>
      </c>
      <c r="X27" s="719"/>
      <c r="Y27" s="3300"/>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00"/>
      <c r="Q28" s="1538" t="str">
        <f t="shared" si="11"/>
        <v>公共部分装修</v>
      </c>
      <c r="R28" s="714" t="s">
        <v>17</v>
      </c>
      <c r="S28" s="715">
        <f t="shared" si="12"/>
        <v>100</v>
      </c>
      <c r="T28" s="714" t="s">
        <v>17</v>
      </c>
      <c r="U28" s="715">
        <f t="shared" si="13"/>
        <v>100</v>
      </c>
      <c r="V28" s="714" t="s">
        <v>17</v>
      </c>
      <c r="W28" s="715">
        <f t="shared" si="14"/>
        <v>100</v>
      </c>
      <c r="X28" s="1541"/>
      <c r="Y28" s="3300"/>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00"/>
      <c r="Q29" s="1538" t="str">
        <f t="shared" si="11"/>
        <v>成新率</v>
      </c>
      <c r="R29" s="714" t="s">
        <v>17</v>
      </c>
      <c r="S29" s="715" t="e">
        <f t="shared" si="12"/>
        <v>#N/A</v>
      </c>
      <c r="T29" s="714" t="s">
        <v>17</v>
      </c>
      <c r="U29" s="715" t="e">
        <f t="shared" si="13"/>
        <v>#N/A</v>
      </c>
      <c r="V29" s="714" t="s">
        <v>17</v>
      </c>
      <c r="W29" s="715" t="e">
        <f t="shared" si="14"/>
        <v>#N/A</v>
      </c>
      <c r="X29" s="1541"/>
      <c r="Y29" s="3300"/>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00"/>
      <c r="Q30" s="1538" t="str">
        <f t="shared" si="11"/>
        <v>物业等级</v>
      </c>
      <c r="R30" s="714" t="s">
        <v>17</v>
      </c>
      <c r="S30" s="715">
        <f t="shared" si="12"/>
        <v>100</v>
      </c>
      <c r="T30" s="714" t="s">
        <v>17</v>
      </c>
      <c r="U30" s="715">
        <f t="shared" si="13"/>
        <v>100</v>
      </c>
      <c r="V30" s="714" t="s">
        <v>17</v>
      </c>
      <c r="W30" s="715">
        <f t="shared" si="14"/>
        <v>100</v>
      </c>
      <c r="X30" s="1541"/>
      <c r="Y30" s="3300"/>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00"/>
      <c r="Q31" s="1529" t="str">
        <f t="shared" si="11"/>
        <v>停车位面积</v>
      </c>
      <c r="R31" s="710" t="s">
        <v>17</v>
      </c>
      <c r="S31" s="711" t="e">
        <f t="shared" si="12"/>
        <v>#N/A</v>
      </c>
      <c r="T31" s="710" t="s">
        <v>17</v>
      </c>
      <c r="U31" s="711" t="e">
        <f t="shared" si="13"/>
        <v>#N/A</v>
      </c>
      <c r="V31" s="710" t="s">
        <v>17</v>
      </c>
      <c r="W31" s="711" t="e">
        <f t="shared" si="14"/>
        <v>#N/A</v>
      </c>
      <c r="X31" s="712"/>
      <c r="Y31" s="3300"/>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00" t="s">
        <v>2384</v>
      </c>
      <c r="Q32" s="1538" t="str">
        <f t="shared" si="11"/>
        <v>车位类型</v>
      </c>
      <c r="R32" s="714" t="s">
        <v>17</v>
      </c>
      <c r="S32" s="715">
        <f t="shared" si="12"/>
        <v>100</v>
      </c>
      <c r="T32" s="714" t="s">
        <v>17</v>
      </c>
      <c r="U32" s="715">
        <f t="shared" si="13"/>
        <v>100</v>
      </c>
      <c r="V32" s="714" t="s">
        <v>17</v>
      </c>
      <c r="W32" s="715">
        <f t="shared" si="14"/>
        <v>100</v>
      </c>
      <c r="X32" s="1541"/>
      <c r="Y32" s="3300"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00"/>
      <c r="Q33" s="1538" t="str">
        <f t="shared" si="11"/>
        <v>是否直接入户</v>
      </c>
      <c r="R33" s="714" t="s">
        <v>17</v>
      </c>
      <c r="S33" s="715">
        <f t="shared" si="12"/>
        <v>100</v>
      </c>
      <c r="T33" s="714" t="s">
        <v>17</v>
      </c>
      <c r="U33" s="715">
        <f t="shared" si="13"/>
        <v>100</v>
      </c>
      <c r="V33" s="714" t="s">
        <v>17</v>
      </c>
      <c r="W33" s="715">
        <f t="shared" si="14"/>
        <v>100</v>
      </c>
      <c r="X33" s="1541"/>
      <c r="Y33" s="330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00"/>
      <c r="Q34" s="1538">
        <f t="shared" si="11"/>
        <v>111</v>
      </c>
      <c r="R34" s="714" t="s">
        <v>17</v>
      </c>
      <c r="S34" s="715">
        <f t="shared" si="12"/>
        <v>100</v>
      </c>
      <c r="T34" s="714" t="s">
        <v>17</v>
      </c>
      <c r="U34" s="715">
        <f t="shared" si="13"/>
        <v>100</v>
      </c>
      <c r="V34" s="714" t="s">
        <v>17</v>
      </c>
      <c r="W34" s="715">
        <f t="shared" si="14"/>
        <v>100</v>
      </c>
      <c r="X34" s="1541"/>
      <c r="Y34" s="330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00"/>
      <c r="Q35" s="716">
        <f t="shared" si="11"/>
        <v>111</v>
      </c>
      <c r="R35" s="717" t="s">
        <v>17</v>
      </c>
      <c r="S35" s="718">
        <f t="shared" si="12"/>
        <v>100</v>
      </c>
      <c r="T35" s="717" t="s">
        <v>17</v>
      </c>
      <c r="U35" s="718">
        <f t="shared" si="13"/>
        <v>100</v>
      </c>
      <c r="V35" s="717" t="s">
        <v>17</v>
      </c>
      <c r="W35" s="718">
        <f t="shared" si="14"/>
        <v>100</v>
      </c>
      <c r="X35" s="719"/>
      <c r="Y35" s="330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00"/>
      <c r="Q36" s="1538">
        <f t="shared" si="11"/>
        <v>111</v>
      </c>
      <c r="R36" s="714" t="s">
        <v>17</v>
      </c>
      <c r="S36" s="715">
        <f t="shared" si="12"/>
        <v>100</v>
      </c>
      <c r="T36" s="714" t="s">
        <v>17</v>
      </c>
      <c r="U36" s="715">
        <f t="shared" si="13"/>
        <v>100</v>
      </c>
      <c r="V36" s="714" t="s">
        <v>17</v>
      </c>
      <c r="W36" s="715">
        <f t="shared" si="14"/>
        <v>100</v>
      </c>
      <c r="X36" s="1541"/>
      <c r="Y36" s="3300"/>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5"/>
      <c r="M37" s="2956"/>
      <c r="N37" s="2947"/>
      <c r="O37" s="2956"/>
      <c r="P37" s="3295" t="str">
        <f>A37</f>
        <v>成交单价</v>
      </c>
      <c r="Q37" s="3295"/>
      <c r="R37" s="3331">
        <f>E37</f>
        <v>0</v>
      </c>
      <c r="S37" s="3331"/>
      <c r="T37" s="3331">
        <f>G37</f>
        <v>0</v>
      </c>
      <c r="U37" s="3331"/>
      <c r="V37" s="3331">
        <f>I37</f>
        <v>0</v>
      </c>
      <c r="W37" s="3331"/>
      <c r="X37" s="699"/>
      <c r="Y37" s="721"/>
      <c r="Z37" s="699"/>
      <c r="AA37" s="699"/>
      <c r="AB37" s="699"/>
      <c r="AC37" s="699"/>
    </row>
    <row r="38" spans="1:29" ht="15.75" thickBot="1">
      <c r="A38" s="445" t="s">
        <v>2541</v>
      </c>
      <c r="B38" s="446" t="str">
        <f>B37</f>
        <v>元/车位</v>
      </c>
      <c r="C38" s="1322" t="e">
        <f>R39</f>
        <v>#DIV/0!</v>
      </c>
      <c r="D38" s="2540" t="s">
        <v>2879</v>
      </c>
      <c r="E38" s="1323" t="e">
        <f>R38</f>
        <v>#DIV/0!</v>
      </c>
      <c r="F38" s="2541"/>
      <c r="G38" s="1322" t="e">
        <f>T38</f>
        <v>#DIV/0!</v>
      </c>
      <c r="H38" s="2541"/>
      <c r="I38" s="1323" t="e">
        <f>V38</f>
        <v>#DIV/0!</v>
      </c>
      <c r="J38" s="2541"/>
      <c r="K38" s="2543">
        <f>F38+H38+J38</f>
        <v>0</v>
      </c>
      <c r="L38" s="2955"/>
      <c r="M38" s="2956"/>
      <c r="N38" s="2956"/>
      <c r="O38" s="2956"/>
      <c r="P38" s="3295" t="str">
        <f>A38</f>
        <v>比较价值（元/平方米）</v>
      </c>
      <c r="Q38" s="3295"/>
      <c r="R38" s="3331" t="e">
        <f>IF(F1="售价",ROUND(PRODUCT(R37,AA7:AA36),0),ROUND(PRODUCT(R37,AA7:AA36),1))</f>
        <v>#DIV/0!</v>
      </c>
      <c r="S38" s="3331"/>
      <c r="T38" s="3331" t="e">
        <f>IF(F1="售价",ROUND(PRODUCT(T37,AB7:AB36),0),ROUND(PRODUCT(T37,AB7:AB36),1))</f>
        <v>#DIV/0!</v>
      </c>
      <c r="U38" s="3331"/>
      <c r="V38" s="3331" t="e">
        <f>IF(F1="售价",ROUND(PRODUCT(V37,AC7:AC36),0),ROUND(PRODUCT(V37,AC7:AC36),1))</f>
        <v>#DIV/0!</v>
      </c>
      <c r="W38" s="3331"/>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5"/>
      <c r="M39" s="2956"/>
      <c r="N39" s="2956"/>
      <c r="O39" s="2956"/>
      <c r="P39" s="3289" t="str">
        <f>A39</f>
        <v>估价对象XX用房的比较价值（楼面单价，元/平方米）</v>
      </c>
      <c r="Q39" s="3290"/>
      <c r="R39" s="3384" t="e">
        <f>IF(F1="售价",ROUND(IF(D38="简单平均",AVERAGE(R38:W38),R38*F38+T38*H38+V38*J38),0),ROUND(IF(D38="简单平均",AVERAGE(R38:V38),R38*F38+T38*H38+V38*J38),1))</f>
        <v>#DIV/0!</v>
      </c>
      <c r="S39" s="3384"/>
      <c r="T39" s="3384"/>
      <c r="U39" s="3384"/>
      <c r="V39" s="3384"/>
      <c r="W39" s="3384"/>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2546</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2547</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2404</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2369</v>
      </c>
      <c r="B51" s="467"/>
      <c r="C51" s="479" t="s">
        <v>2471</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2407</v>
      </c>
      <c r="B53" s="485" t="s">
        <v>2373</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2422</v>
      </c>
      <c r="C65" s="535" t="s">
        <v>2416</v>
      </c>
      <c r="D65" s="535" t="s">
        <v>2417</v>
      </c>
      <c r="E65" s="535" t="s">
        <v>2418</v>
      </c>
      <c r="F65" s="535" t="s">
        <v>2419</v>
      </c>
      <c r="G65" s="535" t="s">
        <v>2420</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2508</v>
      </c>
      <c r="C67" s="616" t="s">
        <v>2494</v>
      </c>
      <c r="D67" s="616" t="s">
        <v>2495</v>
      </c>
      <c r="E67" s="616" t="s">
        <v>2496</v>
      </c>
      <c r="F67" s="616" t="s">
        <v>2497</v>
      </c>
      <c r="G67" s="616" t="s">
        <v>2498</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2428</v>
      </c>
      <c r="C69" s="535" t="s">
        <v>2416</v>
      </c>
      <c r="D69" s="535" t="s">
        <v>2417</v>
      </c>
      <c r="E69" s="535" t="s">
        <v>2418</v>
      </c>
      <c r="F69" s="535" t="s">
        <v>2419</v>
      </c>
      <c r="G69" s="535" t="s">
        <v>2420</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2548</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2382</v>
      </c>
      <c r="B79" s="485" t="s">
        <v>2549</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2550</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2435</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2552</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2554</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2555</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92" t="s">
        <v>2465</v>
      </c>
      <c r="D4" s="3305"/>
      <c r="E4" s="3306" t="s">
        <v>2466</v>
      </c>
      <c r="F4" s="3307"/>
      <c r="G4" s="3292" t="s">
        <v>2467</v>
      </c>
      <c r="H4" s="3305"/>
      <c r="I4" s="3292" t="s">
        <v>2468</v>
      </c>
      <c r="J4" s="3305"/>
      <c r="K4" s="567" t="s">
        <v>2469</v>
      </c>
      <c r="L4" s="2946"/>
      <c r="M4" s="2947"/>
      <c r="N4" s="2947"/>
      <c r="O4" s="2947"/>
      <c r="P4" s="3308" t="s">
        <v>2470</v>
      </c>
      <c r="Q4" s="3309"/>
      <c r="R4" s="3314" t="s">
        <v>2466</v>
      </c>
      <c r="S4" s="3315"/>
      <c r="T4" s="3314" t="s">
        <v>2467</v>
      </c>
      <c r="U4" s="3315"/>
      <c r="V4" s="3301" t="s">
        <v>2468</v>
      </c>
      <c r="W4" s="3301"/>
      <c r="X4" s="1541"/>
      <c r="Y4" s="3314" t="s">
        <v>2470</v>
      </c>
      <c r="Z4" s="3315"/>
      <c r="AA4" s="3302" t="s">
        <v>2466</v>
      </c>
      <c r="AB4" s="3303" t="s">
        <v>2467</v>
      </c>
      <c r="AC4" s="3302" t="s">
        <v>2468</v>
      </c>
    </row>
    <row r="5" spans="1:29" ht="15">
      <c r="A5" s="364"/>
      <c r="B5" s="365"/>
      <c r="C5" s="3322" t="s">
        <v>2361</v>
      </c>
      <c r="D5" s="3323"/>
      <c r="E5" s="3329" t="s">
        <v>2362</v>
      </c>
      <c r="F5" s="3330"/>
      <c r="G5" s="3322" t="s">
        <v>2363</v>
      </c>
      <c r="H5" s="3323"/>
      <c r="I5" s="3322" t="s">
        <v>2364</v>
      </c>
      <c r="J5" s="3323"/>
      <c r="K5" s="567"/>
      <c r="L5" s="2946"/>
      <c r="M5" s="2947"/>
      <c r="N5" s="2947"/>
      <c r="O5" s="2947"/>
      <c r="P5" s="3310"/>
      <c r="Q5" s="3311"/>
      <c r="R5" s="3316"/>
      <c r="S5" s="3317"/>
      <c r="T5" s="3316"/>
      <c r="U5" s="3317"/>
      <c r="V5" s="3301"/>
      <c r="W5" s="3301"/>
      <c r="X5" s="1541"/>
      <c r="Y5" s="3316"/>
      <c r="Z5" s="3317"/>
      <c r="AA5" s="3303"/>
      <c r="AB5" s="3303"/>
      <c r="AC5" s="3303"/>
    </row>
    <row r="6" spans="1:29" ht="15.75" thickBot="1">
      <c r="A6" s="366"/>
      <c r="B6" s="367"/>
      <c r="C6" s="3320" t="s">
        <v>2365</v>
      </c>
      <c r="D6" s="3321"/>
      <c r="E6" s="3327" t="s">
        <v>2365</v>
      </c>
      <c r="F6" s="3328"/>
      <c r="G6" s="3320" t="s">
        <v>2365</v>
      </c>
      <c r="H6" s="3321"/>
      <c r="I6" s="3320" t="s">
        <v>2365</v>
      </c>
      <c r="J6" s="3321"/>
      <c r="K6" s="567" t="s">
        <v>2366</v>
      </c>
      <c r="L6" s="2946"/>
      <c r="M6" s="2947"/>
      <c r="N6" s="2947"/>
      <c r="O6" s="2947"/>
      <c r="P6" s="3312"/>
      <c r="Q6" s="3313"/>
      <c r="R6" s="3316"/>
      <c r="S6" s="3317"/>
      <c r="T6" s="3318"/>
      <c r="U6" s="3319"/>
      <c r="V6" s="3301"/>
      <c r="W6" s="3301"/>
      <c r="X6" s="1541"/>
      <c r="Y6" s="3318"/>
      <c r="Z6" s="3319"/>
      <c r="AA6" s="3304"/>
      <c r="AB6" s="3304"/>
      <c r="AC6" s="3304"/>
    </row>
    <row r="7" spans="1:29" s="113" customFormat="1" ht="15.75" thickBot="1">
      <c r="A7" s="368" t="s">
        <v>2367</v>
      </c>
      <c r="B7" s="369"/>
      <c r="C7" s="370">
        <f>'数据-取费表'!B2</f>
        <v>44153</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24" t="s">
        <v>2368</v>
      </c>
      <c r="Q7" s="3326"/>
      <c r="R7" s="710" t="s">
        <v>17</v>
      </c>
      <c r="S7" s="711">
        <f t="shared" ref="S7:S14" si="0">F7</f>
        <v>0</v>
      </c>
      <c r="T7" s="710" t="s">
        <v>17</v>
      </c>
      <c r="U7" s="711">
        <f t="shared" ref="U7:U14" si="1">H7</f>
        <v>0</v>
      </c>
      <c r="V7" s="710" t="s">
        <v>17</v>
      </c>
      <c r="W7" s="711">
        <f t="shared" ref="W7:W14" si="2">J7</f>
        <v>0</v>
      </c>
      <c r="X7" s="712"/>
      <c r="Y7" s="3324" t="s">
        <v>2368</v>
      </c>
      <c r="Z7" s="3325"/>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24" t="s">
        <v>2371</v>
      </c>
      <c r="Q8" s="3325"/>
      <c r="R8" s="710" t="s">
        <v>17</v>
      </c>
      <c r="S8" s="711">
        <f t="shared" si="0"/>
        <v>0</v>
      </c>
      <c r="T8" s="710" t="s">
        <v>17</v>
      </c>
      <c r="U8" s="711">
        <f t="shared" si="1"/>
        <v>0</v>
      </c>
      <c r="V8" s="710" t="s">
        <v>17</v>
      </c>
      <c r="W8" s="711">
        <f t="shared" si="2"/>
        <v>0</v>
      </c>
      <c r="X8" s="712"/>
      <c r="Y8" s="3324" t="s">
        <v>2371</v>
      </c>
      <c r="Z8" s="3325"/>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95" t="s">
        <v>2374</v>
      </c>
      <c r="Q9" s="1529" t="str">
        <f t="shared" ref="Q9:Q14" si="6">B9</f>
        <v>用途</v>
      </c>
      <c r="R9" s="710" t="s">
        <v>17</v>
      </c>
      <c r="S9" s="711">
        <f t="shared" si="0"/>
        <v>100</v>
      </c>
      <c r="T9" s="710" t="s">
        <v>17</v>
      </c>
      <c r="U9" s="711">
        <f t="shared" si="1"/>
        <v>100</v>
      </c>
      <c r="V9" s="710" t="s">
        <v>17</v>
      </c>
      <c r="W9" s="711">
        <f t="shared" si="2"/>
        <v>100</v>
      </c>
      <c r="X9" s="712"/>
      <c r="Y9" s="3189"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95"/>
      <c r="Q10" s="1529"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95"/>
      <c r="Q11" s="1529">
        <f t="shared" si="6"/>
        <v>111</v>
      </c>
      <c r="R11" s="710" t="s">
        <v>17</v>
      </c>
      <c r="S11" s="711">
        <f t="shared" si="0"/>
        <v>100</v>
      </c>
      <c r="T11" s="710" t="s">
        <v>17</v>
      </c>
      <c r="U11" s="711">
        <f t="shared" si="1"/>
        <v>100</v>
      </c>
      <c r="V11" s="710" t="s">
        <v>17</v>
      </c>
      <c r="W11" s="711">
        <f t="shared" si="2"/>
        <v>100</v>
      </c>
      <c r="X11" s="712"/>
      <c r="Y11" s="3189"/>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95"/>
      <c r="Q12" s="1529">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95"/>
      <c r="Q13" s="1529">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85.5">
      <c r="A14" s="399" t="s">
        <v>2378</v>
      </c>
      <c r="B14" s="65" t="s">
        <v>2528</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97" t="s">
        <v>2379</v>
      </c>
      <c r="Q14" s="1538" t="str">
        <f t="shared" si="6"/>
        <v>交通便捷度</v>
      </c>
      <c r="R14" s="714" t="s">
        <v>17</v>
      </c>
      <c r="S14" s="715">
        <f t="shared" si="0"/>
        <v>100</v>
      </c>
      <c r="T14" s="714" t="s">
        <v>17</v>
      </c>
      <c r="U14" s="715">
        <f t="shared" si="1"/>
        <v>100</v>
      </c>
      <c r="V14" s="714" t="s">
        <v>17</v>
      </c>
      <c r="W14" s="715">
        <f t="shared" si="2"/>
        <v>100</v>
      </c>
      <c r="X14" s="1541"/>
      <c r="Y14" s="3297"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98"/>
      <c r="Q15" s="1538"/>
      <c r="R15" s="714"/>
      <c r="S15" s="715"/>
      <c r="T15" s="714"/>
      <c r="U15" s="715"/>
      <c r="V15" s="714"/>
      <c r="W15" s="715"/>
      <c r="X15" s="1541"/>
      <c r="Y15" s="3298"/>
      <c r="Z15" s="1542"/>
      <c r="AA15" s="1539">
        <v>1</v>
      </c>
      <c r="AB15" s="1539">
        <v>1</v>
      </c>
      <c r="AC15" s="1539">
        <v>1</v>
      </c>
    </row>
    <row r="16" spans="1:29" ht="42.75">
      <c r="A16" s="387"/>
      <c r="B16" s="410" t="s">
        <v>2507</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98"/>
      <c r="Q16" s="1538" t="str">
        <f>B16</f>
        <v>公共配套设施</v>
      </c>
      <c r="R16" s="714" t="s">
        <v>17</v>
      </c>
      <c r="S16" s="715">
        <f>F16</f>
        <v>100</v>
      </c>
      <c r="T16" s="714" t="s">
        <v>17</v>
      </c>
      <c r="U16" s="715">
        <f>H16</f>
        <v>100</v>
      </c>
      <c r="V16" s="714" t="s">
        <v>17</v>
      </c>
      <c r="W16" s="715">
        <f>J16</f>
        <v>100</v>
      </c>
      <c r="X16" s="1541"/>
      <c r="Y16" s="3298"/>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98"/>
      <c r="Q17" s="1538"/>
      <c r="R17" s="714"/>
      <c r="S17" s="715"/>
      <c r="T17" s="714"/>
      <c r="U17" s="715"/>
      <c r="V17" s="714"/>
      <c r="W17" s="715"/>
      <c r="X17" s="1541"/>
      <c r="Y17" s="3298"/>
      <c r="Z17" s="1542"/>
      <c r="AA17" s="1539">
        <v>1</v>
      </c>
      <c r="AB17" s="1539">
        <v>1</v>
      </c>
      <c r="AC17" s="1539">
        <v>1</v>
      </c>
    </row>
    <row r="18" spans="1:29" ht="28.5">
      <c r="A18" s="387"/>
      <c r="B18" s="1293" t="s">
        <v>2508</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98"/>
      <c r="Q18" s="1538" t="str">
        <f>B18</f>
        <v>基础设施水平</v>
      </c>
      <c r="R18" s="714" t="s">
        <v>17</v>
      </c>
      <c r="S18" s="715">
        <f>F18</f>
        <v>100</v>
      </c>
      <c r="T18" s="714" t="s">
        <v>17</v>
      </c>
      <c r="U18" s="715">
        <f>H18</f>
        <v>100</v>
      </c>
      <c r="V18" s="714" t="s">
        <v>17</v>
      </c>
      <c r="W18" s="715">
        <f>J18</f>
        <v>100</v>
      </c>
      <c r="X18" s="1541"/>
      <c r="Y18" s="3298"/>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98"/>
      <c r="Q19" s="1538"/>
      <c r="R19" s="714"/>
      <c r="S19" s="715"/>
      <c r="T19" s="714"/>
      <c r="U19" s="715"/>
      <c r="V19" s="714"/>
      <c r="W19" s="715"/>
      <c r="X19" s="1541"/>
      <c r="Y19" s="3298"/>
      <c r="Z19" s="1542"/>
      <c r="AA19" s="1539">
        <v>1</v>
      </c>
      <c r="AB19" s="1539">
        <v>1</v>
      </c>
      <c r="AC19" s="1539">
        <v>1</v>
      </c>
    </row>
    <row r="20" spans="1:29" ht="57">
      <c r="A20" s="387"/>
      <c r="B20" s="410" t="s">
        <v>2529</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98"/>
      <c r="Q20" s="1538" t="str">
        <f>B20</f>
        <v>自然及人文环境</v>
      </c>
      <c r="R20" s="714" t="s">
        <v>17</v>
      </c>
      <c r="S20" s="715">
        <f>F20</f>
        <v>100</v>
      </c>
      <c r="T20" s="714" t="s">
        <v>17</v>
      </c>
      <c r="U20" s="715">
        <f>H20</f>
        <v>100</v>
      </c>
      <c r="V20" s="714" t="s">
        <v>17</v>
      </c>
      <c r="W20" s="715">
        <f>J20</f>
        <v>100</v>
      </c>
      <c r="X20" s="1541"/>
      <c r="Y20" s="3298"/>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98"/>
      <c r="Q21" s="1538"/>
      <c r="R21" s="714"/>
      <c r="S21" s="715"/>
      <c r="T21" s="714"/>
      <c r="U21" s="715"/>
      <c r="V21" s="714"/>
      <c r="W21" s="715"/>
      <c r="X21" s="1541"/>
      <c r="Y21" s="3298"/>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98"/>
      <c r="Q22" s="1538" t="str">
        <f>B22</f>
        <v>楼层</v>
      </c>
      <c r="R22" s="714" t="s">
        <v>17</v>
      </c>
      <c r="S22" s="715">
        <f>F22</f>
        <v>100</v>
      </c>
      <c r="T22" s="714" t="s">
        <v>17</v>
      </c>
      <c r="U22" s="715">
        <f>H22</f>
        <v>100</v>
      </c>
      <c r="V22" s="714" t="s">
        <v>17</v>
      </c>
      <c r="W22" s="715">
        <f>J22</f>
        <v>100</v>
      </c>
      <c r="X22" s="1541"/>
      <c r="Y22" s="3298"/>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98"/>
      <c r="Q23" s="1538">
        <f>B23</f>
        <v>111</v>
      </c>
      <c r="R23" s="714" t="s">
        <v>17</v>
      </c>
      <c r="S23" s="715">
        <f>F23</f>
        <v>100</v>
      </c>
      <c r="T23" s="714" t="s">
        <v>17</v>
      </c>
      <c r="U23" s="715">
        <f>H23</f>
        <v>100</v>
      </c>
      <c r="V23" s="714" t="s">
        <v>17</v>
      </c>
      <c r="W23" s="715">
        <f>J23</f>
        <v>100</v>
      </c>
      <c r="X23" s="1541"/>
      <c r="Y23" s="3298"/>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98"/>
      <c r="Q24" s="1538">
        <f t="shared" ref="Q24:Q34" si="11">B24</f>
        <v>111</v>
      </c>
      <c r="R24" s="714" t="s">
        <v>17</v>
      </c>
      <c r="S24" s="715">
        <f>F24</f>
        <v>100</v>
      </c>
      <c r="T24" s="714" t="s">
        <v>17</v>
      </c>
      <c r="U24" s="715">
        <f>H24</f>
        <v>100</v>
      </c>
      <c r="V24" s="714" t="s">
        <v>17</v>
      </c>
      <c r="W24" s="715">
        <f>J24</f>
        <v>100</v>
      </c>
      <c r="X24" s="1541"/>
      <c r="Y24" s="3298"/>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98"/>
      <c r="Q25" s="1529">
        <f t="shared" si="11"/>
        <v>111</v>
      </c>
      <c r="R25" s="710" t="s">
        <v>17</v>
      </c>
      <c r="S25" s="711">
        <f>F25</f>
        <v>100</v>
      </c>
      <c r="T25" s="710" t="s">
        <v>17</v>
      </c>
      <c r="U25" s="711">
        <f>H25</f>
        <v>100</v>
      </c>
      <c r="V25" s="710" t="s">
        <v>17</v>
      </c>
      <c r="W25" s="711">
        <f>J25</f>
        <v>100</v>
      </c>
      <c r="X25" s="712"/>
      <c r="Y25" s="3298"/>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299"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0"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00"/>
      <c r="Q27" s="716" t="str">
        <f t="shared" si="11"/>
        <v>成新率</v>
      </c>
      <c r="R27" s="717" t="s">
        <v>17</v>
      </c>
      <c r="S27" s="718" t="e">
        <f t="shared" si="12"/>
        <v>#N/A</v>
      </c>
      <c r="T27" s="717" t="s">
        <v>17</v>
      </c>
      <c r="U27" s="718" t="e">
        <f t="shared" si="13"/>
        <v>#N/A</v>
      </c>
      <c r="V27" s="717" t="s">
        <v>17</v>
      </c>
      <c r="W27" s="718" t="e">
        <f t="shared" si="14"/>
        <v>#N/A</v>
      </c>
      <c r="X27" s="719"/>
      <c r="Y27" s="3300"/>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00"/>
      <c r="Q28" s="1538" t="str">
        <f t="shared" si="11"/>
        <v>物业等级</v>
      </c>
      <c r="R28" s="714" t="s">
        <v>17</v>
      </c>
      <c r="S28" s="715">
        <f t="shared" si="12"/>
        <v>100</v>
      </c>
      <c r="T28" s="714" t="s">
        <v>17</v>
      </c>
      <c r="U28" s="715">
        <f t="shared" si="13"/>
        <v>100</v>
      </c>
      <c r="V28" s="714" t="s">
        <v>17</v>
      </c>
      <c r="W28" s="715">
        <f t="shared" si="14"/>
        <v>100</v>
      </c>
      <c r="X28" s="1541"/>
      <c r="Y28" s="3300"/>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00"/>
      <c r="Q29" s="1538" t="str">
        <f t="shared" si="11"/>
        <v>有无电梯</v>
      </c>
      <c r="R29" s="714" t="s">
        <v>17</v>
      </c>
      <c r="S29" s="715">
        <f t="shared" si="12"/>
        <v>100</v>
      </c>
      <c r="T29" s="714" t="s">
        <v>17</v>
      </c>
      <c r="U29" s="715">
        <f t="shared" si="13"/>
        <v>100</v>
      </c>
      <c r="V29" s="714" t="s">
        <v>17</v>
      </c>
      <c r="W29" s="715">
        <f t="shared" si="14"/>
        <v>100</v>
      </c>
      <c r="X29" s="1541"/>
      <c r="Y29" s="3300"/>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00"/>
      <c r="Q30" s="1538" t="str">
        <f t="shared" si="11"/>
        <v>建筑面积</v>
      </c>
      <c r="R30" s="714" t="s">
        <v>17</v>
      </c>
      <c r="S30" s="715" t="e">
        <f t="shared" si="12"/>
        <v>#N/A</v>
      </c>
      <c r="T30" s="714" t="s">
        <v>17</v>
      </c>
      <c r="U30" s="715" t="e">
        <f t="shared" si="13"/>
        <v>#N/A</v>
      </c>
      <c r="V30" s="714" t="s">
        <v>17</v>
      </c>
      <c r="W30" s="715" t="e">
        <f t="shared" si="14"/>
        <v>#N/A</v>
      </c>
      <c r="X30" s="1541"/>
      <c r="Y30" s="3300"/>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00"/>
      <c r="Q31" s="1529" t="str">
        <f t="shared" si="11"/>
        <v>是否封闭</v>
      </c>
      <c r="R31" s="710" t="s">
        <v>17</v>
      </c>
      <c r="S31" s="711">
        <f t="shared" si="12"/>
        <v>100</v>
      </c>
      <c r="T31" s="710" t="s">
        <v>17</v>
      </c>
      <c r="U31" s="711">
        <f t="shared" si="13"/>
        <v>100</v>
      </c>
      <c r="V31" s="710" t="s">
        <v>17</v>
      </c>
      <c r="W31" s="711">
        <f t="shared" si="14"/>
        <v>100</v>
      </c>
      <c r="X31" s="712"/>
      <c r="Y31" s="330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00" t="s">
        <v>2384</v>
      </c>
      <c r="Q32" s="1538">
        <f t="shared" si="11"/>
        <v>111</v>
      </c>
      <c r="R32" s="714" t="s">
        <v>17</v>
      </c>
      <c r="S32" s="715">
        <f t="shared" si="12"/>
        <v>100</v>
      </c>
      <c r="T32" s="714" t="s">
        <v>17</v>
      </c>
      <c r="U32" s="715">
        <f t="shared" si="13"/>
        <v>100</v>
      </c>
      <c r="V32" s="714" t="s">
        <v>17</v>
      </c>
      <c r="W32" s="715">
        <f t="shared" si="14"/>
        <v>100</v>
      </c>
      <c r="X32" s="1541"/>
      <c r="Y32" s="3300"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00"/>
      <c r="Q33" s="1538">
        <f t="shared" si="11"/>
        <v>111</v>
      </c>
      <c r="R33" s="714" t="s">
        <v>17</v>
      </c>
      <c r="S33" s="715">
        <f t="shared" si="12"/>
        <v>100</v>
      </c>
      <c r="T33" s="714" t="s">
        <v>17</v>
      </c>
      <c r="U33" s="715">
        <f t="shared" si="13"/>
        <v>100</v>
      </c>
      <c r="V33" s="714" t="s">
        <v>17</v>
      </c>
      <c r="W33" s="715">
        <f t="shared" si="14"/>
        <v>100</v>
      </c>
      <c r="X33" s="1541"/>
      <c r="Y33" s="3300"/>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00"/>
      <c r="Q34" s="1538">
        <f t="shared" si="11"/>
        <v>111</v>
      </c>
      <c r="R34" s="714" t="s">
        <v>17</v>
      </c>
      <c r="S34" s="715">
        <f t="shared" si="12"/>
        <v>100</v>
      </c>
      <c r="T34" s="714" t="s">
        <v>17</v>
      </c>
      <c r="U34" s="715">
        <f t="shared" si="13"/>
        <v>100</v>
      </c>
      <c r="V34" s="714" t="s">
        <v>17</v>
      </c>
      <c r="W34" s="715">
        <f t="shared" si="14"/>
        <v>100</v>
      </c>
      <c r="X34" s="1541"/>
      <c r="Y34" s="3300"/>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5"/>
      <c r="M35" s="2956"/>
      <c r="N35" s="2947"/>
      <c r="O35" s="2956"/>
      <c r="P35" s="3295" t="str">
        <f>A35</f>
        <v>成交单价（元/平方米）</v>
      </c>
      <c r="Q35" s="3295"/>
      <c r="R35" s="3331">
        <f>E35</f>
        <v>0</v>
      </c>
      <c r="S35" s="3331"/>
      <c r="T35" s="3331">
        <f>G35</f>
        <v>0</v>
      </c>
      <c r="U35" s="3331"/>
      <c r="V35" s="3331">
        <f>I35</f>
        <v>0</v>
      </c>
      <c r="W35" s="3331"/>
      <c r="X35" s="699"/>
      <c r="Y35" s="721"/>
      <c r="Z35" s="699"/>
      <c r="AA35" s="699"/>
      <c r="AB35" s="699"/>
      <c r="AC35" s="699"/>
    </row>
    <row r="36" spans="1:30" ht="15.75" thickBot="1">
      <c r="A36" s="445" t="s">
        <v>2488</v>
      </c>
      <c r="B36" s="446"/>
      <c r="C36" s="1322" t="e">
        <f>R37</f>
        <v>#DIV/0!</v>
      </c>
      <c r="D36" s="2540" t="s">
        <v>2879</v>
      </c>
      <c r="E36" s="1323" t="e">
        <f>R36</f>
        <v>#DIV/0!</v>
      </c>
      <c r="F36" s="2541"/>
      <c r="G36" s="1322" t="e">
        <f>T36</f>
        <v>#DIV/0!</v>
      </c>
      <c r="H36" s="2541"/>
      <c r="I36" s="1323" t="e">
        <f>V36</f>
        <v>#DIV/0!</v>
      </c>
      <c r="J36" s="2541"/>
      <c r="K36" s="2543">
        <f>F36+H36+J36</f>
        <v>0</v>
      </c>
      <c r="L36" s="2955"/>
      <c r="M36" s="2956"/>
      <c r="N36" s="2947"/>
      <c r="O36" s="2956"/>
      <c r="P36" s="3295" t="str">
        <f>A36</f>
        <v>比较价值（元/平方米）</v>
      </c>
      <c r="Q36" s="3295"/>
      <c r="R36" s="3331" t="e">
        <f>IF(F1="售价",ROUND(PRODUCT(R35,AA7:AA34),0),ROUND(PRODUCT(R35,AA7:AA34),1))</f>
        <v>#DIV/0!</v>
      </c>
      <c r="S36" s="3331"/>
      <c r="T36" s="3331" t="e">
        <f>IF(F1="售价",ROUND(PRODUCT(T35,AB7:AB34),0),ROUND(PRODUCT(T35,AB7:AB34),1))</f>
        <v>#DIV/0!</v>
      </c>
      <c r="U36" s="3331"/>
      <c r="V36" s="3331" t="e">
        <f>IF(F1="售价",ROUND(PRODUCT(V35,AC7:AC34),0),ROUND(PRODUCT(V35,AC7:AC34),1))</f>
        <v>#DIV/0!</v>
      </c>
      <c r="W36" s="3331"/>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5"/>
      <c r="M37" s="2956"/>
      <c r="N37" s="2956"/>
      <c r="O37" s="2956"/>
      <c r="P37" s="3289" t="str">
        <f>A37</f>
        <v>估价对象XX用房的比较价值（楼面单价，元/平方米）</v>
      </c>
      <c r="Q37" s="3290"/>
      <c r="R37" s="3384" t="e">
        <f>IF(F1="售价",ROUND(IF(D36="简单平均",AVERAGE(R36:W36),R36*F36+T36*H36+V36*J36),0),ROUND(IF(D36="简单平均",AVERAGE(R36:V36),R36*F36+T36*H36+V36*J36),1))</f>
        <v>#DIV/0!</v>
      </c>
      <c r="S37" s="3384"/>
      <c r="T37" s="3384"/>
      <c r="U37" s="3384"/>
      <c r="V37" s="3384"/>
      <c r="W37" s="3384"/>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2493</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2367</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2404</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2369</v>
      </c>
      <c r="B49" s="467"/>
      <c r="C49" s="479" t="s">
        <v>2471</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2407</v>
      </c>
      <c r="B51" s="485" t="s">
        <v>2373</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2559</v>
      </c>
      <c r="C63" s="535" t="s">
        <v>2416</v>
      </c>
      <c r="D63" s="535" t="s">
        <v>2417</v>
      </c>
      <c r="E63" s="535" t="s">
        <v>2418</v>
      </c>
      <c r="F63" s="535" t="s">
        <v>2419</v>
      </c>
      <c r="G63" s="535" t="s">
        <v>2420</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2508</v>
      </c>
      <c r="C65" s="616" t="s">
        <v>2494</v>
      </c>
      <c r="D65" s="616" t="s">
        <v>2495</v>
      </c>
      <c r="E65" s="616" t="s">
        <v>2496</v>
      </c>
      <c r="F65" s="616" t="s">
        <v>2497</v>
      </c>
      <c r="G65" s="616" t="s">
        <v>2498</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2428</v>
      </c>
      <c r="C67" s="535" t="s">
        <v>2416</v>
      </c>
      <c r="D67" s="535" t="s">
        <v>2417</v>
      </c>
      <c r="E67" s="535" t="s">
        <v>2418</v>
      </c>
      <c r="F67" s="535" t="s">
        <v>2419</v>
      </c>
      <c r="G67" s="535" t="s">
        <v>2420</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2548</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2382</v>
      </c>
      <c r="B77" s="485" t="s">
        <v>2435</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2552</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2560</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2562</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1"/>
      <c r="C2" s="3101"/>
      <c r="D2" s="3101"/>
      <c r="E2" s="3101"/>
    </row>
    <row r="3" spans="1:5" ht="18">
      <c r="A3" s="3102" t="str">
        <f>IF(项目基本情况!B9="房地产市场价值","估价结果一览表（市场价值不需“结果表-1”）","估价结果一览表")</f>
        <v>估价结果一览表</v>
      </c>
      <c r="B3" s="3102"/>
      <c r="C3" s="3102"/>
      <c r="D3" s="3102"/>
      <c r="E3" s="3102"/>
    </row>
    <row r="4" spans="1:5" ht="19.5" thickBot="1">
      <c r="A4" s="1680"/>
      <c r="B4" s="3100" t="s">
        <v>1595</v>
      </c>
      <c r="C4" s="3100"/>
      <c r="D4" s="3100"/>
      <c r="E4" s="1680"/>
    </row>
    <row r="5" spans="1:5" ht="16.5" thickTop="1">
      <c r="A5" s="1678"/>
      <c r="B5" s="3098" t="s">
        <v>1587</v>
      </c>
      <c r="C5" s="1681" t="s">
        <v>1588</v>
      </c>
      <c r="D5" s="959" t="e">
        <f ca="1">结果表!H101</f>
        <v>#REF!</v>
      </c>
      <c r="E5" s="1678"/>
    </row>
    <row r="6" spans="1:5" ht="15.75">
      <c r="A6" s="1678"/>
      <c r="B6" s="3098"/>
      <c r="C6" s="1681" t="s">
        <v>1589</v>
      </c>
      <c r="D6" s="959" t="e">
        <f ca="1">NUMBERSTRING(INT(D5*10000),2)&amp;"元整"</f>
        <v>#REF!</v>
      </c>
      <c r="E6" s="1678"/>
    </row>
    <row r="7" spans="1:5" ht="15.75">
      <c r="A7" s="1678"/>
      <c r="B7" s="3103"/>
      <c r="C7" s="1682" t="s">
        <v>1590</v>
      </c>
      <c r="D7" s="960" t="e">
        <f ca="1">结果表!H102</f>
        <v>#REF!</v>
      </c>
      <c r="E7" s="1678"/>
    </row>
    <row r="8" spans="1:5" ht="15.75">
      <c r="A8" s="1678"/>
      <c r="B8" s="3104" t="str">
        <f>结果表!E103</f>
        <v>2.估价师知悉的法定优先受偿款</v>
      </c>
      <c r="C8" s="1683" t="s">
        <v>1591</v>
      </c>
      <c r="D8" s="960">
        <f>结果表!H103</f>
        <v>0</v>
      </c>
      <c r="E8" s="1678"/>
    </row>
    <row r="9" spans="1:5" ht="15.75">
      <c r="A9" s="1678"/>
      <c r="B9" s="3106"/>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97" t="str">
        <f>结果表!E107</f>
        <v>3.房地产抵押价值</v>
      </c>
      <c r="C13" s="1686" t="s">
        <v>1588</v>
      </c>
      <c r="D13" s="962" t="e">
        <f ca="1">结果表!H107</f>
        <v>#REF!</v>
      </c>
      <c r="E13" s="1678"/>
    </row>
    <row r="14" spans="1:5" ht="15.75">
      <c r="A14" s="1678"/>
      <c r="B14" s="3098"/>
      <c r="C14" s="1681" t="s">
        <v>1589</v>
      </c>
      <c r="D14" s="959" t="e">
        <f ca="1">NUMBERSTRING(INT(D13*10000),2)&amp;"元整"</f>
        <v>#REF!</v>
      </c>
      <c r="E14" s="1678"/>
    </row>
    <row r="15" spans="1:5" ht="15">
      <c r="A15" s="1678"/>
      <c r="B15" s="3103"/>
      <c r="C15" s="1682" t="s">
        <v>1599</v>
      </c>
      <c r="D15" s="968" t="e">
        <f ca="1">结果表!H108</f>
        <v>#REF!</v>
      </c>
      <c r="E15" s="1678"/>
    </row>
    <row r="16" spans="1:5" ht="15">
      <c r="A16" s="1678"/>
      <c r="B16" s="3104" t="str">
        <f>结果表!E109</f>
        <v>——</v>
      </c>
      <c r="C16" s="1686" t="s">
        <v>1600</v>
      </c>
      <c r="D16" s="1687" t="str">
        <f>结果表!H109</f>
        <v>——</v>
      </c>
      <c r="E16" s="1678"/>
    </row>
    <row r="17" spans="1:5" ht="15.75">
      <c r="A17" s="1678"/>
      <c r="B17" s="3105"/>
      <c r="C17" s="1681" t="s">
        <v>1601</v>
      </c>
      <c r="D17" s="959" t="e">
        <f>NUMBERSTRING(INT(D16*10000),2)&amp;"元整"</f>
        <v>#VALUE!</v>
      </c>
      <c r="E17" s="1678"/>
    </row>
    <row r="18" spans="1:5" ht="15">
      <c r="A18" s="1678"/>
      <c r="B18" s="3106"/>
      <c r="C18" s="1682" t="s">
        <v>1590</v>
      </c>
      <c r="D18" s="968" t="str">
        <f>结果表!H110</f>
        <v>——</v>
      </c>
      <c r="E18" s="1678"/>
    </row>
    <row r="19" spans="1:5" ht="15.75">
      <c r="A19" s="1678"/>
      <c r="B19" s="3097" t="str">
        <f>结果表!E111</f>
        <v>——</v>
      </c>
      <c r="C19" s="1686" t="s">
        <v>1588</v>
      </c>
      <c r="D19" s="960" t="str">
        <f>结果表!H111</f>
        <v>——</v>
      </c>
      <c r="E19" s="1678"/>
    </row>
    <row r="20" spans="1:5" ht="15.75">
      <c r="A20" s="1678"/>
      <c r="B20" s="3098"/>
      <c r="C20" s="1681" t="s">
        <v>1601</v>
      </c>
      <c r="D20" s="959" t="e">
        <f>NUMBERSTRING(INT(D19*10000),2)&amp;"元整"</f>
        <v>#VALUE!</v>
      </c>
      <c r="E20" s="1678"/>
    </row>
    <row r="21" spans="1:5" ht="15.75" thickBot="1">
      <c r="A21" s="1678"/>
      <c r="B21" s="3099"/>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92" t="s">
        <v>2465</v>
      </c>
      <c r="D4" s="3305"/>
      <c r="E4" s="3306" t="s">
        <v>2466</v>
      </c>
      <c r="F4" s="3307"/>
      <c r="G4" s="3292" t="s">
        <v>2467</v>
      </c>
      <c r="H4" s="3305"/>
      <c r="I4" s="3292" t="s">
        <v>2468</v>
      </c>
      <c r="J4" s="3305"/>
      <c r="K4" s="567" t="s">
        <v>2469</v>
      </c>
      <c r="L4" s="2946"/>
      <c r="M4" s="2947"/>
      <c r="N4" s="2947"/>
      <c r="O4" s="2947"/>
      <c r="P4" s="3308" t="s">
        <v>2470</v>
      </c>
      <c r="Q4" s="3309"/>
      <c r="R4" s="3314" t="s">
        <v>2466</v>
      </c>
      <c r="S4" s="3315"/>
      <c r="T4" s="3314" t="s">
        <v>2467</v>
      </c>
      <c r="U4" s="3315"/>
      <c r="V4" s="3301" t="s">
        <v>2468</v>
      </c>
      <c r="W4" s="3301"/>
      <c r="X4" s="1541"/>
      <c r="Y4" s="3314" t="s">
        <v>2470</v>
      </c>
      <c r="Z4" s="3315"/>
      <c r="AA4" s="3302" t="s">
        <v>2466</v>
      </c>
      <c r="AB4" s="3303" t="s">
        <v>2467</v>
      </c>
      <c r="AC4" s="3302" t="s">
        <v>2468</v>
      </c>
    </row>
    <row r="5" spans="1:29" ht="15">
      <c r="A5" s="364"/>
      <c r="B5" s="365"/>
      <c r="C5" s="3322" t="s">
        <v>2361</v>
      </c>
      <c r="D5" s="3323"/>
      <c r="E5" s="3329" t="s">
        <v>2362</v>
      </c>
      <c r="F5" s="3330"/>
      <c r="G5" s="3322" t="s">
        <v>2363</v>
      </c>
      <c r="H5" s="3323"/>
      <c r="I5" s="3322" t="s">
        <v>2364</v>
      </c>
      <c r="J5" s="3323"/>
      <c r="K5" s="567"/>
      <c r="L5" s="2946"/>
      <c r="M5" s="2947"/>
      <c r="N5" s="2947"/>
      <c r="O5" s="2947"/>
      <c r="P5" s="3310"/>
      <c r="Q5" s="3311"/>
      <c r="R5" s="3316"/>
      <c r="S5" s="3317"/>
      <c r="T5" s="3316"/>
      <c r="U5" s="3317"/>
      <c r="V5" s="3301"/>
      <c r="W5" s="3301"/>
      <c r="X5" s="1541"/>
      <c r="Y5" s="3316"/>
      <c r="Z5" s="3317"/>
      <c r="AA5" s="3303"/>
      <c r="AB5" s="3303"/>
      <c r="AC5" s="3303"/>
    </row>
    <row r="6" spans="1:29" ht="15.75" thickBot="1">
      <c r="A6" s="366"/>
      <c r="B6" s="367"/>
      <c r="C6" s="3385" t="s">
        <v>2616</v>
      </c>
      <c r="D6" s="3386"/>
      <c r="E6" s="3387" t="s">
        <v>2616</v>
      </c>
      <c r="F6" s="3388"/>
      <c r="G6" s="3385" t="s">
        <v>2616</v>
      </c>
      <c r="H6" s="3386"/>
      <c r="I6" s="3385" t="s">
        <v>2616</v>
      </c>
      <c r="J6" s="3386"/>
      <c r="K6" s="567" t="s">
        <v>2366</v>
      </c>
      <c r="L6" s="2946"/>
      <c r="M6" s="2947"/>
      <c r="N6" s="2947"/>
      <c r="O6" s="2947"/>
      <c r="P6" s="3312"/>
      <c r="Q6" s="3313"/>
      <c r="R6" s="3316"/>
      <c r="S6" s="3317"/>
      <c r="T6" s="3318"/>
      <c r="U6" s="3319"/>
      <c r="V6" s="3301"/>
      <c r="W6" s="3301"/>
      <c r="X6" s="1541"/>
      <c r="Y6" s="3318"/>
      <c r="Z6" s="3319"/>
      <c r="AA6" s="3304"/>
      <c r="AB6" s="3304"/>
      <c r="AC6" s="3304"/>
    </row>
    <row r="7" spans="1:29" s="113" customFormat="1" ht="15.75" thickBot="1">
      <c r="A7" s="368" t="s">
        <v>2367</v>
      </c>
      <c r="B7" s="369"/>
      <c r="C7" s="370">
        <f>'数据-取费表'!B2</f>
        <v>44153</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24" t="s">
        <v>2368</v>
      </c>
      <c r="Q7" s="3326"/>
      <c r="R7" s="710" t="s">
        <v>17</v>
      </c>
      <c r="S7" s="711">
        <f t="shared" ref="S7:S15" si="0">F7</f>
        <v>0</v>
      </c>
      <c r="T7" s="710" t="s">
        <v>17</v>
      </c>
      <c r="U7" s="711">
        <f t="shared" ref="U7:U15" si="1">H7</f>
        <v>0</v>
      </c>
      <c r="V7" s="710" t="s">
        <v>17</v>
      </c>
      <c r="W7" s="711">
        <f t="shared" ref="W7:W15" si="2">J7</f>
        <v>0</v>
      </c>
      <c r="X7" s="712"/>
      <c r="Y7" s="3324" t="s">
        <v>2368</v>
      </c>
      <c r="Z7" s="3325"/>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24" t="s">
        <v>2371</v>
      </c>
      <c r="Q8" s="3325"/>
      <c r="R8" s="710" t="s">
        <v>17</v>
      </c>
      <c r="S8" s="711">
        <f t="shared" si="0"/>
        <v>0</v>
      </c>
      <c r="T8" s="710" t="s">
        <v>17</v>
      </c>
      <c r="U8" s="711">
        <f t="shared" si="1"/>
        <v>0</v>
      </c>
      <c r="V8" s="710" t="s">
        <v>17</v>
      </c>
      <c r="W8" s="711">
        <f t="shared" si="2"/>
        <v>0</v>
      </c>
      <c r="X8" s="712"/>
      <c r="Y8" s="3324" t="s">
        <v>2371</v>
      </c>
      <c r="Z8" s="3325"/>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95" t="s">
        <v>2374</v>
      </c>
      <c r="Q9" s="1529" t="str">
        <f t="shared" ref="Q9:Q15" si="6">B9</f>
        <v>用途</v>
      </c>
      <c r="R9" s="710" t="s">
        <v>17</v>
      </c>
      <c r="S9" s="711">
        <f t="shared" si="0"/>
        <v>100</v>
      </c>
      <c r="T9" s="710" t="s">
        <v>17</v>
      </c>
      <c r="U9" s="711">
        <f t="shared" si="1"/>
        <v>100</v>
      </c>
      <c r="V9" s="710" t="s">
        <v>17</v>
      </c>
      <c r="W9" s="711">
        <f t="shared" si="2"/>
        <v>100</v>
      </c>
      <c r="X9" s="712"/>
      <c r="Y9" s="3189"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102</v>
      </c>
      <c r="G10" s="391"/>
      <c r="H10" s="132">
        <f>ROUND(100/'数据-取费表'!G16,0)</f>
        <v>102</v>
      </c>
      <c r="I10" s="391"/>
      <c r="J10" s="132">
        <f>ROUND(100/'数据-取费表'!G16,0)</f>
        <v>102</v>
      </c>
      <c r="K10" s="628"/>
      <c r="L10" s="2950"/>
      <c r="M10" s="2951"/>
      <c r="N10" s="2951"/>
      <c r="O10" s="3004"/>
      <c r="P10" s="3295"/>
      <c r="Q10" s="1529" t="str">
        <f t="shared" si="6"/>
        <v>土地使用年限（年）</v>
      </c>
      <c r="R10" s="710" t="s">
        <v>17</v>
      </c>
      <c r="S10" s="711">
        <f t="shared" si="0"/>
        <v>102</v>
      </c>
      <c r="T10" s="710" t="s">
        <v>17</v>
      </c>
      <c r="U10" s="711">
        <f t="shared" si="1"/>
        <v>102</v>
      </c>
      <c r="V10" s="710" t="s">
        <v>17</v>
      </c>
      <c r="W10" s="711">
        <f t="shared" si="2"/>
        <v>102</v>
      </c>
      <c r="X10" s="712"/>
      <c r="Y10" s="3189"/>
      <c r="Z10" s="55" t="str">
        <f t="shared" si="7"/>
        <v>土地使用年限（年）</v>
      </c>
      <c r="AA10" s="713">
        <f t="shared" si="3"/>
        <v>0.98039215686274506</v>
      </c>
      <c r="AB10" s="713">
        <f t="shared" si="4"/>
        <v>0.98039215686274506</v>
      </c>
      <c r="AC10" s="713">
        <f t="shared" si="5"/>
        <v>0.98039215686274506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95"/>
      <c r="Q11" s="1529" t="str">
        <f t="shared" si="6"/>
        <v>容积率</v>
      </c>
      <c r="R11" s="710" t="s">
        <v>17</v>
      </c>
      <c r="S11" s="711" t="e">
        <f t="shared" si="0"/>
        <v>#N/A</v>
      </c>
      <c r="T11" s="710" t="s">
        <v>17</v>
      </c>
      <c r="U11" s="711" t="e">
        <f t="shared" si="1"/>
        <v>#N/A</v>
      </c>
      <c r="V11" s="710" t="s">
        <v>17</v>
      </c>
      <c r="W11" s="711" t="e">
        <f t="shared" si="2"/>
        <v>#N/A</v>
      </c>
      <c r="X11" s="712"/>
      <c r="Y11" s="3189"/>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95"/>
      <c r="Q12" s="1529">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95"/>
      <c r="Q13" s="1529">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95"/>
      <c r="Q14" s="1529">
        <f t="shared" si="6"/>
        <v>111</v>
      </c>
      <c r="R14" s="710" t="s">
        <v>17</v>
      </c>
      <c r="S14" s="711">
        <f t="shared" si="0"/>
        <v>100</v>
      </c>
      <c r="T14" s="710" t="s">
        <v>17</v>
      </c>
      <c r="U14" s="711">
        <f t="shared" si="1"/>
        <v>100</v>
      </c>
      <c r="V14" s="710" t="s">
        <v>17</v>
      </c>
      <c r="W14" s="711">
        <f t="shared" si="2"/>
        <v>100</v>
      </c>
      <c r="X14" s="712"/>
      <c r="Y14" s="3189"/>
      <c r="Z14" s="55">
        <f t="shared" si="7"/>
        <v>111</v>
      </c>
      <c r="AA14" s="713">
        <f t="shared" si="3"/>
        <v>1</v>
      </c>
      <c r="AB14" s="713">
        <f t="shared" si="4"/>
        <v>1</v>
      </c>
      <c r="AC14" s="713">
        <f t="shared" si="5"/>
        <v>1</v>
      </c>
    </row>
    <row r="15" spans="1:29" ht="57">
      <c r="A15" s="399" t="s">
        <v>2378</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97" t="s">
        <v>2379</v>
      </c>
      <c r="Q15" s="1538" t="str">
        <f t="shared" si="6"/>
        <v>产业集聚程度</v>
      </c>
      <c r="R15" s="714" t="s">
        <v>17</v>
      </c>
      <c r="S15" s="715">
        <f t="shared" si="0"/>
        <v>100</v>
      </c>
      <c r="T15" s="714" t="s">
        <v>17</v>
      </c>
      <c r="U15" s="715">
        <f t="shared" si="1"/>
        <v>100</v>
      </c>
      <c r="V15" s="714" t="s">
        <v>17</v>
      </c>
      <c r="W15" s="715">
        <f t="shared" si="2"/>
        <v>100</v>
      </c>
      <c r="X15" s="1541"/>
      <c r="Y15" s="3297"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98"/>
      <c r="Q16" s="1538"/>
      <c r="R16" s="714"/>
      <c r="S16" s="715"/>
      <c r="T16" s="714"/>
      <c r="U16" s="715"/>
      <c r="V16" s="714"/>
      <c r="W16" s="715"/>
      <c r="X16" s="1541"/>
      <c r="Y16" s="3298"/>
      <c r="Z16" s="1542"/>
      <c r="AA16" s="1539">
        <v>1</v>
      </c>
      <c r="AB16" s="1539">
        <v>1</v>
      </c>
      <c r="AC16" s="1539">
        <v>1</v>
      </c>
    </row>
    <row r="17" spans="1:29" ht="85.5">
      <c r="A17" s="387"/>
      <c r="B17" s="587" t="s">
        <v>2528</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98"/>
      <c r="Q17" s="1538" t="str">
        <f>B17</f>
        <v>交通便捷度</v>
      </c>
      <c r="R17" s="714" t="s">
        <v>17</v>
      </c>
      <c r="S17" s="715">
        <f>F17</f>
        <v>100</v>
      </c>
      <c r="T17" s="714" t="s">
        <v>17</v>
      </c>
      <c r="U17" s="715">
        <f>H17</f>
        <v>100</v>
      </c>
      <c r="V17" s="714" t="s">
        <v>17</v>
      </c>
      <c r="W17" s="715">
        <f>J17</f>
        <v>100</v>
      </c>
      <c r="X17" s="1541"/>
      <c r="Y17" s="3298"/>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98"/>
      <c r="Q18" s="1538"/>
      <c r="R18" s="714"/>
      <c r="S18" s="715"/>
      <c r="T18" s="714"/>
      <c r="U18" s="715"/>
      <c r="V18" s="714"/>
      <c r="W18" s="715"/>
      <c r="X18" s="1541"/>
      <c r="Y18" s="3298"/>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98"/>
      <c r="Q19" s="1538" t="str">
        <f t="shared" ref="Q19:Q33" si="8">B19</f>
        <v>区域土地利用方向</v>
      </c>
      <c r="R19" s="714" t="s">
        <v>17</v>
      </c>
      <c r="S19" s="715">
        <f>F19</f>
        <v>100</v>
      </c>
      <c r="T19" s="714" t="s">
        <v>17</v>
      </c>
      <c r="U19" s="715">
        <f>H19</f>
        <v>100</v>
      </c>
      <c r="V19" s="714" t="s">
        <v>17</v>
      </c>
      <c r="W19" s="715">
        <f>J19</f>
        <v>100</v>
      </c>
      <c r="X19" s="1541"/>
      <c r="Y19" s="3298"/>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98"/>
      <c r="Q20" s="1538"/>
      <c r="R20" s="714"/>
      <c r="S20" s="715"/>
      <c r="T20" s="714"/>
      <c r="U20" s="715"/>
      <c r="V20" s="714"/>
      <c r="W20" s="715"/>
      <c r="X20" s="1541"/>
      <c r="Y20" s="3298"/>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98"/>
      <c r="Q21" s="1538" t="str">
        <f t="shared" si="8"/>
        <v>环境状况</v>
      </c>
      <c r="R21" s="714" t="s">
        <v>17</v>
      </c>
      <c r="S21" s="715">
        <f>F21</f>
        <v>100</v>
      </c>
      <c r="T21" s="714" t="s">
        <v>17</v>
      </c>
      <c r="U21" s="715">
        <f>H21</f>
        <v>100</v>
      </c>
      <c r="V21" s="714" t="s">
        <v>17</v>
      </c>
      <c r="W21" s="715">
        <f>J21</f>
        <v>100</v>
      </c>
      <c r="X21" s="1541"/>
      <c r="Y21" s="3298"/>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98"/>
      <c r="Q22" s="1538"/>
      <c r="R22" s="714"/>
      <c r="S22" s="715"/>
      <c r="T22" s="714"/>
      <c r="U22" s="715"/>
      <c r="V22" s="714"/>
      <c r="W22" s="715"/>
      <c r="X22" s="1541"/>
      <c r="Y22" s="3298"/>
      <c r="Z22" s="1542"/>
      <c r="AA22" s="1539">
        <v>1</v>
      </c>
      <c r="AB22" s="1539">
        <v>1</v>
      </c>
      <c r="AC22" s="1539">
        <v>1</v>
      </c>
    </row>
    <row r="23" spans="1:29" s="113" customFormat="1" ht="42.75">
      <c r="A23" s="605"/>
      <c r="B23" s="589" t="s">
        <v>2473</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98"/>
      <c r="Q23" s="1529" t="str">
        <f t="shared" si="8"/>
        <v>公共配套设施</v>
      </c>
      <c r="R23" s="710" t="s">
        <v>17</v>
      </c>
      <c r="S23" s="711">
        <f>F23</f>
        <v>100</v>
      </c>
      <c r="T23" s="710" t="s">
        <v>17</v>
      </c>
      <c r="U23" s="711">
        <f>H23</f>
        <v>100</v>
      </c>
      <c r="V23" s="710" t="s">
        <v>17</v>
      </c>
      <c r="W23" s="711">
        <f>J23</f>
        <v>100</v>
      </c>
      <c r="X23" s="712"/>
      <c r="Y23" s="3298"/>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98"/>
      <c r="Q24" s="1529"/>
      <c r="R24" s="710"/>
      <c r="S24" s="711"/>
      <c r="T24" s="710"/>
      <c r="U24" s="711"/>
      <c r="V24" s="710"/>
      <c r="W24" s="711"/>
      <c r="X24" s="712"/>
      <c r="Y24" s="3298"/>
      <c r="Z24" s="55"/>
      <c r="AA24" s="713">
        <v>1</v>
      </c>
      <c r="AB24" s="713">
        <v>1</v>
      </c>
      <c r="AC24" s="713">
        <v>1</v>
      </c>
    </row>
    <row r="25" spans="1:29" s="113" customFormat="1" ht="28.5">
      <c r="A25" s="605"/>
      <c r="B25" s="589" t="s">
        <v>2474</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98"/>
      <c r="Q25" s="1529" t="str">
        <f t="shared" ref="Q25" si="9">B25</f>
        <v>基础设施水平</v>
      </c>
      <c r="R25" s="710" t="s">
        <v>17</v>
      </c>
      <c r="S25" s="711">
        <f>F25</f>
        <v>100</v>
      </c>
      <c r="T25" s="710" t="s">
        <v>17</v>
      </c>
      <c r="U25" s="711">
        <f>H25</f>
        <v>100</v>
      </c>
      <c r="V25" s="710" t="s">
        <v>17</v>
      </c>
      <c r="W25" s="711">
        <f>J25</f>
        <v>100</v>
      </c>
      <c r="X25" s="712"/>
      <c r="Y25" s="3298"/>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98"/>
      <c r="Q26" s="1529"/>
      <c r="R26" s="710"/>
      <c r="S26" s="711"/>
      <c r="T26" s="710"/>
      <c r="U26" s="711"/>
      <c r="V26" s="710"/>
      <c r="W26" s="711"/>
      <c r="X26" s="712"/>
      <c r="Y26" s="3298"/>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98"/>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98"/>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98"/>
      <c r="Q28" s="1538" t="str">
        <f t="shared" si="8"/>
        <v>毗邻道路的类型与等级</v>
      </c>
      <c r="R28" s="714" t="s">
        <v>17</v>
      </c>
      <c r="S28" s="715">
        <f t="shared" si="10"/>
        <v>100</v>
      </c>
      <c r="T28" s="714" t="s">
        <v>17</v>
      </c>
      <c r="U28" s="715">
        <f t="shared" si="11"/>
        <v>100</v>
      </c>
      <c r="V28" s="714" t="s">
        <v>17</v>
      </c>
      <c r="W28" s="715">
        <f t="shared" si="12"/>
        <v>100</v>
      </c>
      <c r="X28" s="1541"/>
      <c r="Y28" s="3298"/>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98"/>
      <c r="Q29" s="1538"/>
      <c r="R29" s="714"/>
      <c r="S29" s="715"/>
      <c r="T29" s="714"/>
      <c r="U29" s="715"/>
      <c r="V29" s="714"/>
      <c r="W29" s="715"/>
      <c r="X29" s="1541"/>
      <c r="Y29" s="3298"/>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98"/>
      <c r="Q30" s="1538" t="str">
        <f t="shared" si="8"/>
        <v>土地级别</v>
      </c>
      <c r="R30" s="714" t="s">
        <v>17</v>
      </c>
      <c r="S30" s="715">
        <f t="shared" si="10"/>
        <v>100</v>
      </c>
      <c r="T30" s="714" t="s">
        <v>17</v>
      </c>
      <c r="U30" s="715">
        <f t="shared" si="11"/>
        <v>100</v>
      </c>
      <c r="V30" s="714" t="s">
        <v>17</v>
      </c>
      <c r="W30" s="715">
        <f t="shared" si="12"/>
        <v>100</v>
      </c>
      <c r="X30" s="1541"/>
      <c r="Y30" s="3298"/>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98"/>
      <c r="Q31" s="1538">
        <f t="shared" si="8"/>
        <v>111</v>
      </c>
      <c r="R31" s="714" t="s">
        <v>17</v>
      </c>
      <c r="S31" s="715">
        <f t="shared" si="10"/>
        <v>100</v>
      </c>
      <c r="T31" s="714" t="s">
        <v>17</v>
      </c>
      <c r="U31" s="715">
        <f t="shared" si="11"/>
        <v>100</v>
      </c>
      <c r="V31" s="714" t="s">
        <v>17</v>
      </c>
      <c r="W31" s="715">
        <f t="shared" si="12"/>
        <v>100</v>
      </c>
      <c r="X31" s="1541"/>
      <c r="Y31" s="3298"/>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299" t="s">
        <v>2384</v>
      </c>
      <c r="Q32" s="1538">
        <f t="shared" si="8"/>
        <v>111</v>
      </c>
      <c r="R32" s="714" t="s">
        <v>17</v>
      </c>
      <c r="S32" s="715">
        <f t="shared" si="10"/>
        <v>100</v>
      </c>
      <c r="T32" s="714" t="s">
        <v>17</v>
      </c>
      <c r="U32" s="715">
        <f t="shared" si="11"/>
        <v>100</v>
      </c>
      <c r="V32" s="714" t="s">
        <v>17</v>
      </c>
      <c r="W32" s="715">
        <f t="shared" si="12"/>
        <v>100</v>
      </c>
      <c r="X32" s="1541"/>
      <c r="Y32" s="3300"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00"/>
      <c r="Q33" s="1538">
        <f t="shared" si="8"/>
        <v>111</v>
      </c>
      <c r="R33" s="717" t="s">
        <v>17</v>
      </c>
      <c r="S33" s="718">
        <f t="shared" si="10"/>
        <v>100</v>
      </c>
      <c r="T33" s="717" t="s">
        <v>17</v>
      </c>
      <c r="U33" s="718">
        <f t="shared" si="11"/>
        <v>100</v>
      </c>
      <c r="V33" s="717" t="s">
        <v>17</v>
      </c>
      <c r="W33" s="718">
        <f t="shared" si="12"/>
        <v>100</v>
      </c>
      <c r="X33" s="719"/>
      <c r="Y33" s="3300"/>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00"/>
      <c r="Q34" s="1538" t="str">
        <f>B34</f>
        <v>宗地面积</v>
      </c>
      <c r="R34" s="714" t="s">
        <v>17</v>
      </c>
      <c r="S34" s="715" t="e">
        <f t="shared" si="10"/>
        <v>#N/A</v>
      </c>
      <c r="T34" s="714" t="s">
        <v>17</v>
      </c>
      <c r="U34" s="715" t="e">
        <f t="shared" si="11"/>
        <v>#N/A</v>
      </c>
      <c r="V34" s="714" t="s">
        <v>17</v>
      </c>
      <c r="W34" s="715" t="e">
        <f t="shared" si="12"/>
        <v>#N/A</v>
      </c>
      <c r="X34" s="1541"/>
      <c r="Y34" s="3300"/>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00"/>
      <c r="Q35" s="1538" t="str">
        <f t="shared" ref="Q35:Q40" si="14">B35</f>
        <v>宗地形状</v>
      </c>
      <c r="R35" s="714" t="s">
        <v>17</v>
      </c>
      <c r="S35" s="715">
        <f t="shared" si="10"/>
        <v>100</v>
      </c>
      <c r="T35" s="714" t="s">
        <v>17</v>
      </c>
      <c r="U35" s="715">
        <f t="shared" si="11"/>
        <v>100</v>
      </c>
      <c r="V35" s="714" t="s">
        <v>17</v>
      </c>
      <c r="W35" s="715">
        <f t="shared" si="12"/>
        <v>100</v>
      </c>
      <c r="X35" s="1541"/>
      <c r="Y35" s="3300"/>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00"/>
      <c r="Q36" s="1538" t="str">
        <f t="shared" si="14"/>
        <v>宗地开发程度</v>
      </c>
      <c r="R36" s="710" t="s">
        <v>17</v>
      </c>
      <c r="S36" s="711">
        <f t="shared" si="10"/>
        <v>100</v>
      </c>
      <c r="T36" s="710" t="s">
        <v>17</v>
      </c>
      <c r="U36" s="711">
        <f t="shared" si="11"/>
        <v>100</v>
      </c>
      <c r="V36" s="710" t="s">
        <v>17</v>
      </c>
      <c r="W36" s="711">
        <f t="shared" si="12"/>
        <v>100</v>
      </c>
      <c r="X36" s="712"/>
      <c r="Y36" s="3300"/>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00" t="s">
        <v>2384</v>
      </c>
      <c r="Q37" s="1538" t="str">
        <f t="shared" si="14"/>
        <v>工程地质条件</v>
      </c>
      <c r="R37" s="714" t="s">
        <v>17</v>
      </c>
      <c r="S37" s="715">
        <f t="shared" si="10"/>
        <v>100</v>
      </c>
      <c r="T37" s="714" t="s">
        <v>17</v>
      </c>
      <c r="U37" s="715">
        <f t="shared" si="11"/>
        <v>100</v>
      </c>
      <c r="V37" s="714" t="s">
        <v>17</v>
      </c>
      <c r="W37" s="715">
        <f t="shared" si="12"/>
        <v>100</v>
      </c>
      <c r="X37" s="1541"/>
      <c r="Y37" s="3300"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00"/>
      <c r="Q38" s="1538">
        <f t="shared" si="14"/>
        <v>111</v>
      </c>
      <c r="R38" s="714" t="s">
        <v>17</v>
      </c>
      <c r="S38" s="715">
        <f t="shared" si="10"/>
        <v>100</v>
      </c>
      <c r="T38" s="714" t="s">
        <v>17</v>
      </c>
      <c r="U38" s="715">
        <f t="shared" si="11"/>
        <v>100</v>
      </c>
      <c r="V38" s="714" t="s">
        <v>17</v>
      </c>
      <c r="W38" s="715">
        <f t="shared" si="12"/>
        <v>100</v>
      </c>
      <c r="X38" s="1541"/>
      <c r="Y38" s="330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00"/>
      <c r="Q39" s="1538">
        <f t="shared" si="14"/>
        <v>111</v>
      </c>
      <c r="R39" s="714" t="s">
        <v>17</v>
      </c>
      <c r="S39" s="715">
        <f t="shared" si="10"/>
        <v>100</v>
      </c>
      <c r="T39" s="714" t="s">
        <v>17</v>
      </c>
      <c r="U39" s="715">
        <f t="shared" si="11"/>
        <v>100</v>
      </c>
      <c r="V39" s="714" t="s">
        <v>17</v>
      </c>
      <c r="W39" s="715">
        <f t="shared" si="12"/>
        <v>100</v>
      </c>
      <c r="X39" s="1541"/>
      <c r="Y39" s="3300"/>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00"/>
      <c r="Q40" s="1538">
        <f t="shared" si="14"/>
        <v>111</v>
      </c>
      <c r="R40" s="717" t="s">
        <v>17</v>
      </c>
      <c r="S40" s="718">
        <f t="shared" si="10"/>
        <v>100</v>
      </c>
      <c r="T40" s="717" t="s">
        <v>17</v>
      </c>
      <c r="U40" s="718">
        <f t="shared" si="11"/>
        <v>100</v>
      </c>
      <c r="V40" s="717" t="s">
        <v>17</v>
      </c>
      <c r="W40" s="718">
        <f t="shared" si="12"/>
        <v>100</v>
      </c>
      <c r="X40" s="719"/>
      <c r="Y40" s="3300"/>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5"/>
      <c r="M41" s="2947"/>
      <c r="N41" s="2947"/>
      <c r="O41" s="2956"/>
      <c r="P41" s="3295" t="str">
        <f>A41</f>
        <v>成交单价</v>
      </c>
      <c r="Q41" s="3295"/>
      <c r="R41" s="3301">
        <f>E41</f>
        <v>0</v>
      </c>
      <c r="S41" s="3301"/>
      <c r="T41" s="3301">
        <f>G41</f>
        <v>0</v>
      </c>
      <c r="U41" s="3301"/>
      <c r="V41" s="3301">
        <f>I41</f>
        <v>0</v>
      </c>
      <c r="W41" s="3301"/>
      <c r="X41" s="699"/>
      <c r="Y41" s="721"/>
      <c r="Z41" s="699"/>
      <c r="AA41" s="699"/>
      <c r="AB41" s="699"/>
      <c r="AC41" s="699"/>
    </row>
    <row r="42" spans="1:31" ht="15.75" thickBot="1">
      <c r="A42" s="445" t="s">
        <v>2488</v>
      </c>
      <c r="B42" s="639"/>
      <c r="C42" s="448" t="e">
        <f>R43</f>
        <v>#DIV/0!</v>
      </c>
      <c r="D42" s="2540" t="s">
        <v>2879</v>
      </c>
      <c r="E42" s="448" t="e">
        <f>R42</f>
        <v>#DIV/0!</v>
      </c>
      <c r="F42" s="2541"/>
      <c r="G42" s="447" t="e">
        <f>T42</f>
        <v>#DIV/0!</v>
      </c>
      <c r="H42" s="2541"/>
      <c r="I42" s="448" t="e">
        <f>V42</f>
        <v>#DIV/0!</v>
      </c>
      <c r="J42" s="2541"/>
      <c r="K42" s="2543">
        <f>F42+H42+J42</f>
        <v>0</v>
      </c>
      <c r="L42" s="2955"/>
      <c r="M42" s="2947"/>
      <c r="N42" s="2947"/>
      <c r="O42" s="2956"/>
      <c r="P42" s="3295" t="str">
        <f>A42</f>
        <v>比较价值（元/平方米）</v>
      </c>
      <c r="Q42" s="3295"/>
      <c r="R42" s="3288" t="e">
        <f>ROUND(PRODUCT(R41,AA7:AA40),0)</f>
        <v>#DIV/0!</v>
      </c>
      <c r="S42" s="3288"/>
      <c r="T42" s="3288" t="e">
        <f>ROUND(PRODUCT(T41,AB7:AB40),0)</f>
        <v>#DIV/0!</v>
      </c>
      <c r="U42" s="3288"/>
      <c r="V42" s="3288" t="e">
        <f>ROUND(PRODUCT(V41,AC7:AC40),0)</f>
        <v>#DIV/0!</v>
      </c>
      <c r="W42" s="3288"/>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5"/>
      <c r="M43" s="2947"/>
      <c r="N43" s="2947"/>
      <c r="O43" s="2956"/>
      <c r="P43" s="3289" t="str">
        <f>A43</f>
        <v>估价对象XX用房的比较价值（楼面单价，元/平方米）</v>
      </c>
      <c r="Q43" s="3290"/>
      <c r="R43" s="3291" t="e">
        <f>ROUND(IF(D42="简单平均",AVERAGE(R42:W42),R42*F42+T42*H42+V42*J42),0)</f>
        <v>#DIV/0!</v>
      </c>
      <c r="S43" s="3291"/>
      <c r="T43" s="3291"/>
      <c r="U43" s="3291"/>
      <c r="V43" s="3291"/>
      <c r="W43" s="3291"/>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2577</v>
      </c>
      <c r="B50" s="641" t="s">
        <v>2578</v>
      </c>
      <c r="C50" s="2171" t="s">
        <v>2579</v>
      </c>
      <c r="D50" s="2172" t="s">
        <v>2580</v>
      </c>
      <c r="E50" s="642" t="s">
        <v>2581</v>
      </c>
      <c r="F50" s="643" t="s">
        <v>2582</v>
      </c>
      <c r="G50" s="3292" t="s">
        <v>2583</v>
      </c>
      <c r="H50" s="3293"/>
      <c r="I50" s="1542" t="s">
        <v>2620</v>
      </c>
      <c r="J50" s="1542">
        <f>项目基本情况!F35</f>
        <v>0</v>
      </c>
      <c r="K50" s="2174" t="s">
        <v>2585</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2586</v>
      </c>
      <c r="B51" s="645" t="e">
        <f>C43</f>
        <v>#DIV/0!</v>
      </c>
      <c r="C51" s="646">
        <v>1</v>
      </c>
      <c r="D51" s="1075">
        <v>1</v>
      </c>
      <c r="E51" s="646">
        <f>'数据-汇总表'!E8+'数据-汇总表'!E9</f>
        <v>58402.819999999992</v>
      </c>
      <c r="F51" s="647" t="e">
        <f t="shared" ref="F51:F60" si="15">ROUND(B51*E51/10000,0)</f>
        <v>#DIV/0!</v>
      </c>
      <c r="G51" s="3294"/>
      <c r="H51" s="3295"/>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2587</v>
      </c>
      <c r="B52" s="224" t="e">
        <f>ROUND($C$43*C52*D52,0)</f>
        <v>#DIV/0!</v>
      </c>
      <c r="C52" s="176">
        <f t="shared" ref="C52:C60" si="16">IF($C$50="北京市系数",I52,J52)</f>
        <v>0</v>
      </c>
      <c r="D52" s="1076">
        <v>0.25</v>
      </c>
      <c r="E52" s="650"/>
      <c r="F52" s="647" t="e">
        <f t="shared" si="15"/>
        <v>#DIV/0!</v>
      </c>
      <c r="G52" s="3296" t="s">
        <v>2588</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2589</v>
      </c>
      <c r="B53" s="224" t="e">
        <f t="shared" ref="B53:B60" si="17">ROUND($C$43*C53*D53,0)</f>
        <v>#DIV/0!</v>
      </c>
      <c r="C53" s="176">
        <f t="shared" si="16"/>
        <v>0</v>
      </c>
      <c r="D53" s="1076">
        <v>0.25</v>
      </c>
      <c r="E53" s="650"/>
      <c r="F53" s="647" t="e">
        <f t="shared" si="15"/>
        <v>#DIV/0!</v>
      </c>
      <c r="G53" s="3296"/>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2590</v>
      </c>
      <c r="B54" s="224" t="e">
        <f t="shared" si="17"/>
        <v>#DIV/0!</v>
      </c>
      <c r="C54" s="176">
        <f t="shared" si="16"/>
        <v>0</v>
      </c>
      <c r="D54" s="1076">
        <v>0.25</v>
      </c>
      <c r="E54" s="650"/>
      <c r="F54" s="647" t="e">
        <f t="shared" si="15"/>
        <v>#DIV/0!</v>
      </c>
      <c r="G54" s="3296"/>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2591</v>
      </c>
      <c r="B55" s="224" t="e">
        <f t="shared" si="17"/>
        <v>#DIV/0!</v>
      </c>
      <c r="C55" s="176">
        <f t="shared" si="16"/>
        <v>0</v>
      </c>
      <c r="D55" s="1076">
        <v>0.25</v>
      </c>
      <c r="E55" s="650"/>
      <c r="F55" s="647" t="e">
        <f t="shared" si="15"/>
        <v>#DIV/0!</v>
      </c>
      <c r="G55" s="3296"/>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2592</v>
      </c>
      <c r="B56" s="224" t="e">
        <f t="shared" si="17"/>
        <v>#DIV/0!</v>
      </c>
      <c r="C56" s="176">
        <f t="shared" si="16"/>
        <v>0</v>
      </c>
      <c r="D56" s="1076">
        <v>0.25</v>
      </c>
      <c r="E56" s="223">
        <f>'数据-汇总表'!E11</f>
        <v>0</v>
      </c>
      <c r="F56" s="647" t="e">
        <f t="shared" si="15"/>
        <v>#DIV/0!</v>
      </c>
      <c r="G56" s="2175" t="s">
        <v>2593</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2598</v>
      </c>
      <c r="B59" s="224" t="e">
        <f t="shared" si="17"/>
        <v>#DIV/0!</v>
      </c>
      <c r="C59" s="176">
        <f t="shared" si="16"/>
        <v>0</v>
      </c>
      <c r="D59" s="1076">
        <v>0.25</v>
      </c>
      <c r="E59" s="223">
        <f>'数据-汇总表'!E14</f>
        <v>0</v>
      </c>
      <c r="F59" s="647" t="e">
        <f t="shared" si="15"/>
        <v>#DIV/0!</v>
      </c>
      <c r="G59" s="2175" t="s">
        <v>2588</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2599</v>
      </c>
      <c r="B60" s="224" t="e">
        <f t="shared" si="17"/>
        <v>#DIV/0!</v>
      </c>
      <c r="C60" s="176">
        <f t="shared" si="16"/>
        <v>0</v>
      </c>
      <c r="D60" s="1076">
        <v>0.25</v>
      </c>
      <c r="E60" s="223">
        <f>'数据-汇总表'!E15</f>
        <v>0</v>
      </c>
      <c r="F60" s="647" t="e">
        <f t="shared" si="15"/>
        <v>#DIV/0!</v>
      </c>
      <c r="G60" s="2176" t="s">
        <v>2593</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2600</v>
      </c>
      <c r="B61" s="652" t="s">
        <v>28</v>
      </c>
      <c r="C61" s="652" t="s">
        <v>29</v>
      </c>
      <c r="D61" s="652" t="s">
        <v>997</v>
      </c>
      <c r="E61" s="652">
        <f>IF(B41="楼面地价",SUM(E51:E60),'数据-汇总表'!D3)</f>
        <v>38935.21</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6"/>
      <c r="Q63" s="2956"/>
      <c r="R63" s="2956"/>
      <c r="S63" s="2956"/>
      <c r="T63" s="2956"/>
      <c r="U63" s="2956"/>
      <c r="V63" s="2956"/>
      <c r="W63" s="2956"/>
      <c r="X63" s="2956"/>
      <c r="Y63" s="2956"/>
      <c r="Z63" s="2956"/>
      <c r="AA63" s="2956"/>
      <c r="AB63" s="2956"/>
      <c r="AC63" s="2956"/>
      <c r="AD63" s="2956"/>
      <c r="AE63" s="2956"/>
    </row>
    <row r="64" spans="1:31" ht="21.75" thickBot="1">
      <c r="A64" s="703" t="s">
        <v>2493</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2601</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2621</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2404</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2369</v>
      </c>
      <c r="B68" s="467"/>
      <c r="C68" s="479" t="s">
        <v>2471</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2407</v>
      </c>
      <c r="B70" s="485" t="s">
        <v>2373</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2376</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2378</v>
      </c>
      <c r="B83" s="485" t="s">
        <v>2524</v>
      </c>
      <c r="C83" s="530" t="s">
        <v>2416</v>
      </c>
      <c r="D83" s="530" t="s">
        <v>2417</v>
      </c>
      <c r="E83" s="530" t="s">
        <v>2418</v>
      </c>
      <c r="F83" s="530" t="s">
        <v>2419</v>
      </c>
      <c r="G83" s="530" t="s">
        <v>2420</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2421</v>
      </c>
      <c r="C85" s="535" t="s">
        <v>2416</v>
      </c>
      <c r="D85" s="535" t="s">
        <v>2417</v>
      </c>
      <c r="E85" s="535" t="s">
        <v>2418</v>
      </c>
      <c r="F85" s="535" t="s">
        <v>2419</v>
      </c>
      <c r="G85" s="535" t="s">
        <v>2420</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2510</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2569</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2611</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2613</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2614</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0</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7" t="s">
        <v>2632</v>
      </c>
      <c r="D2" s="2188" t="s">
        <v>2633</v>
      </c>
      <c r="E2" s="2189"/>
      <c r="F2" s="2188" t="s">
        <v>2634</v>
      </c>
      <c r="G2" s="2190">
        <f>IF(E2="商业",项目基本情况!B37,IF(E2="办公",项目基本情况!C37,IF(E2="住宅",项目基本情况!D37,项目基本情况!E37)))</f>
        <v>0</v>
      </c>
      <c r="H2" s="2188" t="s">
        <v>2635</v>
      </c>
      <c r="I2" s="2190">
        <f>IF(E2="商业",项目基本情况!B38,IF(E2="办公",项目基本情况!C38,IF(E2="住宅",项目基本情况!D38,项目基本情况!E38)))</f>
        <v>0</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7" t="s">
        <v>2638</v>
      </c>
      <c r="D3" s="2188" t="s">
        <v>2639</v>
      </c>
      <c r="E3" s="2193"/>
      <c r="F3" s="2194" t="s">
        <v>2640</v>
      </c>
      <c r="G3" s="855">
        <f>IF(F3="宗地容积率",'数据-汇总表'!I4,IF(F3="估价对象容积率",'数据-汇总表'!I6,'数据-汇总表'!I7))</f>
        <v>1.5</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2"/>
      <c r="B4" s="3393"/>
      <c r="C4" s="3393"/>
      <c r="D4" s="3394"/>
      <c r="E4" s="3394"/>
      <c r="F4" s="3394"/>
      <c r="G4" s="3394"/>
      <c r="H4" s="3394"/>
      <c r="I4" s="3394"/>
      <c r="J4" s="3395"/>
      <c r="K4" s="1280"/>
      <c r="L4" s="2192"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t="e">
        <f>ROUND(IF(E2="商业",C6*C7+C16,(IF(E2="住宅",C6*C12+C16,C6+C16))),0)</f>
        <v>#DIV/0!</v>
      </c>
      <c r="D5" s="1525" t="e">
        <f>ROUND(C6+C16,0)</f>
        <v>#DIV/0!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96" t="str">
        <f>IF(E2="商业",IF(C8="不临58条商业街","",2),"")</f>
        <v/>
      </c>
      <c r="B7" s="2211" t="s">
        <v>2651</v>
      </c>
      <c r="C7" s="858" t="e">
        <f>IF(C8="不临58条商业街",1,ROUND(1+(1.6*E8+1.2*E9+0.8*E10+0.4*E11)*C9,4))</f>
        <v>#DIV/0!</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2654</v>
      </c>
      <c r="X7" s="1376">
        <f>G2</f>
        <v>0</v>
      </c>
      <c r="Y7" s="1376" t="s">
        <v>2655</v>
      </c>
      <c r="Z7" s="1377">
        <f>G3</f>
        <v>1.5</v>
      </c>
      <c r="AA7" s="1378"/>
      <c r="AB7" s="1378"/>
      <c r="AC7" s="1379"/>
      <c r="AD7" s="1380"/>
      <c r="AE7" s="1380"/>
      <c r="AF7" s="1380"/>
      <c r="AG7" s="1380"/>
      <c r="AH7" s="1380"/>
      <c r="AI7" s="1380"/>
      <c r="AJ7" s="1381"/>
    </row>
    <row r="8" spans="1:36" ht="15">
      <c r="A8" s="3397"/>
      <c r="B8" s="175" t="s">
        <v>2656</v>
      </c>
      <c r="C8" s="2216"/>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9" t="s">
        <v>2659</v>
      </c>
      <c r="X8" s="3390"/>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97"/>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91"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7"/>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9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7"/>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91" t="s">
        <v>2683</v>
      </c>
      <c r="X11" s="1386" t="s">
        <v>2684</v>
      </c>
      <c r="Y11" s="1387">
        <f>$G$3</f>
        <v>1.5</v>
      </c>
      <c r="Z11" s="1387">
        <f t="shared" ref="Z11:AJ11" si="3">$G$3</f>
        <v>1.5</v>
      </c>
      <c r="AA11" s="1387">
        <f t="shared" si="3"/>
        <v>1.5</v>
      </c>
      <c r="AB11" s="1387">
        <f t="shared" si="3"/>
        <v>1.5</v>
      </c>
      <c r="AC11" s="1387">
        <f t="shared" si="3"/>
        <v>1.5</v>
      </c>
      <c r="AD11" s="1387">
        <f t="shared" si="3"/>
        <v>1.5</v>
      </c>
      <c r="AE11" s="1387">
        <f t="shared" si="3"/>
        <v>1.5</v>
      </c>
      <c r="AF11" s="1387">
        <f t="shared" si="3"/>
        <v>1.5</v>
      </c>
      <c r="AG11" s="1387">
        <f t="shared" si="3"/>
        <v>1.5</v>
      </c>
      <c r="AH11" s="1387">
        <f t="shared" si="3"/>
        <v>1.5</v>
      </c>
      <c r="AI11" s="1387">
        <f t="shared" si="3"/>
        <v>1.5</v>
      </c>
      <c r="AJ11" s="1387">
        <f t="shared" si="3"/>
        <v>1.5</v>
      </c>
    </row>
    <row r="12" spans="1:36" ht="25.5" thickBot="1">
      <c r="A12" s="3396"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91"/>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8"/>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t="e">
        <f t="shared" si="0"/>
        <v>#DIV/0!</v>
      </c>
      <c r="U13" s="1375"/>
      <c r="V13" s="1374" t="e">
        <f t="shared" si="1"/>
        <v>#DIV/0!</v>
      </c>
      <c r="W13" s="3391"/>
      <c r="X13" s="1388"/>
      <c r="Y13" s="1385">
        <f>(-0.163*(Y12^2)-0.59*Y12+7617)*(10^(-4))/Y11</f>
        <v>0.50780000000000003</v>
      </c>
      <c r="Z13" s="1385">
        <f t="shared" ref="Z13:AJ13" si="5">(-0.163*(Z12^2)-0.59*Z12+7617)*(10^(-4))/Z11</f>
        <v>0.50780000000000003</v>
      </c>
      <c r="AA13" s="1385">
        <f t="shared" si="5"/>
        <v>0.50780000000000003</v>
      </c>
      <c r="AB13" s="1385">
        <f t="shared" si="5"/>
        <v>0.50780000000000003</v>
      </c>
      <c r="AC13" s="1385">
        <f t="shared" si="5"/>
        <v>0.50780000000000003</v>
      </c>
      <c r="AD13" s="1385">
        <f t="shared" si="5"/>
        <v>0.50780000000000003</v>
      </c>
      <c r="AE13" s="1385">
        <f t="shared" si="5"/>
        <v>0.50780000000000003</v>
      </c>
      <c r="AF13" s="1385">
        <f t="shared" si="5"/>
        <v>0.50780000000000003</v>
      </c>
      <c r="AG13" s="1385">
        <f t="shared" si="5"/>
        <v>0.50780000000000003</v>
      </c>
      <c r="AH13" s="1385">
        <f t="shared" si="5"/>
        <v>0.50780000000000003</v>
      </c>
      <c r="AI13" s="1385">
        <f t="shared" si="5"/>
        <v>0.50780000000000003</v>
      </c>
      <c r="AJ13" s="1385">
        <f t="shared" si="5"/>
        <v>0.50780000000000003</v>
      </c>
    </row>
    <row r="14" spans="1:36" ht="15">
      <c r="A14" s="3398"/>
      <c r="B14" s="2234"/>
      <c r="C14" s="2235"/>
      <c r="D14" s="2236"/>
      <c r="E14" s="2236"/>
      <c r="F14" s="2237"/>
      <c r="G14" s="2238" t="s">
        <v>2696</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99"/>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96" t="s">
        <v>2702</v>
      </c>
      <c r="B16" s="2211" t="s">
        <v>2703</v>
      </c>
      <c r="C16" s="2373" t="e">
        <f>ROUND(IF(F17="与级别开发程度一致",0,(G17-E17)/C17),0)</f>
        <v>#DIV/0!</v>
      </c>
      <c r="D16" s="3412" t="s">
        <v>2707</v>
      </c>
      <c r="E16" s="3413"/>
      <c r="F16" s="3412" t="s">
        <v>2704</v>
      </c>
      <c r="G16" s="3413"/>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400"/>
      <c r="B17" s="2384" t="s">
        <v>2706</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2710</v>
      </c>
      <c r="C19" s="863" t="e">
        <f>ROUND(IF(H19="按公示增长率计算",SUMPRODUCT((地价!A3:A32=YEAR(G19)&amp;"-"&amp;ROUNDUP(MONTH(G19)/3,0))*(地价!X2:AB2=E2)*(地价!X3:AB32)),IF(H19="地价指数",M20/M19,(1+I19)^O19)),4)</f>
        <v>#VALUE!</v>
      </c>
      <c r="D19" s="2253" t="s">
        <v>2711</v>
      </c>
      <c r="E19" s="864">
        <v>41640</v>
      </c>
      <c r="F19" s="2253" t="s">
        <v>2712</v>
      </c>
      <c r="G19" s="865">
        <f>'数据-取费表'!B2</f>
        <v>44153</v>
      </c>
      <c r="H19" s="2254"/>
      <c r="I19" s="866" t="str">
        <f>IF(H19="季度增幅（自定义）",SUMIF(N21:N24,E2,O21:O24),"")</f>
        <v/>
      </c>
      <c r="J19" s="2251"/>
      <c r="K19" s="1287"/>
      <c r="L19" s="2255" t="s">
        <v>2713</v>
      </c>
      <c r="M19" s="1498">
        <f>ROUND(SUMIF(地价!B2:F2,E2,地价!B32:F32),0)</f>
        <v>0</v>
      </c>
      <c r="N19" s="2256" t="s">
        <v>2714</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2715</v>
      </c>
      <c r="C20" s="868" t="e">
        <f>ROUND(POWER(1+G20,J20-I20)*(POWER(1+G20,I20)-1)/(POWER(1+G20,J20)-1),4)</f>
        <v>#DIV/0!</v>
      </c>
      <c r="D20" s="2260" t="s">
        <v>2716</v>
      </c>
      <c r="E20" s="1507">
        <f ca="1">存贷款利率!D4/100</f>
        <v>4.3499999999999997E-2</v>
      </c>
      <c r="F20" s="2260" t="s">
        <v>2708</v>
      </c>
      <c r="G20" s="873">
        <f>SUMIF(M26:P26,E2,M28:P28)</f>
        <v>0</v>
      </c>
      <c r="H20" s="2260" t="s">
        <v>2717</v>
      </c>
      <c r="I20" s="874" t="e">
        <f>SUMIF('数据-取费表'!C6:C15,E2,'数据-取费表'!F6:F15)/COUNTIF('数据-取费表'!C6:C15,E2)</f>
        <v>#DIV/0!</v>
      </c>
      <c r="J20" s="875">
        <f>IF(E2="住宅",70,IF(E2="商业",40,50))</f>
        <v>50</v>
      </c>
      <c r="K20" s="1287"/>
      <c r="L20" s="2261" t="s">
        <v>2718</v>
      </c>
      <c r="M20" s="1499">
        <f>ROUND(SUMPRODUCT((地价!A4:A32=YEAR(G19)&amp;"-"&amp;ROUNDUP(MONTH(G19)/3,0))*(地价!B2:F2=E2)*(地价!B4:F32)),0)</f>
        <v>0</v>
      </c>
      <c r="N20" s="2262" t="s">
        <v>2719</v>
      </c>
      <c r="O20" s="2263" t="s">
        <v>2720</v>
      </c>
      <c r="P20" s="2264" t="s">
        <v>2721</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2722</v>
      </c>
      <c r="C21" s="876">
        <f>IF(B21="容积率修正",IF(G3&lt;=10,D22,J22),C23)</f>
        <v>0</v>
      </c>
      <c r="D21" s="2267"/>
      <c r="E21" s="2267"/>
      <c r="F21" s="2267"/>
      <c r="G21" s="2267"/>
      <c r="H21" s="2267"/>
      <c r="I21" s="2267"/>
      <c r="J21" s="2268"/>
      <c r="K21" s="1287"/>
      <c r="L21" s="3021"/>
      <c r="M21" s="3021"/>
      <c r="N21" s="2269" t="s">
        <v>2723</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2724</v>
      </c>
      <c r="B22" s="2270" t="s">
        <v>2725</v>
      </c>
      <c r="C22" s="1538" t="s">
        <v>2726</v>
      </c>
      <c r="D22" s="1538" t="b">
        <f>IF(E22=G22,F22,IF(G3&lt;=10,ROUND(F22+(H22-F22)*(G3-E22)/(G22-E22),4),"——"))</f>
        <v>0</v>
      </c>
      <c r="E22" s="855">
        <f>ROUNDDOWN(G3,1)</f>
        <v>1.5</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2727</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2728</v>
      </c>
      <c r="B23" s="2271" t="s">
        <v>2729</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2730</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0</v>
      </c>
      <c r="D24" s="2250"/>
      <c r="E24" s="2277"/>
      <c r="F24" s="2277"/>
      <c r="G24" s="2277"/>
      <c r="H24" s="2277"/>
      <c r="I24" s="2277"/>
      <c r="J24" s="2278"/>
      <c r="K24" s="1287"/>
      <c r="L24" s="3021"/>
      <c r="M24" s="3021"/>
      <c r="N24" s="2279" t="s">
        <v>2732</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2733</v>
      </c>
      <c r="C25" s="869"/>
      <c r="D25" s="2214"/>
      <c r="E25" s="2214"/>
      <c r="F25" s="2281"/>
      <c r="G25" s="2214"/>
      <c r="H25" s="2214"/>
      <c r="I25" s="2214"/>
      <c r="J25" s="2215"/>
      <c r="K25" s="1280"/>
      <c r="L25" s="2185"/>
      <c r="M25" s="2185"/>
      <c r="N25" s="3016" t="s">
        <v>2734</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t="e">
        <f>IF(B21="容积率修正",E29+SUM(E33:E39),SUM(V2:V16)+SUM(E33:E39))</f>
        <v>#DIV/0!</v>
      </c>
      <c r="D26" s="2283"/>
      <c r="E26" s="2239"/>
      <c r="F26" s="2284"/>
      <c r="G26" s="2239"/>
      <c r="H26" s="2239"/>
      <c r="I26" s="2239"/>
      <c r="J26" s="2285"/>
      <c r="K26" s="1280"/>
      <c r="L26" s="3019" t="s">
        <v>2633</v>
      </c>
      <c r="M26" s="2212" t="s">
        <v>2698</v>
      </c>
      <c r="N26" s="2212" t="s">
        <v>2699</v>
      </c>
      <c r="O26" s="2212" t="s">
        <v>2700</v>
      </c>
      <c r="P26" s="3020"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t="e">
        <f>E30+SUM(I33:I39)</f>
        <v>#DIV/0!</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t="e">
        <f>ROUND(C5*C18*C19*C20*C21*C24,0)</f>
        <v>#DIV/0!</v>
      </c>
      <c r="D29" s="2298"/>
      <c r="E29" s="879" t="e">
        <f>ROUND(C29*D29/10000,0)</f>
        <v>#DIV/0!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t="e">
        <f>ROUND(IF(E2="工业",C29*M39,C29*M38),0)</f>
        <v>#DIV/0!</v>
      </c>
      <c r="D30" s="2304"/>
      <c r="E30" s="879" t="e">
        <f>ROUND(C30*D30/10000,0)</f>
        <v>#DIV/0!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09"/>
      <c r="B33" s="2314" t="s">
        <v>2749</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414"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10"/>
      <c r="B34" s="2231" t="s">
        <v>2750</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10"/>
      <c r="B35" s="2231" t="s">
        <v>2751</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41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11"/>
      <c r="B36" s="2231" t="s">
        <v>2752</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411"/>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t="e">
        <f>ROUND(POWER(1+E41,H41-G41)*(POWER(1+E41,G41)-1)/(POWER(1+E41,H41)-1),4)</f>
        <v>#DIV/0!</v>
      </c>
      <c r="D41" s="176" t="s">
        <v>2708</v>
      </c>
      <c r="E41" s="2371">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2769</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2416</v>
      </c>
      <c r="K80" s="560" t="s">
        <v>2417</v>
      </c>
      <c r="L80" s="560" t="s">
        <v>2418</v>
      </c>
      <c r="M80" s="560" t="s">
        <v>2419</v>
      </c>
      <c r="N80" s="560" t="s">
        <v>2420</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2776</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2777</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401" t="s">
        <v>2790</v>
      </c>
      <c r="B90" s="3401"/>
      <c r="C90" s="3401"/>
      <c r="D90" s="3401"/>
      <c r="E90" s="3401"/>
      <c r="F90" s="3401"/>
      <c r="G90" s="3401"/>
      <c r="H90" s="3401"/>
      <c r="I90" s="3401"/>
      <c r="J90" s="3401"/>
      <c r="K90" s="2345"/>
      <c r="L90" s="2345"/>
      <c r="M90" s="2345"/>
      <c r="N90" s="2345"/>
    </row>
    <row r="91" spans="1:37">
      <c r="A91" s="3403" t="s">
        <v>2791</v>
      </c>
      <c r="B91" s="3403" t="s">
        <v>2792</v>
      </c>
      <c r="C91" s="2299" t="s">
        <v>2793</v>
      </c>
      <c r="D91" s="2300"/>
      <c r="E91" s="2300"/>
      <c r="F91" s="2300"/>
      <c r="G91" s="2300"/>
      <c r="H91" s="2300"/>
      <c r="I91" s="2300"/>
      <c r="J91" s="2346"/>
      <c r="K91" s="2347"/>
      <c r="L91" s="2347"/>
      <c r="M91" s="2347"/>
      <c r="N91" s="2347"/>
    </row>
    <row r="92" spans="1:37">
      <c r="A92" s="3403"/>
      <c r="B92" s="340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04"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0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0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0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0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0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05"/>
      <c r="B99" s="2348" t="s">
        <v>2676</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0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04" t="s">
        <v>2795</v>
      </c>
      <c r="B101" s="2352" t="s">
        <v>2796</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05"/>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05"/>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05"/>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05"/>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05"/>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05"/>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05"/>
      <c r="B108" s="3407" t="s">
        <v>2797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06"/>
      <c r="B109" s="3408"/>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02" t="s">
        <v>2798</v>
      </c>
      <c r="B110" s="3402"/>
      <c r="C110" s="3402"/>
      <c r="D110" s="3402"/>
      <c r="E110" s="3402"/>
      <c r="F110" s="3402"/>
      <c r="G110" s="3402"/>
      <c r="H110" s="3402"/>
      <c r="I110" s="3402"/>
      <c r="J110" s="3402"/>
      <c r="K110" s="2354"/>
      <c r="L110" s="2354"/>
      <c r="M110" s="2354"/>
      <c r="N110" s="2354"/>
    </row>
    <row r="112" spans="1:14" ht="13.5" thickBot="1"/>
    <row r="113" spans="1:13" ht="25.5" thickBot="1">
      <c r="A113" s="842" t="s">
        <v>2799</v>
      </c>
      <c r="B113" s="1197">
        <f>G3</f>
        <v>1.5</v>
      </c>
      <c r="C113" s="843" t="s">
        <v>2800</v>
      </c>
      <c r="D113" s="844">
        <f>SUMPRODUCT((A115:A118=F113)*(B114:M114=H113)*B115:M118)</f>
        <v>0</v>
      </c>
      <c r="E113" s="2190" t="s">
        <v>2633</v>
      </c>
      <c r="F113" s="2356">
        <f>E2</f>
        <v>0</v>
      </c>
      <c r="G113" s="2190" t="s">
        <v>2634</v>
      </c>
      <c r="H113" s="2356">
        <f>G2</f>
        <v>0</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2698</v>
      </c>
      <c r="B115" s="849">
        <f>ROUND(0.9335-0.0094*B113,4)</f>
        <v>0.9194</v>
      </c>
      <c r="C115" s="849">
        <f>B115</f>
        <v>0.9194</v>
      </c>
      <c r="D115" s="849">
        <f>ROUND(0.8331-0.0109*B113,4)</f>
        <v>0.81679999999999997</v>
      </c>
      <c r="E115" s="849">
        <f>D115</f>
        <v>0.81679999999999997</v>
      </c>
      <c r="F115" s="849">
        <f>E115</f>
        <v>0.81679999999999997</v>
      </c>
      <c r="G115" s="849">
        <f>F115</f>
        <v>0.81679999999999997</v>
      </c>
      <c r="H115" s="849">
        <f>G115</f>
        <v>0.81679999999999997</v>
      </c>
      <c r="I115" s="849">
        <f>ROUND(0.689-0.0155*B113,4)</f>
        <v>0.66579999999999995</v>
      </c>
      <c r="J115" s="849">
        <f t="shared" ref="J115:M118" si="33">I115</f>
        <v>0.66579999999999995</v>
      </c>
      <c r="K115" s="849">
        <f t="shared" si="33"/>
        <v>0.66579999999999995</v>
      </c>
      <c r="L115" s="849">
        <f t="shared" si="33"/>
        <v>0.66579999999999995</v>
      </c>
      <c r="M115" s="850">
        <f t="shared" si="33"/>
        <v>0.66579999999999995</v>
      </c>
    </row>
    <row r="116" spans="1:13">
      <c r="A116" s="848" t="s">
        <v>2699</v>
      </c>
      <c r="B116" s="849">
        <f>ROUND(0.949-0.012*B113,4)</f>
        <v>0.93100000000000005</v>
      </c>
      <c r="C116" s="849">
        <f>B116</f>
        <v>0.93100000000000005</v>
      </c>
      <c r="D116" s="849">
        <f>ROUND(0.8567-0.013*B113,4)</f>
        <v>0.83720000000000006</v>
      </c>
      <c r="E116" s="849">
        <f t="shared" ref="E116:H117" si="34">D116</f>
        <v>0.83720000000000006</v>
      </c>
      <c r="F116" s="849">
        <f t="shared" si="34"/>
        <v>0.83720000000000006</v>
      </c>
      <c r="G116" s="849">
        <f t="shared" si="34"/>
        <v>0.83720000000000006</v>
      </c>
      <c r="H116" s="849">
        <f t="shared" si="34"/>
        <v>0.83720000000000006</v>
      </c>
      <c r="I116" s="849">
        <f>ROUND(0.7694-0.014*B113,4)</f>
        <v>0.74839999999999995</v>
      </c>
      <c r="J116" s="849">
        <f t="shared" si="33"/>
        <v>0.74839999999999995</v>
      </c>
      <c r="K116" s="849">
        <f t="shared" si="33"/>
        <v>0.74839999999999995</v>
      </c>
      <c r="L116" s="849">
        <f t="shared" si="33"/>
        <v>0.74839999999999995</v>
      </c>
      <c r="M116" s="850">
        <f t="shared" si="33"/>
        <v>0.74839999999999995</v>
      </c>
    </row>
    <row r="117" spans="1:13">
      <c r="A117" s="848" t="s">
        <v>2700</v>
      </c>
      <c r="B117" s="849">
        <f>ROUND(0.8808-0.006*B113,4)</f>
        <v>0.87180000000000002</v>
      </c>
      <c r="C117" s="849">
        <f>B117</f>
        <v>0.87180000000000002</v>
      </c>
      <c r="D117" s="849">
        <f>ROUND(0.8748-0.008*B113,4)</f>
        <v>0.86280000000000001</v>
      </c>
      <c r="E117" s="849">
        <f t="shared" si="34"/>
        <v>0.86280000000000001</v>
      </c>
      <c r="F117" s="849">
        <f t="shared" si="34"/>
        <v>0.86280000000000001</v>
      </c>
      <c r="G117" s="849">
        <f t="shared" si="34"/>
        <v>0.86280000000000001</v>
      </c>
      <c r="H117" s="849">
        <f t="shared" si="34"/>
        <v>0.86280000000000001</v>
      </c>
      <c r="I117" s="849">
        <f>ROUND(0.7412-0.0095*B113,4)</f>
        <v>0.72699999999999998</v>
      </c>
      <c r="J117" s="849">
        <f t="shared" si="33"/>
        <v>0.72699999999999998</v>
      </c>
      <c r="K117" s="849">
        <f t="shared" si="33"/>
        <v>0.72699999999999998</v>
      </c>
      <c r="L117" s="849">
        <f t="shared" si="33"/>
        <v>0.72699999999999998</v>
      </c>
      <c r="M117" s="850">
        <f t="shared" si="33"/>
        <v>0.72699999999999998</v>
      </c>
    </row>
    <row r="118" spans="1:13" ht="13.5" thickBot="1">
      <c r="A118" s="670" t="s">
        <v>2701</v>
      </c>
      <c r="B118" s="851">
        <f>ROUND(0.7275-0.01*B113,4)</f>
        <v>0.71250000000000002</v>
      </c>
      <c r="C118" s="851">
        <f>B118</f>
        <v>0.71250000000000002</v>
      </c>
      <c r="D118" s="851">
        <f>ROUND(0.7043-0.012*B113,4)</f>
        <v>0.68630000000000002</v>
      </c>
      <c r="E118" s="851">
        <f>D118</f>
        <v>0.68630000000000002</v>
      </c>
      <c r="F118" s="851">
        <f>E118</f>
        <v>0.68630000000000002</v>
      </c>
      <c r="G118" s="851">
        <f>ROUND(0.6299-0.0122*B113,4)</f>
        <v>0.61160000000000003</v>
      </c>
      <c r="H118" s="851">
        <f>G118</f>
        <v>0.61160000000000003</v>
      </c>
      <c r="I118" s="851">
        <f>ROUND(0.5667-0.0136*B113,4)</f>
        <v>0.54630000000000001</v>
      </c>
      <c r="J118" s="851">
        <f t="shared" si="33"/>
        <v>0.54630000000000001</v>
      </c>
      <c r="K118" s="851">
        <f t="shared" si="33"/>
        <v>0.54630000000000001</v>
      </c>
      <c r="L118" s="851">
        <f t="shared" si="33"/>
        <v>0.54630000000000001</v>
      </c>
      <c r="M118" s="852">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5" t="s">
        <v>183</v>
      </c>
      <c r="B18" s="821" t="s">
        <v>560</v>
      </c>
      <c r="C18" s="822" t="s">
        <v>561</v>
      </c>
      <c r="D18" s="823"/>
      <c r="E18" s="821">
        <v>1</v>
      </c>
      <c r="F18" s="824" t="s">
        <v>562</v>
      </c>
      <c r="G18" s="825"/>
      <c r="H18" s="817"/>
      <c r="I18" s="817"/>
    </row>
    <row r="19" spans="1:9" s="826" customFormat="1" ht="19.5" customHeight="1">
      <c r="A19" s="3415"/>
      <c r="B19" s="3415" t="s">
        <v>563</v>
      </c>
      <c r="C19" s="822" t="s">
        <v>564</v>
      </c>
      <c r="D19" s="823"/>
      <c r="E19" s="821">
        <v>0.9</v>
      </c>
      <c r="F19" s="824" t="s">
        <v>565</v>
      </c>
      <c r="G19" s="825"/>
      <c r="H19" s="817"/>
      <c r="I19" s="817"/>
    </row>
    <row r="20" spans="1:9" s="826" customFormat="1" ht="19.5" customHeight="1">
      <c r="A20" s="3415"/>
      <c r="B20" s="3415"/>
      <c r="C20" s="822" t="s">
        <v>566</v>
      </c>
      <c r="D20" s="823"/>
      <c r="E20" s="821">
        <v>1.1000000000000001</v>
      </c>
      <c r="F20" s="824" t="s">
        <v>567</v>
      </c>
      <c r="G20" s="825"/>
      <c r="H20" s="817"/>
      <c r="I20" s="817"/>
    </row>
    <row r="21" spans="1:9" s="826" customFormat="1" ht="19.5" customHeight="1">
      <c r="A21" s="3415"/>
      <c r="B21" s="3415"/>
      <c r="C21" s="822" t="s">
        <v>568</v>
      </c>
      <c r="D21" s="823"/>
      <c r="E21" s="821">
        <v>0.8</v>
      </c>
      <c r="F21" s="824" t="s">
        <v>569</v>
      </c>
      <c r="G21" s="825"/>
      <c r="H21" s="817"/>
      <c r="I21" s="817"/>
    </row>
    <row r="22" spans="1:9" s="826" customFormat="1" ht="19.5" customHeight="1">
      <c r="A22" s="3415"/>
      <c r="B22" s="3415"/>
      <c r="C22" s="822" t="s">
        <v>570</v>
      </c>
      <c r="D22" s="823"/>
      <c r="E22" s="821">
        <v>0.5</v>
      </c>
      <c r="F22" s="824"/>
      <c r="G22" s="825"/>
      <c r="H22" s="817"/>
      <c r="I22" s="817"/>
    </row>
    <row r="23" spans="1:9" s="826" customFormat="1" ht="19.5" customHeight="1">
      <c r="A23" s="3415" t="s">
        <v>184</v>
      </c>
      <c r="B23" s="821" t="s">
        <v>560</v>
      </c>
      <c r="C23" s="822" t="s">
        <v>571</v>
      </c>
      <c r="D23" s="823"/>
      <c r="E23" s="821">
        <v>1</v>
      </c>
      <c r="F23" s="824" t="s">
        <v>572</v>
      </c>
      <c r="G23" s="825"/>
      <c r="H23" s="817"/>
      <c r="I23" s="817"/>
    </row>
    <row r="24" spans="1:9" s="826" customFormat="1" ht="19.5" customHeight="1">
      <c r="A24" s="3415"/>
      <c r="B24" s="3415" t="s">
        <v>563</v>
      </c>
      <c r="C24" s="822" t="s">
        <v>573</v>
      </c>
      <c r="D24" s="823"/>
      <c r="E24" s="821">
        <v>0.5</v>
      </c>
      <c r="F24" s="824"/>
      <c r="G24" s="825"/>
      <c r="H24" s="817"/>
      <c r="I24" s="817"/>
    </row>
    <row r="25" spans="1:9" s="826" customFormat="1" ht="19.5" customHeight="1">
      <c r="A25" s="3415"/>
      <c r="B25" s="3415"/>
      <c r="C25" s="822" t="s">
        <v>574</v>
      </c>
      <c r="D25" s="823"/>
      <c r="E25" s="821">
        <v>1.1000000000000001</v>
      </c>
      <c r="F25" s="824"/>
      <c r="G25" s="825"/>
      <c r="H25" s="817"/>
      <c r="I25" s="817"/>
    </row>
    <row r="26" spans="1:9" s="826" customFormat="1" ht="19.5" customHeight="1">
      <c r="A26" s="3415"/>
      <c r="B26" s="3415"/>
      <c r="C26" s="822" t="s">
        <v>575</v>
      </c>
      <c r="D26" s="823"/>
      <c r="E26" s="821">
        <v>1.1000000000000001</v>
      </c>
      <c r="F26" s="824"/>
      <c r="G26" s="825"/>
      <c r="H26" s="817"/>
      <c r="I26" s="817"/>
    </row>
    <row r="27" spans="1:9" s="826" customFormat="1" ht="19.5" customHeight="1">
      <c r="A27" s="3415"/>
      <c r="B27" s="3415"/>
      <c r="C27" s="822" t="s">
        <v>576</v>
      </c>
      <c r="D27" s="823"/>
      <c r="E27" s="821">
        <v>0.9</v>
      </c>
      <c r="F27" s="824" t="s">
        <v>577</v>
      </c>
      <c r="G27" s="825"/>
      <c r="H27" s="817"/>
      <c r="I27" s="817"/>
    </row>
    <row r="28" spans="1:9" s="826" customFormat="1" ht="19.5" customHeight="1">
      <c r="A28" s="3415"/>
      <c r="B28" s="3415"/>
      <c r="C28" s="822" t="s">
        <v>578</v>
      </c>
      <c r="D28" s="823"/>
      <c r="E28" s="821">
        <v>0.9</v>
      </c>
      <c r="F28" s="824" t="s">
        <v>579</v>
      </c>
      <c r="G28" s="825"/>
      <c r="H28" s="817"/>
      <c r="I28" s="817"/>
    </row>
    <row r="29" spans="1:9" s="826" customFormat="1" ht="19.5" customHeight="1">
      <c r="A29" s="3415"/>
      <c r="B29" s="3415"/>
      <c r="C29" s="822" t="s">
        <v>580</v>
      </c>
      <c r="D29" s="823"/>
      <c r="E29" s="821">
        <v>0.9</v>
      </c>
      <c r="F29" s="824" t="s">
        <v>581</v>
      </c>
      <c r="G29" s="825"/>
      <c r="H29" s="817"/>
      <c r="I29" s="817"/>
    </row>
    <row r="30" spans="1:9" s="826" customFormat="1" ht="19.5" customHeight="1">
      <c r="A30" s="3415"/>
      <c r="B30" s="3415"/>
      <c r="C30" s="822" t="s">
        <v>582</v>
      </c>
      <c r="D30" s="823"/>
      <c r="E30" s="821">
        <v>0.9</v>
      </c>
      <c r="F30" s="824" t="s">
        <v>583</v>
      </c>
      <c r="G30" s="825"/>
      <c r="H30" s="817"/>
      <c r="I30" s="817"/>
    </row>
    <row r="31" spans="1:9" s="826" customFormat="1" ht="19.5" customHeight="1">
      <c r="A31" s="3415"/>
      <c r="B31" s="3415"/>
      <c r="C31" s="822" t="s">
        <v>584</v>
      </c>
      <c r="D31" s="823"/>
      <c r="E31" s="821">
        <v>0.8</v>
      </c>
      <c r="F31" s="824" t="s">
        <v>585</v>
      </c>
      <c r="G31" s="825"/>
      <c r="H31" s="817"/>
      <c r="I31" s="817"/>
    </row>
    <row r="32" spans="1:9" s="826" customFormat="1" ht="19.5" customHeight="1">
      <c r="A32" s="3415"/>
      <c r="B32" s="3415"/>
      <c r="C32" s="822" t="s">
        <v>586</v>
      </c>
      <c r="D32" s="823"/>
      <c r="E32" s="821">
        <v>0.8</v>
      </c>
      <c r="F32" s="824" t="s">
        <v>587</v>
      </c>
      <c r="G32" s="825"/>
      <c r="H32" s="817"/>
      <c r="I32" s="817"/>
    </row>
    <row r="33" spans="1:9" s="826" customFormat="1" ht="19.5" customHeight="1">
      <c r="A33" s="3415" t="s">
        <v>185</v>
      </c>
      <c r="B33" s="821" t="s">
        <v>560</v>
      </c>
      <c r="C33" s="822" t="s">
        <v>588</v>
      </c>
      <c r="D33" s="823"/>
      <c r="E33" s="821">
        <v>1</v>
      </c>
      <c r="F33" s="824" t="s">
        <v>589</v>
      </c>
      <c r="G33" s="825"/>
      <c r="H33" s="817"/>
      <c r="I33" s="817"/>
    </row>
    <row r="34" spans="1:9" s="826" customFormat="1" ht="19.5" customHeight="1">
      <c r="A34" s="3415"/>
      <c r="B34" s="821" t="s">
        <v>563</v>
      </c>
      <c r="C34" s="822" t="s">
        <v>590</v>
      </c>
      <c r="D34" s="823"/>
      <c r="E34" s="821">
        <v>1.5</v>
      </c>
      <c r="F34" s="824" t="s">
        <v>591</v>
      </c>
      <c r="G34" s="825"/>
      <c r="H34" s="817"/>
      <c r="I34" s="817"/>
    </row>
    <row r="35" spans="1:9" s="826" customFormat="1" ht="19.5" customHeight="1">
      <c r="A35" s="3415" t="s">
        <v>186</v>
      </c>
      <c r="B35" s="821" t="s">
        <v>560</v>
      </c>
      <c r="C35" s="822" t="s">
        <v>592</v>
      </c>
      <c r="D35" s="823"/>
      <c r="E35" s="821">
        <v>1</v>
      </c>
      <c r="F35" s="824" t="s">
        <v>593</v>
      </c>
      <c r="G35" s="825"/>
      <c r="H35" s="817"/>
      <c r="I35" s="817"/>
    </row>
    <row r="36" spans="1:9" s="826" customFormat="1" ht="19.5" customHeight="1">
      <c r="A36" s="3415"/>
      <c r="B36" s="3415" t="s">
        <v>563</v>
      </c>
      <c r="C36" s="822" t="s">
        <v>594</v>
      </c>
      <c r="D36" s="823"/>
      <c r="E36" s="821">
        <v>1</v>
      </c>
      <c r="F36" s="824" t="s">
        <v>595</v>
      </c>
      <c r="G36" s="825"/>
      <c r="H36" s="817"/>
      <c r="I36" s="817"/>
    </row>
    <row r="37" spans="1:9" s="826" customFormat="1" ht="19.5" customHeight="1">
      <c r="A37" s="3415"/>
      <c r="B37" s="3415"/>
      <c r="C37" s="822" t="s">
        <v>596</v>
      </c>
      <c r="D37" s="823"/>
      <c r="E37" s="821">
        <v>1.5</v>
      </c>
      <c r="F37" s="824" t="s">
        <v>597</v>
      </c>
      <c r="G37" s="825"/>
      <c r="H37" s="817"/>
      <c r="I37" s="817"/>
    </row>
    <row r="38" spans="1:9" s="826" customFormat="1" ht="19.5" customHeight="1">
      <c r="A38" s="3415"/>
      <c r="B38" s="3415"/>
      <c r="C38" s="822" t="s">
        <v>598</v>
      </c>
      <c r="D38" s="823"/>
      <c r="E38" s="821">
        <v>1</v>
      </c>
      <c r="F38" s="824" t="s">
        <v>599</v>
      </c>
      <c r="G38" s="825"/>
      <c r="H38" s="817"/>
      <c r="I38" s="817"/>
    </row>
    <row r="39" spans="1:9" s="826" customFormat="1" ht="19.5" customHeight="1">
      <c r="A39" s="3415"/>
      <c r="B39" s="341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5" t="s">
        <v>614</v>
      </c>
      <c r="C61" s="757" t="s">
        <v>615</v>
      </c>
      <c r="D61" s="757" t="s">
        <v>616</v>
      </c>
      <c r="E61" s="834">
        <v>0.5</v>
      </c>
      <c r="F61" s="821">
        <v>80</v>
      </c>
    </row>
    <row r="62" spans="1:8" s="817" customFormat="1" ht="24">
      <c r="A62" s="821">
        <v>2</v>
      </c>
      <c r="B62" s="3415"/>
      <c r="C62" s="757" t="s">
        <v>617</v>
      </c>
      <c r="D62" s="757" t="s">
        <v>618</v>
      </c>
      <c r="E62" s="834">
        <v>0.5</v>
      </c>
      <c r="F62" s="821">
        <v>80</v>
      </c>
    </row>
    <row r="63" spans="1:8" s="817" customFormat="1" ht="36">
      <c r="A63" s="821">
        <v>3</v>
      </c>
      <c r="B63" s="3415"/>
      <c r="C63" s="757" t="s">
        <v>619</v>
      </c>
      <c r="D63" s="757" t="s">
        <v>620</v>
      </c>
      <c r="E63" s="834">
        <v>0.5</v>
      </c>
      <c r="F63" s="821">
        <v>80</v>
      </c>
    </row>
    <row r="64" spans="1:8" s="817" customFormat="1" ht="36">
      <c r="A64" s="821">
        <v>4</v>
      </c>
      <c r="B64" s="3415"/>
      <c r="C64" s="757" t="s">
        <v>621</v>
      </c>
      <c r="D64" s="757" t="s">
        <v>622</v>
      </c>
      <c r="E64" s="834">
        <v>0.4</v>
      </c>
      <c r="F64" s="821">
        <v>60</v>
      </c>
    </row>
    <row r="65" spans="1:6" s="817" customFormat="1" ht="36">
      <c r="A65" s="821">
        <v>5</v>
      </c>
      <c r="B65" s="3415"/>
      <c r="C65" s="757" t="s">
        <v>623</v>
      </c>
      <c r="D65" s="757" t="s">
        <v>624</v>
      </c>
      <c r="E65" s="834">
        <v>0.2</v>
      </c>
      <c r="F65" s="821">
        <v>30</v>
      </c>
    </row>
    <row r="66" spans="1:6" s="817" customFormat="1" ht="36">
      <c r="A66" s="821">
        <v>6</v>
      </c>
      <c r="B66" s="3415"/>
      <c r="C66" s="757" t="s">
        <v>625</v>
      </c>
      <c r="D66" s="757" t="s">
        <v>626</v>
      </c>
      <c r="E66" s="834">
        <v>0.3</v>
      </c>
      <c r="F66" s="821">
        <v>50</v>
      </c>
    </row>
    <row r="67" spans="1:6" s="817" customFormat="1" ht="36">
      <c r="A67" s="821">
        <v>7</v>
      </c>
      <c r="B67" s="3415"/>
      <c r="C67" s="757" t="s">
        <v>627</v>
      </c>
      <c r="D67" s="757" t="s">
        <v>628</v>
      </c>
      <c r="E67" s="834">
        <v>0.2</v>
      </c>
      <c r="F67" s="821">
        <v>30</v>
      </c>
    </row>
    <row r="68" spans="1:6" s="817" customFormat="1" ht="36">
      <c r="A68" s="821">
        <v>8</v>
      </c>
      <c r="B68" s="3415"/>
      <c r="C68" s="757" t="s">
        <v>629</v>
      </c>
      <c r="D68" s="757" t="s">
        <v>630</v>
      </c>
      <c r="E68" s="834">
        <v>0.2</v>
      </c>
      <c r="F68" s="821">
        <v>30</v>
      </c>
    </row>
    <row r="69" spans="1:6" s="817" customFormat="1" ht="36">
      <c r="A69" s="821">
        <v>9</v>
      </c>
      <c r="B69" s="3415"/>
      <c r="C69" s="757" t="s">
        <v>631</v>
      </c>
      <c r="D69" s="757" t="s">
        <v>632</v>
      </c>
      <c r="E69" s="834">
        <v>0.2</v>
      </c>
      <c r="F69" s="821">
        <v>30</v>
      </c>
    </row>
    <row r="70" spans="1:6" s="817" customFormat="1" ht="48">
      <c r="A70" s="821">
        <v>10</v>
      </c>
      <c r="B70" s="3415"/>
      <c r="C70" s="757" t="s">
        <v>633</v>
      </c>
      <c r="D70" s="757" t="s">
        <v>634</v>
      </c>
      <c r="E70" s="834">
        <v>0.2</v>
      </c>
      <c r="F70" s="821">
        <v>30</v>
      </c>
    </row>
    <row r="71" spans="1:6" s="817" customFormat="1" ht="48">
      <c r="A71" s="821">
        <v>11</v>
      </c>
      <c r="B71" s="3415"/>
      <c r="C71" s="757" t="s">
        <v>635</v>
      </c>
      <c r="D71" s="757" t="s">
        <v>636</v>
      </c>
      <c r="E71" s="834">
        <v>0.2</v>
      </c>
      <c r="F71" s="821">
        <v>30</v>
      </c>
    </row>
    <row r="72" spans="1:6" s="817" customFormat="1" ht="36">
      <c r="A72" s="821">
        <v>12</v>
      </c>
      <c r="B72" s="3415"/>
      <c r="C72" s="757" t="s">
        <v>637</v>
      </c>
      <c r="D72" s="757" t="s">
        <v>638</v>
      </c>
      <c r="E72" s="834">
        <v>0.5</v>
      </c>
      <c r="F72" s="821">
        <v>80</v>
      </c>
    </row>
    <row r="73" spans="1:6" s="817" customFormat="1" ht="24">
      <c r="A73" s="821">
        <v>13</v>
      </c>
      <c r="B73" s="3415"/>
      <c r="C73" s="757" t="s">
        <v>639</v>
      </c>
      <c r="D73" s="757" t="s">
        <v>640</v>
      </c>
      <c r="E73" s="834">
        <v>0.4</v>
      </c>
      <c r="F73" s="821">
        <v>60</v>
      </c>
    </row>
    <row r="74" spans="1:6" s="817" customFormat="1" ht="24">
      <c r="A74" s="821">
        <v>14</v>
      </c>
      <c r="B74" s="3415"/>
      <c r="C74" s="757" t="s">
        <v>641</v>
      </c>
      <c r="D74" s="757" t="s">
        <v>642</v>
      </c>
      <c r="E74" s="834">
        <v>0.2</v>
      </c>
      <c r="F74" s="821">
        <v>30</v>
      </c>
    </row>
    <row r="75" spans="1:6" s="817" customFormat="1" ht="24">
      <c r="A75" s="821">
        <v>15</v>
      </c>
      <c r="B75" s="3415"/>
      <c r="C75" s="757" t="s">
        <v>643</v>
      </c>
      <c r="D75" s="757" t="s">
        <v>644</v>
      </c>
      <c r="E75" s="834">
        <v>0.2</v>
      </c>
      <c r="F75" s="821">
        <v>30</v>
      </c>
    </row>
    <row r="76" spans="1:6" s="817" customFormat="1" ht="24">
      <c r="A76" s="821">
        <v>16</v>
      </c>
      <c r="B76" s="3415" t="s">
        <v>645</v>
      </c>
      <c r="C76" s="757" t="s">
        <v>646</v>
      </c>
      <c r="D76" s="757" t="s">
        <v>647</v>
      </c>
      <c r="E76" s="834">
        <v>0.5</v>
      </c>
      <c r="F76" s="821">
        <v>80</v>
      </c>
    </row>
    <row r="77" spans="1:6" s="817" customFormat="1" ht="24">
      <c r="A77" s="821">
        <v>17</v>
      </c>
      <c r="B77" s="3415"/>
      <c r="C77" s="757" t="s">
        <v>648</v>
      </c>
      <c r="D77" s="757" t="s">
        <v>649</v>
      </c>
      <c r="E77" s="834">
        <v>0.5</v>
      </c>
      <c r="F77" s="821">
        <v>80</v>
      </c>
    </row>
    <row r="78" spans="1:6" s="817" customFormat="1" ht="24">
      <c r="A78" s="821">
        <v>18</v>
      </c>
      <c r="B78" s="3415"/>
      <c r="C78" s="757" t="s">
        <v>650</v>
      </c>
      <c r="D78" s="757" t="s">
        <v>651</v>
      </c>
      <c r="E78" s="834">
        <v>0.2</v>
      </c>
      <c r="F78" s="821">
        <v>30</v>
      </c>
    </row>
    <row r="79" spans="1:6" s="817" customFormat="1" ht="24">
      <c r="A79" s="821">
        <v>19</v>
      </c>
      <c r="B79" s="3415"/>
      <c r="C79" s="757" t="s">
        <v>652</v>
      </c>
      <c r="D79" s="757" t="s">
        <v>653</v>
      </c>
      <c r="E79" s="834">
        <v>0.5</v>
      </c>
      <c r="F79" s="821">
        <v>80</v>
      </c>
    </row>
    <row r="80" spans="1:6" s="817" customFormat="1" ht="36">
      <c r="A80" s="821">
        <v>20</v>
      </c>
      <c r="B80" s="3415"/>
      <c r="C80" s="757" t="s">
        <v>654</v>
      </c>
      <c r="D80" s="757" t="s">
        <v>655</v>
      </c>
      <c r="E80" s="834">
        <v>0.2</v>
      </c>
      <c r="F80" s="821">
        <v>30</v>
      </c>
    </row>
    <row r="81" spans="1:6" s="817" customFormat="1" ht="36">
      <c r="A81" s="821">
        <v>21</v>
      </c>
      <c r="B81" s="3415"/>
      <c r="C81" s="757" t="s">
        <v>656</v>
      </c>
      <c r="D81" s="757" t="s">
        <v>657</v>
      </c>
      <c r="E81" s="834">
        <v>0.2</v>
      </c>
      <c r="F81" s="821">
        <v>30</v>
      </c>
    </row>
    <row r="82" spans="1:6" s="817" customFormat="1" ht="48">
      <c r="A82" s="821">
        <v>22</v>
      </c>
      <c r="B82" s="3415"/>
      <c r="C82" s="757" t="s">
        <v>658</v>
      </c>
      <c r="D82" s="757" t="s">
        <v>659</v>
      </c>
      <c r="E82" s="834">
        <v>0.2</v>
      </c>
      <c r="F82" s="821">
        <v>30</v>
      </c>
    </row>
    <row r="83" spans="1:6" s="817" customFormat="1" ht="48">
      <c r="A83" s="821">
        <v>23</v>
      </c>
      <c r="B83" s="3415"/>
      <c r="C83" s="757" t="s">
        <v>660</v>
      </c>
      <c r="D83" s="757" t="s">
        <v>661</v>
      </c>
      <c r="E83" s="834">
        <v>0.2</v>
      </c>
      <c r="F83" s="821">
        <v>30</v>
      </c>
    </row>
    <row r="84" spans="1:6" s="817" customFormat="1" ht="36">
      <c r="A84" s="821">
        <v>24</v>
      </c>
      <c r="B84" s="3415"/>
      <c r="C84" s="757" t="s">
        <v>662</v>
      </c>
      <c r="D84" s="757" t="s">
        <v>663</v>
      </c>
      <c r="E84" s="834">
        <v>0.2</v>
      </c>
      <c r="F84" s="821">
        <v>30</v>
      </c>
    </row>
    <row r="85" spans="1:6" s="817" customFormat="1" ht="36">
      <c r="A85" s="821">
        <v>25</v>
      </c>
      <c r="B85" s="3415"/>
      <c r="C85" s="757" t="s">
        <v>664</v>
      </c>
      <c r="D85" s="757" t="s">
        <v>665</v>
      </c>
      <c r="E85" s="834">
        <v>0.5</v>
      </c>
      <c r="F85" s="821">
        <v>80</v>
      </c>
    </row>
    <row r="86" spans="1:6" s="817" customFormat="1" ht="36">
      <c r="A86" s="821">
        <v>26</v>
      </c>
      <c r="B86" s="3415"/>
      <c r="C86" s="757" t="s">
        <v>666</v>
      </c>
      <c r="D86" s="757" t="s">
        <v>667</v>
      </c>
      <c r="E86" s="834">
        <v>0.2</v>
      </c>
      <c r="F86" s="821">
        <v>30</v>
      </c>
    </row>
    <row r="87" spans="1:6" s="817" customFormat="1" ht="36">
      <c r="A87" s="821">
        <v>27</v>
      </c>
      <c r="B87" s="3415"/>
      <c r="C87" s="757" t="s">
        <v>668</v>
      </c>
      <c r="D87" s="757" t="s">
        <v>669</v>
      </c>
      <c r="E87" s="834">
        <v>0.2</v>
      </c>
      <c r="F87" s="821">
        <v>30</v>
      </c>
    </row>
    <row r="88" spans="1:6" s="817" customFormat="1" ht="36">
      <c r="A88" s="821">
        <v>28</v>
      </c>
      <c r="B88" s="3415"/>
      <c r="C88" s="757" t="s">
        <v>670</v>
      </c>
      <c r="D88" s="757" t="s">
        <v>671</v>
      </c>
      <c r="E88" s="834">
        <v>0.2</v>
      </c>
      <c r="F88" s="821">
        <v>30</v>
      </c>
    </row>
    <row r="89" spans="1:6" s="817" customFormat="1" ht="24">
      <c r="A89" s="821">
        <v>29</v>
      </c>
      <c r="B89" s="3415"/>
      <c r="C89" s="757" t="s">
        <v>672</v>
      </c>
      <c r="D89" s="757" t="s">
        <v>673</v>
      </c>
      <c r="E89" s="834">
        <v>0.2</v>
      </c>
      <c r="F89" s="821">
        <v>30</v>
      </c>
    </row>
    <row r="90" spans="1:6" s="817" customFormat="1" ht="24">
      <c r="A90" s="821">
        <v>30</v>
      </c>
      <c r="B90" s="3415"/>
      <c r="C90" s="757" t="s">
        <v>674</v>
      </c>
      <c r="D90" s="757" t="s">
        <v>675</v>
      </c>
      <c r="E90" s="834">
        <v>0.2</v>
      </c>
      <c r="F90" s="821">
        <v>30</v>
      </c>
    </row>
    <row r="91" spans="1:6" s="817" customFormat="1" ht="36">
      <c r="A91" s="821">
        <v>31</v>
      </c>
      <c r="B91" s="3415"/>
      <c r="C91" s="757" t="s">
        <v>676</v>
      </c>
      <c r="D91" s="757" t="s">
        <v>677</v>
      </c>
      <c r="E91" s="834">
        <v>0.2</v>
      </c>
      <c r="F91" s="821">
        <v>30</v>
      </c>
    </row>
    <row r="92" spans="1:6" s="817" customFormat="1" ht="24">
      <c r="A92" s="821">
        <v>32</v>
      </c>
      <c r="B92" s="3415" t="s">
        <v>678</v>
      </c>
      <c r="C92" s="821" t="s">
        <v>679</v>
      </c>
      <c r="D92" s="757" t="s">
        <v>680</v>
      </c>
      <c r="E92" s="834">
        <v>0.2</v>
      </c>
      <c r="F92" s="821">
        <v>30</v>
      </c>
    </row>
    <row r="93" spans="1:6" s="817" customFormat="1" ht="36">
      <c r="A93" s="821">
        <v>33</v>
      </c>
      <c r="B93" s="3415"/>
      <c r="C93" s="821" t="s">
        <v>681</v>
      </c>
      <c r="D93" s="757" t="s">
        <v>682</v>
      </c>
      <c r="E93" s="834">
        <v>0.2</v>
      </c>
      <c r="F93" s="821">
        <v>30</v>
      </c>
    </row>
    <row r="94" spans="1:6" s="817" customFormat="1" ht="48">
      <c r="A94" s="821">
        <v>34</v>
      </c>
      <c r="B94" s="3415"/>
      <c r="C94" s="821" t="s">
        <v>683</v>
      </c>
      <c r="D94" s="757" t="s">
        <v>684</v>
      </c>
      <c r="E94" s="834">
        <v>0.2</v>
      </c>
      <c r="F94" s="821">
        <v>30</v>
      </c>
    </row>
    <row r="95" spans="1:6" s="817" customFormat="1" ht="36">
      <c r="A95" s="821">
        <v>35</v>
      </c>
      <c r="B95" s="3415"/>
      <c r="C95" s="821" t="s">
        <v>685</v>
      </c>
      <c r="D95" s="757" t="s">
        <v>686</v>
      </c>
      <c r="E95" s="834">
        <v>0.2</v>
      </c>
      <c r="F95" s="821">
        <v>30</v>
      </c>
    </row>
    <row r="96" spans="1:6" s="817" customFormat="1" ht="48">
      <c r="A96" s="821">
        <v>36</v>
      </c>
      <c r="B96" s="3415"/>
      <c r="C96" s="757" t="s">
        <v>687</v>
      </c>
      <c r="D96" s="757" t="s">
        <v>688</v>
      </c>
      <c r="E96" s="834">
        <v>0.2</v>
      </c>
      <c r="F96" s="821">
        <v>30</v>
      </c>
    </row>
    <row r="97" spans="1:6" s="817" customFormat="1" ht="36">
      <c r="A97" s="821">
        <v>37</v>
      </c>
      <c r="B97" s="3415"/>
      <c r="C97" s="821" t="s">
        <v>689</v>
      </c>
      <c r="D97" s="757" t="s">
        <v>690</v>
      </c>
      <c r="E97" s="834">
        <v>0.2</v>
      </c>
      <c r="F97" s="821">
        <v>30</v>
      </c>
    </row>
    <row r="98" spans="1:6" s="817" customFormat="1" ht="36">
      <c r="A98" s="821">
        <v>38</v>
      </c>
      <c r="B98" s="3415"/>
      <c r="C98" s="821" t="s">
        <v>691</v>
      </c>
      <c r="D98" s="757" t="s">
        <v>692</v>
      </c>
      <c r="E98" s="834">
        <v>0.2</v>
      </c>
      <c r="F98" s="821">
        <v>30</v>
      </c>
    </row>
    <row r="99" spans="1:6" s="817" customFormat="1" ht="36">
      <c r="A99" s="821">
        <v>39</v>
      </c>
      <c r="B99" s="3415" t="s">
        <v>693</v>
      </c>
      <c r="C99" s="821" t="s">
        <v>694</v>
      </c>
      <c r="D99" s="757" t="s">
        <v>695</v>
      </c>
      <c r="E99" s="834">
        <v>0.3</v>
      </c>
      <c r="F99" s="821">
        <v>50</v>
      </c>
    </row>
    <row r="100" spans="1:6" s="817" customFormat="1" ht="24">
      <c r="A100" s="821">
        <v>40</v>
      </c>
      <c r="B100" s="3415"/>
      <c r="C100" s="821" t="s">
        <v>696</v>
      </c>
      <c r="D100" s="757" t="s">
        <v>697</v>
      </c>
      <c r="E100" s="834">
        <v>0.2</v>
      </c>
      <c r="F100" s="821">
        <v>30</v>
      </c>
    </row>
    <row r="101" spans="1:6" s="817" customFormat="1" ht="36">
      <c r="A101" s="821">
        <v>41</v>
      </c>
      <c r="B101" s="341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5" t="s">
        <v>708</v>
      </c>
      <c r="C105" s="821" t="s">
        <v>709</v>
      </c>
      <c r="D105" s="757" t="s">
        <v>710</v>
      </c>
      <c r="E105" s="834">
        <v>0.2</v>
      </c>
      <c r="F105" s="821">
        <v>30</v>
      </c>
    </row>
    <row r="106" spans="1:6" s="817" customFormat="1" ht="36">
      <c r="A106" s="821">
        <v>46</v>
      </c>
      <c r="B106" s="3415"/>
      <c r="C106" s="821" t="s">
        <v>711</v>
      </c>
      <c r="D106" s="757" t="s">
        <v>712</v>
      </c>
      <c r="E106" s="834">
        <v>0.2</v>
      </c>
      <c r="F106" s="821">
        <v>30</v>
      </c>
    </row>
    <row r="107" spans="1:6" s="817" customFormat="1" ht="36">
      <c r="A107" s="821">
        <v>47</v>
      </c>
      <c r="B107" s="3415" t="s">
        <v>713</v>
      </c>
      <c r="C107" s="821" t="s">
        <v>714</v>
      </c>
      <c r="D107" s="757" t="s">
        <v>715</v>
      </c>
      <c r="E107" s="834">
        <v>0.3</v>
      </c>
      <c r="F107" s="821">
        <v>50</v>
      </c>
    </row>
    <row r="108" spans="1:6" s="817" customFormat="1" ht="36">
      <c r="A108" s="821">
        <v>48</v>
      </c>
      <c r="B108" s="341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5" t="s">
        <v>724</v>
      </c>
      <c r="C111" s="821" t="s">
        <v>725</v>
      </c>
      <c r="D111" s="757" t="s">
        <v>726</v>
      </c>
      <c r="E111" s="834">
        <v>0.2</v>
      </c>
      <c r="F111" s="821">
        <v>30</v>
      </c>
    </row>
    <row r="112" spans="1:6" s="817" customFormat="1" ht="24">
      <c r="A112" s="821">
        <v>52</v>
      </c>
      <c r="B112" s="3415"/>
      <c r="C112" s="821" t="s">
        <v>727</v>
      </c>
      <c r="D112" s="757" t="s">
        <v>728</v>
      </c>
      <c r="E112" s="834">
        <v>0.2</v>
      </c>
      <c r="F112" s="821">
        <v>30</v>
      </c>
    </row>
    <row r="113" spans="1:6" s="817" customFormat="1" ht="24">
      <c r="A113" s="821">
        <v>53</v>
      </c>
      <c r="B113" s="341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5" t="s">
        <v>737</v>
      </c>
      <c r="C116" s="821" t="s">
        <v>738</v>
      </c>
      <c r="D116" s="757" t="s">
        <v>739</v>
      </c>
      <c r="E116" s="834">
        <v>0.2</v>
      </c>
      <c r="F116" s="821">
        <v>30</v>
      </c>
    </row>
    <row r="117" spans="1:6" ht="36">
      <c r="A117" s="821">
        <v>57</v>
      </c>
      <c r="B117" s="341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6"/>
      <c r="G1" s="3026"/>
      <c r="H1" s="3026"/>
      <c r="I1" s="3026"/>
      <c r="J1" s="3026"/>
      <c r="K1" s="3026"/>
      <c r="L1" s="3026"/>
      <c r="M1" s="3026"/>
      <c r="N1" s="3026"/>
      <c r="O1" s="3026"/>
      <c r="P1" s="3026"/>
    </row>
    <row r="2" spans="1:16" ht="15.75">
      <c r="A2" s="2363" t="s">
        <v>2813</v>
      </c>
      <c r="B2" s="2830" t="e">
        <f ca="1">SUMIF(B6:B13,"&lt;&gt;#ref!",B6:B13)</f>
        <v>#DIV/0!</v>
      </c>
      <c r="C2" s="2363" t="s">
        <v>2814</v>
      </c>
      <c r="D2" s="2363" t="s">
        <v>2815</v>
      </c>
      <c r="E2" s="2840">
        <f ca="1">SUMIF(E6:E13,"&lt;&gt;#ref!",E6:E13)</f>
        <v>0</v>
      </c>
      <c r="F2" s="3026"/>
      <c r="G2" s="3026"/>
      <c r="H2" s="3026"/>
      <c r="I2" s="3026"/>
      <c r="J2" s="3026"/>
      <c r="K2" s="3026"/>
      <c r="L2" s="3026"/>
      <c r="M2" s="3026"/>
      <c r="N2" s="3026"/>
      <c r="O2" s="3026"/>
      <c r="P2" s="3026"/>
    </row>
    <row r="3" spans="1:16" ht="15.75">
      <c r="A3" s="2363" t="s">
        <v>2816</v>
      </c>
      <c r="B3" s="2830" t="e">
        <f ca="1">ROUND(B2*10000/E2,0)</f>
        <v>#DIV/0!</v>
      </c>
      <c r="C3" s="2363" t="s">
        <v>2822</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2817</v>
      </c>
      <c r="B5" s="2838" t="s">
        <v>2818</v>
      </c>
      <c r="C5" s="2364"/>
      <c r="D5" s="3026"/>
      <c r="E5" s="2839" t="s">
        <v>2819</v>
      </c>
      <c r="F5" s="3026"/>
      <c r="G5" s="3026"/>
      <c r="H5" s="3026"/>
      <c r="I5" s="3026"/>
      <c r="J5" s="3026"/>
      <c r="K5" s="3026"/>
      <c r="L5" s="3026"/>
      <c r="M5" s="3026"/>
      <c r="N5" s="3026"/>
      <c r="O5" s="3026"/>
      <c r="P5" s="3026"/>
    </row>
    <row r="6" spans="1:16" ht="15.75">
      <c r="A6" s="2837" t="s">
        <v>2820</v>
      </c>
      <c r="B6" s="2830" t="e">
        <f ca="1">SUMIF(INDIRECT("'"&amp;A6&amp;"'"&amp;"!A:A"),"总价",INDIRECT("'"&amp;A6&amp;"'"&amp;"!B:B"))</f>
        <v>#DIV/0!</v>
      </c>
      <c r="C6" s="2363" t="s">
        <v>2814</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2814</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2814</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2814</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2814</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2814</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2814</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2814</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21" t="s">
        <v>1117</v>
      </c>
      <c r="C1" s="3421"/>
      <c r="D1" s="3421"/>
      <c r="E1" s="3421"/>
      <c r="F1" s="3421"/>
      <c r="G1" s="3420" t="s">
        <v>1118</v>
      </c>
      <c r="H1" s="3420"/>
      <c r="I1" s="3420"/>
      <c r="J1" s="3420"/>
      <c r="K1" s="3420"/>
      <c r="L1" s="3420"/>
      <c r="N1" s="3420" t="s">
        <v>1119</v>
      </c>
      <c r="O1" s="3420"/>
      <c r="P1" s="3420"/>
      <c r="Q1" s="3420"/>
      <c r="S1" s="3420" t="s">
        <v>1120</v>
      </c>
      <c r="T1" s="3420"/>
      <c r="U1" s="3420"/>
      <c r="V1" s="3420"/>
      <c r="X1" s="3419" t="s">
        <v>1121</v>
      </c>
      <c r="Y1" s="3420"/>
      <c r="Z1" s="3420"/>
      <c r="AA1" s="3420"/>
      <c r="AB1" s="3420"/>
      <c r="AD1" s="3419" t="s">
        <v>1122</v>
      </c>
      <c r="AE1" s="3420"/>
      <c r="AF1" s="3420"/>
      <c r="AG1" s="3420"/>
      <c r="AH1" s="3420"/>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3059</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3058</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2871</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2869</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2868</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2867</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2865</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2863</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2866</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417">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2861</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417"/>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2860</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417"/>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2853</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426"/>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2851</v>
      </c>
      <c r="B17" s="2440">
        <v>439</v>
      </c>
      <c r="C17" s="2440">
        <v>327</v>
      </c>
      <c r="D17" s="2440">
        <f>C17</f>
        <v>327</v>
      </c>
      <c r="E17" s="2440">
        <v>627</v>
      </c>
      <c r="F17" s="2441">
        <v>283</v>
      </c>
      <c r="G17" s="3422">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2852</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417"/>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417"/>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426"/>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422">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417"/>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417"/>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418"/>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416">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417"/>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417"/>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418"/>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416">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417"/>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417"/>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418"/>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423">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424"/>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424"/>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425"/>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416">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417"/>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417"/>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418"/>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416">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417">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417">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418">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416">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417">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417">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418">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416">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417">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417">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418">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416">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417">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417">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418">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416">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417">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417">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418">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416">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417">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417">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418">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416">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417">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417">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418">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416">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417">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417">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418">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416">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417">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417">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418">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416">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417">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417">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418">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30" t="s">
        <v>2824</v>
      </c>
      <c r="D1" s="3431"/>
      <c r="E1" s="3431"/>
      <c r="F1" s="3431"/>
      <c r="G1" s="3431"/>
      <c r="H1" s="3431"/>
      <c r="I1" s="3431"/>
      <c r="J1" s="3431"/>
      <c r="K1" s="3431"/>
      <c r="L1" s="3431"/>
      <c r="M1" s="3431"/>
      <c r="N1" s="3431"/>
      <c r="O1" s="3431"/>
      <c r="P1" s="3431"/>
      <c r="Q1" s="3431"/>
      <c r="R1" s="3431"/>
      <c r="S1" s="3432"/>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7" t="s">
        <v>33</v>
      </c>
      <c r="D22" s="3428"/>
      <c r="E22" s="3428"/>
      <c r="F22" s="3428"/>
      <c r="G22" s="3428"/>
      <c r="H22" s="3428"/>
      <c r="I22" s="3428"/>
      <c r="J22" s="3428"/>
      <c r="K22" s="3428"/>
      <c r="L22" s="3428"/>
      <c r="M22" s="3428"/>
      <c r="N22" s="3428"/>
      <c r="O22" s="3428"/>
      <c r="P22" s="3428"/>
      <c r="Q22" s="3429"/>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64246</v>
      </c>
      <c r="C2" s="2" t="s">
        <v>133</v>
      </c>
      <c r="D2" s="205"/>
      <c r="E2" s="205"/>
      <c r="F2" s="205"/>
      <c r="G2" s="205"/>
    </row>
    <row r="3" spans="1:7" s="206" customFormat="1" ht="18" customHeight="1" thickBot="1">
      <c r="A3" s="209" t="s">
        <v>85</v>
      </c>
      <c r="B3" s="210">
        <f ca="1">ROUND(B2*10000/'数据-汇总表'!E3,0)</f>
        <v>11000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58402.819999999992</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1168</v>
      </c>
      <c r="D19" s="958">
        <f>'数据-汇总表'!E3</f>
        <v>58402.819999999992</v>
      </c>
      <c r="E19" s="217">
        <f>'数据-取费表'!B31</f>
        <v>200</v>
      </c>
      <c r="F19" s="237"/>
      <c r="G19" s="1" t="s">
        <v>1042</v>
      </c>
    </row>
    <row r="20" spans="1:7" s="220" customFormat="1" ht="13.5" customHeight="1">
      <c r="A20" s="885" t="s">
        <v>1025</v>
      </c>
      <c r="B20" s="216" t="s">
        <v>104</v>
      </c>
      <c r="C20" s="238">
        <f>ROUND((C5+C19)*F20,0)</f>
        <v>549</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3323</v>
      </c>
      <c r="D22" s="241">
        <f ca="1">C26</f>
        <v>1.8E-3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3109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174</v>
      </c>
      <c r="D24" s="244"/>
      <c r="E24" s="244"/>
      <c r="F24" s="245"/>
      <c r="G24" s="246" t="s">
        <v>109</v>
      </c>
    </row>
    <row r="25" spans="1:7" s="220" customFormat="1" ht="24">
      <c r="A25" s="888" t="s">
        <v>793</v>
      </c>
      <c r="B25" s="221" t="s">
        <v>1026</v>
      </c>
      <c r="C25" s="1265">
        <f ca="1">ROUND(IF('数据-取费表'!B22&lt;=1,C20*F22*'数据-取费表'!B23/2,C20*(POWER((1+F22),'数据-取费表'!B23/2)-1)),0)</f>
        <v>40</v>
      </c>
      <c r="D25" s="244"/>
      <c r="E25" s="247"/>
      <c r="F25" s="245"/>
      <c r="G25" s="248" t="s">
        <v>110</v>
      </c>
    </row>
    <row r="26" spans="1:7" s="220" customFormat="1">
      <c r="A26" s="888" t="s">
        <v>795</v>
      </c>
      <c r="B26" s="221" t="s">
        <v>1028</v>
      </c>
      <c r="C26" s="244">
        <f ca="1">ROUND(IF('数据-取费表'!B22&lt;=1,F21*F22*'数据-取费表'!B23/2,F21*(POWER((1+F22),'数据-取费表'!B23/2)-1)),4)</f>
        <v>1.8E-3</v>
      </c>
      <c r="D26" s="244"/>
      <c r="E26" s="247"/>
      <c r="F26" s="245"/>
      <c r="G26" s="249"/>
    </row>
    <row r="27" spans="1:7" s="220" customFormat="1" ht="24.75">
      <c r="A27" s="885" t="s">
        <v>787</v>
      </c>
      <c r="B27" s="250" t="s">
        <v>112</v>
      </c>
      <c r="C27" s="251">
        <f>C28</f>
        <v>3830</v>
      </c>
      <c r="D27" s="241">
        <f>C29</f>
        <v>4.3E-3</v>
      </c>
      <c r="E27" s="242" t="s">
        <v>126</v>
      </c>
      <c r="F27" s="252">
        <f>'数据-取费表'!Q16</f>
        <v>0.17</v>
      </c>
      <c r="G27" s="253" t="s">
        <v>1037</v>
      </c>
    </row>
    <row r="28" spans="1:7" s="220" customFormat="1" ht="13.5" customHeight="1">
      <c r="A28" s="888" t="s">
        <v>794</v>
      </c>
      <c r="B28" s="254" t="s">
        <v>1030</v>
      </c>
      <c r="C28" s="255">
        <f>ROUND((C5+C19+C20)*F27*'数据-取费表'!B21/'数据-取费表'!B20,0)</f>
        <v>3830</v>
      </c>
      <c r="D28" s="241"/>
      <c r="E28" s="242"/>
      <c r="F28" s="252"/>
      <c r="G28" s="253"/>
    </row>
    <row r="29" spans="1:7" s="220" customFormat="1" ht="13.5" customHeight="1">
      <c r="A29" s="888" t="s">
        <v>792</v>
      </c>
      <c r="B29" s="254" t="s">
        <v>1031</v>
      </c>
      <c r="C29" s="244">
        <f>ROUND(C21*F27*'数据-取费表'!B21/'数据-取费表'!B20,4)</f>
        <v>4.3E-3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32383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22938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20441</v>
      </c>
      <c r="D34" s="223"/>
      <c r="E34" s="226"/>
      <c r="F34" s="263">
        <f>IF('数据-取费表'!B24=0,1,'数据-取费表'!N16)</f>
        <v>1</v>
      </c>
      <c r="G34" s="225" t="s">
        <v>116</v>
      </c>
    </row>
    <row r="35" spans="1:7" ht="13.5" customHeight="1">
      <c r="A35" s="888" t="s">
        <v>796</v>
      </c>
      <c r="B35" s="221" t="s">
        <v>60</v>
      </c>
      <c r="C35" s="226">
        <f>ROUND(C34*F35,0)</f>
        <v>1022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1168</v>
      </c>
      <c r="D37" s="223">
        <f>'数据-汇总表'!E3</f>
        <v>58402.819999999992</v>
      </c>
      <c r="E37" s="255">
        <f>'数据-取费表'!B35</f>
        <v>200</v>
      </c>
      <c r="F37" s="265"/>
      <c r="G37" s="267" t="s">
        <v>119</v>
      </c>
    </row>
    <row r="38" spans="1:7" ht="13.5" customHeight="1">
      <c r="A38" s="888" t="s">
        <v>799</v>
      </c>
      <c r="B38" s="221" t="s">
        <v>63</v>
      </c>
      <c r="C38" s="226">
        <f>ROUND(C34*F38,0)</f>
        <v>307</v>
      </c>
      <c r="D38" s="226"/>
      <c r="E38" s="226"/>
      <c r="F38" s="265">
        <f>'数据-取费表'!B36</f>
        <v>1.4999999999999999E-2</v>
      </c>
      <c r="G38" s="225" t="s">
        <v>117</v>
      </c>
    </row>
    <row r="39" spans="1:7" s="220" customFormat="1" ht="13.5" customHeight="1">
      <c r="A39" s="885" t="s">
        <v>783</v>
      </c>
      <c r="B39" s="216" t="s">
        <v>104</v>
      </c>
      <c r="C39" s="238">
        <f>ROUND(C33*F20,0)</f>
        <v>573</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1695</v>
      </c>
      <c r="D41" s="241">
        <f ca="1">C44</f>
        <v>1.8E-3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1654</v>
      </c>
      <c r="D42" s="244"/>
      <c r="E42" s="244"/>
      <c r="F42" s="245"/>
      <c r="G42" s="3285" t="s">
        <v>121</v>
      </c>
    </row>
    <row r="43" spans="1:7" ht="13.5" customHeight="1">
      <c r="A43" s="888" t="s">
        <v>792</v>
      </c>
      <c r="B43" s="221" t="s">
        <v>1032</v>
      </c>
      <c r="C43" s="244">
        <f ca="1">ROUND(IF('数据-取费表'!B22&lt;=1,C39*F22*'数据-取费表'!B21/2,C39*(POWER((1+F22),'数据-取费表'!B21/2)-1)),0)</f>
        <v>41</v>
      </c>
      <c r="D43" s="244"/>
      <c r="E43" s="244"/>
      <c r="F43" s="245"/>
      <c r="G43" s="3286"/>
    </row>
    <row r="44" spans="1:7" ht="13.5" customHeight="1">
      <c r="A44" s="888" t="s">
        <v>793</v>
      </c>
      <c r="B44" s="221" t="s">
        <v>1034</v>
      </c>
      <c r="C44" s="244">
        <f ca="1">ROUND(IF('数据-取费表'!B22&lt;=1,C40*F22*'数据-取费表'!B21/2,C40*(POWER((1+F22),'数据-取费表'!B21/2)-1)),4)</f>
        <v>1.8E-3</v>
      </c>
      <c r="D44" s="244"/>
      <c r="E44" s="244"/>
      <c r="F44" s="245"/>
      <c r="G44" s="3287"/>
    </row>
    <row r="45" spans="1:7" s="220" customFormat="1" ht="13.5" customHeight="1">
      <c r="A45" s="885" t="s">
        <v>786</v>
      </c>
      <c r="B45" s="250" t="s">
        <v>112</v>
      </c>
      <c r="C45" s="251">
        <f>C46</f>
        <v>3997</v>
      </c>
      <c r="D45" s="241">
        <f>C47</f>
        <v>4.3E-3</v>
      </c>
      <c r="E45" s="242" t="s">
        <v>129</v>
      </c>
      <c r="F45" s="252"/>
      <c r="G45" s="253" t="s">
        <v>1040</v>
      </c>
    </row>
    <row r="46" spans="1:7" s="220" customFormat="1" ht="13.5" customHeight="1">
      <c r="A46" s="888" t="s">
        <v>794</v>
      </c>
      <c r="B46" s="254" t="s">
        <v>1033</v>
      </c>
      <c r="C46" s="255">
        <f>ROUND((C33+C39)*F27,0)</f>
        <v>3997</v>
      </c>
      <c r="D46" s="269"/>
      <c r="E46" s="242"/>
      <c r="F46" s="252"/>
      <c r="G46" s="253"/>
    </row>
    <row r="47" spans="1:7" s="220" customFormat="1" ht="13.5" customHeight="1">
      <c r="A47" s="888" t="s">
        <v>792</v>
      </c>
      <c r="B47" s="254" t="s">
        <v>1035</v>
      </c>
      <c r="C47" s="244">
        <f>ROUND(C40*F27,4)</f>
        <v>4.3E-3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31863</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31863</v>
      </c>
      <c r="D51" s="238"/>
      <c r="E51" s="238"/>
      <c r="F51" s="270"/>
      <c r="G51" s="240" t="s">
        <v>64</v>
      </c>
    </row>
    <row r="52" spans="1:7" s="214" customFormat="1" ht="16.5" thickBot="1">
      <c r="A52" s="271" t="s">
        <v>65</v>
      </c>
      <c r="B52" s="272"/>
      <c r="C52" s="273">
        <f ca="1">C31+C51</f>
        <v>64246</v>
      </c>
      <c r="D52" s="272"/>
      <c r="E52" s="272"/>
      <c r="F52" s="272"/>
      <c r="G52" s="274"/>
    </row>
    <row r="55" spans="1:7" ht="15">
      <c r="B55" s="276" t="s">
        <v>66</v>
      </c>
      <c r="C55" s="277"/>
    </row>
    <row r="56" spans="1:7">
      <c r="B56" s="279" t="s">
        <v>67</v>
      </c>
      <c r="C56" s="280">
        <f ca="1">ROUND(C51/C52,3)</f>
        <v>0.496</v>
      </c>
    </row>
    <row r="57" spans="1:7">
      <c r="B57" s="279" t="s">
        <v>68</v>
      </c>
      <c r="C57" s="281">
        <f ca="1">1-C56</f>
        <v>0.504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3" t="s">
        <v>156</v>
      </c>
      <c r="B1" s="3433"/>
      <c r="C1" s="3433"/>
      <c r="D1" s="3433"/>
      <c r="E1" s="3433"/>
      <c r="F1" s="343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4" t="s">
        <v>169</v>
      </c>
      <c r="B2" s="3434"/>
      <c r="C2" s="3434"/>
      <c r="D2" s="3434"/>
      <c r="E2" s="3434"/>
      <c r="F2" s="343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3" t="s">
        <v>839</v>
      </c>
      <c r="B1" s="343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16" t="str">
        <f>IF(项目基本情况!B9="房地产市场价值","估价结果一览表","结果表-2")</f>
        <v>结果表-2</v>
      </c>
      <c r="B1" s="3116"/>
      <c r="C1" s="3116"/>
      <c r="D1" s="3116"/>
      <c r="E1" s="3116"/>
      <c r="F1" s="3116"/>
      <c r="G1" s="3116"/>
      <c r="H1" s="3116"/>
      <c r="I1" s="3116"/>
    </row>
    <row r="2" spans="1:9" ht="30" customHeight="1" thickTop="1">
      <c r="A2" s="3117" t="s">
        <v>1606</v>
      </c>
      <c r="B2" s="3117" t="s">
        <v>1607</v>
      </c>
      <c r="C2" s="3117" t="s">
        <v>1608</v>
      </c>
      <c r="D2" s="3117" t="str">
        <f>结果表!D116</f>
        <v>出让国有建设用地使用权价值</v>
      </c>
      <c r="E2" s="3117"/>
      <c r="F2" s="3117" t="str">
        <f>结果表!F116</f>
        <v>在建建筑物价值</v>
      </c>
      <c r="G2" s="3117"/>
      <c r="H2" s="3117" t="str">
        <f>IF(项目基本情况!B9="房地产市场价值","房地产市场价值","房地产价值")</f>
        <v>房地产价值</v>
      </c>
      <c r="I2" s="3117"/>
    </row>
    <row r="3" spans="1:9" ht="15">
      <c r="A3" s="3111"/>
      <c r="B3" s="3111"/>
      <c r="C3" s="3111"/>
      <c r="D3" s="963" t="s">
        <v>1603</v>
      </c>
      <c r="E3" s="963" t="s">
        <v>1609</v>
      </c>
      <c r="F3" s="963" t="s">
        <v>1603</v>
      </c>
      <c r="G3" s="963" t="s">
        <v>1604</v>
      </c>
      <c r="H3" s="963" t="s">
        <v>1603</v>
      </c>
      <c r="I3" s="963" t="s">
        <v>1604</v>
      </c>
    </row>
    <row r="4" spans="1:9" ht="15">
      <c r="A4" s="1692" t="str">
        <f>项目基本情况!S2</f>
        <v>房地产</v>
      </c>
      <c r="B4" s="963">
        <f>项目基本情况!C17</f>
        <v>58402.819999999992</v>
      </c>
      <c r="C4" s="963">
        <f>项目基本情况!C18</f>
        <v>38935.21</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11" t="s">
        <v>1605</v>
      </c>
      <c r="B5" s="3111"/>
      <c r="C5" s="3111"/>
      <c r="D5" s="3112" t="e">
        <f ca="1">结果表!D119</f>
        <v>#REF!</v>
      </c>
      <c r="E5" s="3112"/>
      <c r="F5" s="3112" t="e">
        <f ca="1">结果表!F119</f>
        <v>#REF!</v>
      </c>
      <c r="G5" s="3112"/>
      <c r="H5" s="3112" t="e">
        <f ca="1">结果表!H119</f>
        <v>#REF!</v>
      </c>
      <c r="I5" s="3112"/>
    </row>
    <row r="6" spans="1:9" ht="15.75">
      <c r="A6" s="3110" t="str">
        <f>结果表!A120</f>
        <v>估价师知悉的法定优先受偿款</v>
      </c>
      <c r="B6" s="3110"/>
      <c r="C6" s="3110"/>
      <c r="D6" s="3110">
        <f>结果表!D120</f>
        <v>0</v>
      </c>
      <c r="E6" s="3110"/>
      <c r="F6" s="3110"/>
      <c r="G6" s="3110"/>
      <c r="H6" s="3110"/>
      <c r="I6" s="3110"/>
    </row>
    <row r="7" spans="1:9" ht="15">
      <c r="A7" s="3111" t="s">
        <v>1605</v>
      </c>
      <c r="B7" s="3111"/>
      <c r="C7" s="3111"/>
      <c r="D7" s="3113" t="str">
        <f>结果表!D121</f>
        <v>零元整</v>
      </c>
      <c r="E7" s="3114"/>
      <c r="F7" s="3114"/>
      <c r="G7" s="3114"/>
      <c r="H7" s="3114"/>
      <c r="I7" s="3115"/>
    </row>
    <row r="8" spans="1:9" ht="15.75">
      <c r="A8" s="3110" t="str">
        <f>结果表!A122</f>
        <v>房地产抵押价值</v>
      </c>
      <c r="B8" s="3110"/>
      <c r="C8" s="3110"/>
      <c r="D8" s="3110" t="e">
        <f ca="1">结果表!D122</f>
        <v>#REF!</v>
      </c>
      <c r="E8" s="3110"/>
      <c r="F8" s="3110"/>
      <c r="G8" s="3110"/>
      <c r="H8" s="3110"/>
      <c r="I8" s="3110"/>
    </row>
    <row r="9" spans="1:9" ht="15">
      <c r="A9" s="3111" t="s">
        <v>1605</v>
      </c>
      <c r="B9" s="3111"/>
      <c r="C9" s="3111"/>
      <c r="D9" s="3112" t="e">
        <f ca="1">结果表!D123</f>
        <v>#REF!</v>
      </c>
      <c r="E9" s="3112"/>
      <c r="F9" s="3112"/>
      <c r="G9" s="3112"/>
      <c r="H9" s="3112"/>
      <c r="I9" s="3112"/>
    </row>
    <row r="10" spans="1:9" ht="15.75">
      <c r="A10" s="3110" t="str">
        <f>结果表!A124</f>
        <v/>
      </c>
      <c r="B10" s="3110"/>
      <c r="C10" s="3110"/>
      <c r="D10" s="3110" t="str">
        <f>结果表!D124</f>
        <v>——</v>
      </c>
      <c r="E10" s="3110"/>
      <c r="F10" s="3110"/>
      <c r="G10" s="3110"/>
      <c r="H10" s="3110"/>
      <c r="I10" s="3110"/>
    </row>
    <row r="11" spans="1:9" ht="15">
      <c r="A11" s="3111" t="s">
        <v>1605</v>
      </c>
      <c r="B11" s="3111"/>
      <c r="C11" s="3111"/>
      <c r="D11" s="3112" t="e">
        <f>结果表!D125</f>
        <v>#VALUE!</v>
      </c>
      <c r="E11" s="3112"/>
      <c r="F11" s="3112"/>
      <c r="G11" s="3112"/>
      <c r="H11" s="3112"/>
      <c r="I11" s="3112"/>
    </row>
    <row r="12" spans="1:9" ht="15.75">
      <c r="A12" s="3110" t="str">
        <f>结果表!A126</f>
        <v/>
      </c>
      <c r="B12" s="3110"/>
      <c r="C12" s="3110"/>
      <c r="D12" s="3110" t="str">
        <f>结果表!D126</f>
        <v>——</v>
      </c>
      <c r="E12" s="3110"/>
      <c r="F12" s="3110"/>
      <c r="G12" s="3110"/>
      <c r="H12" s="3110"/>
      <c r="I12" s="3110"/>
    </row>
    <row r="13" spans="1:9" ht="15.75" thickBot="1">
      <c r="A13" s="3107" t="s">
        <v>1605</v>
      </c>
      <c r="B13" s="3107"/>
      <c r="C13" s="3107"/>
      <c r="D13" s="3108" t="e">
        <f>结果表!D127</f>
        <v>#VALUE!</v>
      </c>
      <c r="E13" s="3108"/>
      <c r="F13" s="3108"/>
      <c r="G13" s="3108"/>
      <c r="H13" s="3108"/>
      <c r="I13" s="3108"/>
    </row>
    <row r="14" spans="1:9" ht="15" thickTop="1">
      <c r="A14" s="3109" t="s">
        <v>1610</v>
      </c>
      <c r="B14" s="3109"/>
      <c r="C14" s="3109"/>
      <c r="D14" s="3109"/>
      <c r="E14" s="3109"/>
      <c r="F14" s="3109"/>
      <c r="G14" s="3109"/>
      <c r="H14" s="3109"/>
      <c r="I14" s="3109"/>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44153</v>
      </c>
      <c r="D1" s="1472" t="s">
        <v>1268</v>
      </c>
      <c r="E1" s="1467">
        <f>'数据-取费表'!B22</f>
        <v>3</v>
      </c>
      <c r="F1" s="1472" t="s">
        <v>1269</v>
      </c>
      <c r="G1" s="1468">
        <f ca="1">INDIRECT("d"&amp;$K$1)/100</f>
        <v>4.7500000000000001E-2</v>
      </c>
      <c r="H1" s="1472" t="s">
        <v>1299</v>
      </c>
      <c r="I1" s="1468">
        <f ca="1">F4/100</f>
        <v>1.4999999999999999E-2</v>
      </c>
      <c r="J1" s="1473">
        <f>IF(C1&gt;C13,0,MATCH(C1,C$13:C$100,-1))+IF(SUMIF(C13:C100,C1,D13:D100)=0,13,12)</f>
        <v>13</v>
      </c>
      <c r="K1" s="1473">
        <f ca="1">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24" t="s">
        <v>1627</v>
      </c>
      <c r="B1" s="3124"/>
      <c r="C1" s="3124"/>
      <c r="D1" s="3124"/>
    </row>
    <row r="2" spans="1:4" ht="18">
      <c r="A2" s="3125" t="s">
        <v>1611</v>
      </c>
      <c r="B2" s="3125"/>
      <c r="C2" s="3125"/>
      <c r="D2" s="3125"/>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25" t="s">
        <v>1617</v>
      </c>
      <c r="B6" s="3125"/>
      <c r="C6" s="3125"/>
      <c r="D6" s="3125"/>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26" t="s">
        <v>1620</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23"/>
      <c r="C12" s="3123"/>
      <c r="D12" s="3123"/>
    </row>
    <row r="13" spans="1:4" ht="30" customHeight="1">
      <c r="A13" s="3118" t="str">
        <f>IF(项目基本情况!B8="抵押","3.抵押双方在办理抵押登记手续时，应使用本公司出具的正式《房地产评估报告》，特提醒报告使用者注意。","——")</f>
        <v>——</v>
      </c>
      <c r="B13" s="3123"/>
      <c r="C13" s="3123"/>
      <c r="D13" s="3123"/>
    </row>
    <row r="14" spans="1:4" ht="15.75" customHeight="1">
      <c r="A14" s="3118" t="str">
        <f>IF(项目基本情况!B8="抵押","4.本次评估估价师所知悉的法定优先受偿款情况说明如下：","——")</f>
        <v>——</v>
      </c>
      <c r="B14" s="3123"/>
      <c r="C14" s="3123"/>
      <c r="D14" s="3123"/>
    </row>
    <row r="15" spans="1:4" ht="42" customHeight="1">
      <c r="A15" s="3118" t="str">
        <f>IF(项目基本情况!B8="抵押","（1）"&amp;CONCATENATE(项目基本情况!L20,项目基本情况!L21,项目基本情况!L22),"——")</f>
        <v>——</v>
      </c>
      <c r="B15" s="3118"/>
      <c r="C15" s="3118"/>
      <c r="D15" s="3118"/>
    </row>
    <row r="16" spans="1:4" ht="30" customHeight="1">
      <c r="A16" s="3120" t="s">
        <v>1621</v>
      </c>
      <c r="B16" s="3120"/>
      <c r="C16" s="3120"/>
      <c r="D16" s="3120"/>
    </row>
    <row r="17" spans="1:4" ht="144" customHeight="1">
      <c r="A17" s="3120" t="s">
        <v>1622</v>
      </c>
      <c r="B17" s="3120"/>
      <c r="C17" s="3120"/>
      <c r="D17" s="3120"/>
    </row>
    <row r="18" spans="1:4" ht="15.75" customHeight="1">
      <c r="A18" s="3118" t="str">
        <f>IF(项目基本情况!B8="抵押",结果表!K120,"——")</f>
        <v>——</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8"/>
      <c r="C20" s="3118"/>
      <c r="D20" s="3118"/>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1623</v>
      </c>
      <c r="B22" s="3122"/>
      <c r="C22" s="3122"/>
      <c r="D22" s="3122"/>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19">
        <v>42551</v>
      </c>
      <c r="D31" s="31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32" t="s">
        <v>1634</v>
      </c>
      <c r="B15" s="3127" t="s">
        <v>136</v>
      </c>
      <c r="C15" s="3128"/>
    </row>
    <row r="16" spans="1:7" ht="13.5">
      <c r="A16" s="3133"/>
      <c r="B16" s="3127" t="s">
        <v>69</v>
      </c>
      <c r="C16" s="3128"/>
    </row>
    <row r="17" spans="1:3" ht="13.5">
      <c r="A17" s="3133"/>
      <c r="B17" s="3130" t="s">
        <v>1635</v>
      </c>
      <c r="C17" s="1719" t="s">
        <v>1634</v>
      </c>
    </row>
    <row r="18" spans="1:3" ht="13.5">
      <c r="A18" s="3133"/>
      <c r="B18" s="3130"/>
      <c r="C18" s="1719" t="s">
        <v>1636</v>
      </c>
    </row>
    <row r="19" spans="1:3" ht="13.5">
      <c r="A19" s="3133"/>
      <c r="B19" s="3130"/>
      <c r="C19" s="1719" t="s">
        <v>1637</v>
      </c>
    </row>
    <row r="20" spans="1:3" ht="13.5">
      <c r="A20" s="3134"/>
      <c r="B20" s="3129" t="s">
        <v>1638</v>
      </c>
      <c r="C20" s="3128"/>
    </row>
    <row r="21" spans="1:3" ht="13.5">
      <c r="A21" s="1720" t="s">
        <v>1639</v>
      </c>
      <c r="B21" s="1721"/>
      <c r="C21" s="1722"/>
    </row>
    <row r="22" spans="1:3" ht="13.5">
      <c r="A22" s="3131" t="s">
        <v>1640</v>
      </c>
      <c r="B22" s="3129" t="s">
        <v>1641</v>
      </c>
      <c r="C22" s="3128"/>
    </row>
    <row r="23" spans="1:3" ht="13.5">
      <c r="A23" s="3131"/>
      <c r="B23" s="3129" t="s">
        <v>1642</v>
      </c>
      <c r="C23" s="3128"/>
    </row>
    <row r="24" spans="1:3" ht="13.5">
      <c r="A24" s="3131"/>
      <c r="B24" s="3129" t="s">
        <v>1643</v>
      </c>
      <c r="C24" s="3128"/>
    </row>
    <row r="25" spans="1:3" ht="13.5">
      <c r="A25" s="3131"/>
      <c r="B25" s="3130" t="s">
        <v>1644</v>
      </c>
      <c r="C25" s="1719" t="s">
        <v>1645</v>
      </c>
    </row>
    <row r="26" spans="1:3" ht="13.5">
      <c r="A26" s="3131"/>
      <c r="B26" s="3130"/>
      <c r="C26" s="1719" t="s">
        <v>1646</v>
      </c>
    </row>
    <row r="27" spans="1:3" ht="13.5">
      <c r="A27" s="3131"/>
      <c r="B27" s="3130"/>
      <c r="C27" s="1719" t="s">
        <v>1647</v>
      </c>
    </row>
    <row r="28" spans="1:3" ht="13.5">
      <c r="A28" s="3131"/>
      <c r="B28" s="3130"/>
      <c r="C28" s="1719" t="s">
        <v>1648</v>
      </c>
    </row>
    <row r="29" spans="1:3" ht="13.5">
      <c r="A29" s="3131"/>
      <c r="B29" s="3130"/>
      <c r="C29" s="1719" t="s">
        <v>1649</v>
      </c>
    </row>
    <row r="30" spans="1:3" ht="13.5">
      <c r="A30" s="3131"/>
      <c r="B30" s="3130"/>
      <c r="C30" s="1719" t="s">
        <v>1650</v>
      </c>
    </row>
    <row r="31" spans="1:3" ht="13.5">
      <c r="A31" s="3131"/>
      <c r="B31" s="3130"/>
      <c r="C31" s="1719" t="s">
        <v>1651</v>
      </c>
    </row>
    <row r="32" spans="1:3" ht="13.5">
      <c r="A32" s="3131"/>
      <c r="B32" s="3130"/>
      <c r="C32" s="1719" t="s">
        <v>1652</v>
      </c>
    </row>
    <row r="33" spans="1:3" ht="13.5">
      <c r="A33" s="3131"/>
      <c r="B33" s="3130"/>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44158</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35" t="s">
        <v>2901</v>
      </c>
      <c r="B17" s="3135"/>
      <c r="C17" s="3135"/>
      <c r="D17" s="3135"/>
      <c r="E17" s="3135"/>
      <c r="F17" s="3135"/>
      <c r="G17" s="3135"/>
      <c r="H17" s="3135"/>
    </row>
    <row r="18" spans="1:8" ht="24" customHeight="1">
      <c r="A18" s="3136" t="s">
        <v>2902</v>
      </c>
      <c r="B18" s="3136"/>
      <c r="C18" s="3136"/>
      <c r="D18" s="2568"/>
      <c r="E18" s="3137" t="s">
        <v>2903</v>
      </c>
      <c r="F18" s="3136"/>
      <c r="G18" s="3136"/>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0" priority="51">
      <formula>AND($C4-TODAY()&lt;30,TODAY()&lt;$C4)</formula>
    </cfRule>
  </conditionalFormatting>
  <conditionalFormatting sqref="C20:D20">
    <cfRule type="expression" dxfId="269" priority="50">
      <formula>AND($C20-TODAY()&lt;30,TODAY()&lt;$C20)</formula>
    </cfRule>
  </conditionalFormatting>
  <conditionalFormatting sqref="C20:D20 G4 C4:D5 C13:D13">
    <cfRule type="cellIs" dxfId="268" priority="52" stopIfTrue="1" operator="lessThan">
      <formula>$B$2</formula>
    </cfRule>
  </conditionalFormatting>
  <conditionalFormatting sqref="G5 G7 G9">
    <cfRule type="cellIs" dxfId="267" priority="49" stopIfTrue="1" operator="lessThan">
      <formula>$B$2</formula>
    </cfRule>
  </conditionalFormatting>
  <conditionalFormatting sqref="C6:D6 D14 D16">
    <cfRule type="expression" dxfId="266" priority="47">
      <formula>AND($C6-TODAY()&lt;30,TODAY()&lt;$C6)</formula>
    </cfRule>
  </conditionalFormatting>
  <conditionalFormatting sqref="G6 G8 G10 C6:D6 D7:D12 D14 D16">
    <cfRule type="cellIs" dxfId="265" priority="48" stopIfTrue="1" operator="lessThan">
      <formula>$B$2</formula>
    </cfRule>
  </conditionalFormatting>
  <conditionalFormatting sqref="D12">
    <cfRule type="expression" dxfId="264" priority="45">
      <formula>AND($C12-TODAY()&lt;30,TODAY()&lt;$C12)</formula>
    </cfRule>
  </conditionalFormatting>
  <conditionalFormatting sqref="D12">
    <cfRule type="cellIs" dxfId="263" priority="46" stopIfTrue="1" operator="lessThan">
      <formula>$B$2</formula>
    </cfRule>
  </conditionalFormatting>
  <conditionalFormatting sqref="C13:D13">
    <cfRule type="expression" dxfId="262" priority="43">
      <formula>AND($C13-TODAY()&lt;30,TODAY()&lt;$C13)</formula>
    </cfRule>
  </conditionalFormatting>
  <conditionalFormatting sqref="C13:D13">
    <cfRule type="cellIs" dxfId="261" priority="44" stopIfTrue="1" operator="lessThan">
      <formula>$B$2</formula>
    </cfRule>
  </conditionalFormatting>
  <conditionalFormatting sqref="D14">
    <cfRule type="expression" dxfId="260" priority="41">
      <formula>AND($C14-TODAY()&lt;30,TODAY()&lt;$C14)</formula>
    </cfRule>
  </conditionalFormatting>
  <conditionalFormatting sqref="D14">
    <cfRule type="cellIs" dxfId="259" priority="42" stopIfTrue="1" operator="lessThan">
      <formula>$B$2</formula>
    </cfRule>
  </conditionalFormatting>
  <conditionalFormatting sqref="G13">
    <cfRule type="cellIs" dxfId="258" priority="40" stopIfTrue="1" operator="lessThan">
      <formula>$B$2</formula>
    </cfRule>
  </conditionalFormatting>
  <conditionalFormatting sqref="B4:B11 F4:F11 B13 F13:F14">
    <cfRule type="cellIs" dxfId="257" priority="39" stopIfTrue="1" operator="equal">
      <formula>"已过期"</formula>
    </cfRule>
  </conditionalFormatting>
  <conditionalFormatting sqref="G20">
    <cfRule type="expression" dxfId="256" priority="37">
      <formula>AND($E20-TODAY()&lt;30,TODAY()&lt;$E20)</formula>
    </cfRule>
  </conditionalFormatting>
  <conditionalFormatting sqref="G20">
    <cfRule type="cellIs" dxfId="255" priority="38" stopIfTrue="1" operator="lessThan">
      <formula>$B$2</formula>
    </cfRule>
  </conditionalFormatting>
  <conditionalFormatting sqref="C7">
    <cfRule type="expression" dxfId="254" priority="35">
      <formula>AND($C7-TODAY()&lt;30,TODAY()&lt;$C7)</formula>
    </cfRule>
  </conditionalFormatting>
  <conditionalFormatting sqref="C7">
    <cfRule type="cellIs" dxfId="253" priority="36" stopIfTrue="1" operator="lessThan">
      <formula>$B$2</formula>
    </cfRule>
  </conditionalFormatting>
  <conditionalFormatting sqref="C8">
    <cfRule type="expression" dxfId="252" priority="33">
      <formula>AND($C8-TODAY()&lt;30,TODAY()&lt;$C8)</formula>
    </cfRule>
  </conditionalFormatting>
  <conditionalFormatting sqref="C8">
    <cfRule type="cellIs" dxfId="251" priority="34" stopIfTrue="1" operator="lessThan">
      <formula>$B$2</formula>
    </cfRule>
  </conditionalFormatting>
  <conditionalFormatting sqref="C11">
    <cfRule type="expression" dxfId="250" priority="31">
      <formula>AND($C11-TODAY()&lt;30,TODAY()&lt;$C11)</formula>
    </cfRule>
  </conditionalFormatting>
  <conditionalFormatting sqref="C11">
    <cfRule type="cellIs" dxfId="249" priority="32" stopIfTrue="1" operator="lessThan">
      <formula>$B$2</formula>
    </cfRule>
  </conditionalFormatting>
  <conditionalFormatting sqref="A16:C16">
    <cfRule type="cellIs" dxfId="248" priority="30" stopIfTrue="1" operator="equal">
      <formula>"已过期"</formula>
    </cfRule>
  </conditionalFormatting>
  <conditionalFormatting sqref="E16:G16">
    <cfRule type="cellIs" dxfId="247" priority="29" stopIfTrue="1" operator="equal">
      <formula>"已过期"</formula>
    </cfRule>
  </conditionalFormatting>
  <conditionalFormatting sqref="G11">
    <cfRule type="cellIs" dxfId="246" priority="28" stopIfTrue="1" operator="lessThan">
      <formula>$B$2</formula>
    </cfRule>
  </conditionalFormatting>
  <conditionalFormatting sqref="F12">
    <cfRule type="cellIs" dxfId="245" priority="27" stopIfTrue="1" operator="equal">
      <formula>"已过期"</formula>
    </cfRule>
  </conditionalFormatting>
  <conditionalFormatting sqref="G12">
    <cfRule type="cellIs" dxfId="244" priority="26" stopIfTrue="1" operator="lessThan">
      <formula>$B$2</formula>
    </cfRule>
  </conditionalFormatting>
  <conditionalFormatting sqref="C12">
    <cfRule type="cellIs" dxfId="243" priority="25" stopIfTrue="1" operator="lessThan">
      <formula>$B$2</formula>
    </cfRule>
  </conditionalFormatting>
  <conditionalFormatting sqref="C12">
    <cfRule type="expression" dxfId="242" priority="23">
      <formula>AND($C12-TODAY()&lt;30,TODAY()&lt;$C12)</formula>
    </cfRule>
  </conditionalFormatting>
  <conditionalFormatting sqref="C12">
    <cfRule type="cellIs" dxfId="241" priority="24" stopIfTrue="1" operator="lessThan">
      <formula>$B$2</formula>
    </cfRule>
  </conditionalFormatting>
  <conditionalFormatting sqref="B12">
    <cfRule type="cellIs" dxfId="240" priority="22" stopIfTrue="1" operator="equal">
      <formula>"已过期"</formula>
    </cfRule>
  </conditionalFormatting>
  <conditionalFormatting sqref="C9:C10">
    <cfRule type="expression" dxfId="239" priority="20">
      <formula>AND($C9-TODAY()&lt;30,TODAY()&lt;$C9)</formula>
    </cfRule>
  </conditionalFormatting>
  <conditionalFormatting sqref="C9:C10">
    <cfRule type="cellIs" dxfId="238" priority="21" stopIfTrue="1" operator="lessThan">
      <formula>$B$2</formula>
    </cfRule>
  </conditionalFormatting>
  <conditionalFormatting sqref="G21">
    <cfRule type="expression" dxfId="237" priority="18" stopIfTrue="1">
      <formula>AND(#REF!-TODAY()&lt;30,TODAY()&lt;#REF!)</formula>
    </cfRule>
  </conditionalFormatting>
  <conditionalFormatting sqref="G21">
    <cfRule type="cellIs" dxfId="236" priority="19" stopIfTrue="1" operator="lessThan">
      <formula>$B$2</formula>
    </cfRule>
  </conditionalFormatting>
  <conditionalFormatting sqref="C14">
    <cfRule type="expression" dxfId="235" priority="16">
      <formula>AND($C14-TODAY()&lt;30,TODAY()&lt;$C14)</formula>
    </cfRule>
  </conditionalFormatting>
  <conditionalFormatting sqref="C14">
    <cfRule type="cellIs" dxfId="234" priority="17" stopIfTrue="1" operator="lessThan">
      <formula>$B$2</formula>
    </cfRule>
  </conditionalFormatting>
  <conditionalFormatting sqref="C14">
    <cfRule type="expression" dxfId="233" priority="14">
      <formula>AND($C14-TODAY()&lt;30,TODAY()&lt;$C14)</formula>
    </cfRule>
  </conditionalFormatting>
  <conditionalFormatting sqref="C14">
    <cfRule type="cellIs" dxfId="232" priority="15" stopIfTrue="1" operator="lessThan">
      <formula>$B$2</formula>
    </cfRule>
  </conditionalFormatting>
  <conditionalFormatting sqref="B14">
    <cfRule type="cellIs" dxfId="231" priority="13" stopIfTrue="1" operator="equal">
      <formula>"已过期"</formula>
    </cfRule>
  </conditionalFormatting>
  <conditionalFormatting sqref="G14">
    <cfRule type="cellIs" dxfId="230" priority="12" stopIfTrue="1" operator="lessThan">
      <formula>$B$2</formula>
    </cfRule>
  </conditionalFormatting>
  <conditionalFormatting sqref="D15">
    <cfRule type="expression" dxfId="229" priority="10">
      <formula>AND($C15-TODAY()&lt;30,TODAY()&lt;$C15)</formula>
    </cfRule>
  </conditionalFormatting>
  <conditionalFormatting sqref="D15">
    <cfRule type="cellIs" dxfId="228" priority="11" stopIfTrue="1" operator="lessThan">
      <formula>$B$2</formula>
    </cfRule>
  </conditionalFormatting>
  <conditionalFormatting sqref="D15">
    <cfRule type="expression" dxfId="227" priority="8">
      <formula>AND($C15-TODAY()&lt;30,TODAY()&lt;$C15)</formula>
    </cfRule>
  </conditionalFormatting>
  <conditionalFormatting sqref="D15">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C15">
    <cfRule type="expression" dxfId="224" priority="5">
      <formula>AND($C15-TODAY()&lt;30,TODAY()&lt;$C15)</formula>
    </cfRule>
  </conditionalFormatting>
  <conditionalFormatting sqref="C15">
    <cfRule type="cellIs" dxfId="223" priority="6" stopIfTrue="1" operator="lessThan">
      <formula>$B$2</formula>
    </cfRule>
  </conditionalFormatting>
  <conditionalFormatting sqref="C15">
    <cfRule type="expression" dxfId="222" priority="3">
      <formula>AND($C15-TODAY()&lt;30,TODAY()&lt;$C15)</formula>
    </cfRule>
  </conditionalFormatting>
  <conditionalFormatting sqref="C15">
    <cfRule type="cellIs" dxfId="221" priority="4" stopIfTrue="1" operator="lessThan">
      <formula>$B$2</formula>
    </cfRule>
  </conditionalFormatting>
  <conditionalFormatting sqref="B15">
    <cfRule type="cellIs" dxfId="220" priority="2" stopIfTrue="1" operator="equal">
      <formula>"已过期"</formula>
    </cfRule>
  </conditionalFormatting>
  <conditionalFormatting sqref="G15">
    <cfRule type="cellIs" dxfId="21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结果表(公寓)</vt:lpstr>
      <vt:lpstr>结果表(合院)</vt:lpstr>
      <vt:lpstr>成本法（公寓）</vt:lpstr>
      <vt:lpstr>成本法 (元)</vt:lpstr>
      <vt:lpstr>成本法（合院）</vt:lpstr>
      <vt:lpstr>土地比较法-住宅、综合</vt:lpstr>
      <vt:lpstr>比较法-商业（公寓）</vt:lpstr>
      <vt:lpstr>比较法-商业(合院)</vt:lpstr>
      <vt:lpstr>土地案例</vt:lpstr>
      <vt:lpstr>假设开发法</vt:lpstr>
      <vt:lpstr>Sheet3</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'比较法-商业（公寓）'!Print_Area</vt:lpstr>
      <vt:lpstr>'比较法-商业(合院)'!Print_Area</vt:lpstr>
      <vt:lpstr>'比较法-住宅'!Print_Area</vt:lpstr>
      <vt:lpstr>'成本法 (元)'!Print_Area</vt:lpstr>
      <vt:lpstr>'成本法（公寓）'!Print_Area</vt:lpstr>
      <vt:lpstr>'成本法（合院）'!Print_Area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'结果表(公寓)'!Print_Area</vt:lpstr>
      <vt:lpstr>'结果表(合院)'!Print_Area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'比较法-商业(合院)'!商业层高</vt:lpstr>
      <vt:lpstr>商业层高</vt:lpstr>
      <vt:lpstr>'比较法-商业(合院)'!商业成新度</vt:lpstr>
      <vt:lpstr>商业成新度</vt:lpstr>
      <vt:lpstr>商业繁华度</vt:lpstr>
      <vt:lpstr>'比较法-商业(合院)'!商业公共部分装修</vt:lpstr>
      <vt:lpstr>商业公共部分装修</vt:lpstr>
      <vt:lpstr>'比较法-商业(合院)'!商业基础设施水平</vt:lpstr>
      <vt:lpstr>商业基础设施水平</vt:lpstr>
      <vt:lpstr>'比较法-商业(合院)'!商业建筑结构</vt:lpstr>
      <vt:lpstr>商业建筑结构</vt:lpstr>
      <vt:lpstr>'比较法-商业(合院)'!商业交易情况</vt:lpstr>
      <vt:lpstr>商业交易情况</vt:lpstr>
      <vt:lpstr>商业街名称</vt:lpstr>
      <vt:lpstr>'比较法-商业(合院)'!商业进深比</vt:lpstr>
      <vt:lpstr>商业进深比</vt:lpstr>
      <vt:lpstr>'比较法-商业(合院)'!商业类型</vt:lpstr>
      <vt:lpstr>商业类型</vt:lpstr>
      <vt:lpstr>'比较法-商业(合院)'!商业临街状况</vt:lpstr>
      <vt:lpstr>商业临街状况</vt:lpstr>
      <vt:lpstr>'比较法-商业(合院)'!商业楼层</vt:lpstr>
      <vt:lpstr>商业楼层</vt:lpstr>
      <vt:lpstr>'比较法-商业(合院)'!商业内部装修</vt:lpstr>
      <vt:lpstr>商业内部装修</vt:lpstr>
      <vt:lpstr>'比较法-商业(合院)'!商业人流量</vt:lpstr>
      <vt:lpstr>商业人流量</vt:lpstr>
      <vt:lpstr>'比较法-商业(合院)'!商业业态</vt:lpstr>
      <vt:lpstr>商业业态</vt:lpstr>
      <vt:lpstr>'比较法-商业(合院)'!商业用途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2020-11-23T08:31:09Z</dcterms:modified>
</cp:coreProperties>
</file>