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三期清单" sheetId="89"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sheetId="21" r:id="rId23"/>
    <sheet name="住宅" sheetId="82" r:id="rId24"/>
    <sheet name="成本法 (元)" sheetId="69" state="hidden" r:id="rId25"/>
    <sheet name="土地案例" sheetId="87" state="hidden" r:id="rId26"/>
    <sheet name="收益法" sheetId="15" r:id="rId27"/>
    <sheet name="典型户型修正-住宅" sheetId="88" state="hidden" r:id="rId28"/>
    <sheet name="结果表车库" sheetId="80" state="hidden" r:id="rId29"/>
    <sheet name="比较法-车位" sheetId="35" state="hidden" r:id="rId30"/>
    <sheet name="车库" sheetId="83" state="hidden"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典型户型修正-车库" sheetId="31" state="hidden" r:id="rId51"/>
  </sheets>
  <externalReferences>
    <externalReference r:id="rId52"/>
    <externalReference r:id="rId53"/>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29" hidden="1">'比较法-车位'!$A$1:$L$39</definedName>
    <definedName name="_xlnm._FilterDatabase" localSheetId="36" hidden="1">'比较法-工业'!$A$1:$L$43</definedName>
    <definedName name="_xlnm._FilterDatabase" localSheetId="34" hidden="1">'比较法-商业'!$A$1:$L$49</definedName>
    <definedName name="_xlnm._FilterDatabase" localSheetId="2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9">'比较法-车位'!$A$1:$K$44,'比较法-车位'!$A$47:$M$102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2">'比较法-住宅'!$A$1:$K$54,'比较法-住宅'!$A$57:$M$131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8">结果表!$A$1:$I$127</definedName>
    <definedName name="_xlnm.Print_Area" localSheetId="28">结果表车库!$A$1:$I$127</definedName>
    <definedName name="_xlnm.Print_Area" localSheetId="26">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27">'典型户型修正-住宅'!$5:$5</definedName>
    <definedName name="一修多修正项2">'典型户型修正-车库'!$5:$5</definedName>
    <definedName name="一修多修正项3" localSheetId="27">'典型户型修正-住宅'!$7:$7</definedName>
    <definedName name="一修多修正项3">'典型户型修正-车库'!$7:$7</definedName>
    <definedName name="一修多修正项4" localSheetId="27">'典型户型修正-住宅'!$9:$9</definedName>
    <definedName name="一修多修正项4">'典型户型修正-车库'!$9:$9</definedName>
    <definedName name="一修多修正项5" localSheetId="27">'典型户型修正-住宅'!$11:$11</definedName>
    <definedName name="一修多修正项5">'典型户型修正-车库'!$11:$11</definedName>
    <definedName name="一修多修正项6" localSheetId="27">'典型户型修正-住宅'!$13:$13</definedName>
    <definedName name="一修多修正项6">'典型户型修正-车库'!$13:$13</definedName>
    <definedName name="一修多修正项7" localSheetId="27">'典型户型修正-住宅'!$15:$15</definedName>
    <definedName name="一修多修正项7">'典型户型修正-车库'!$15:$15</definedName>
    <definedName name="一修多修正项8" localSheetId="27">'典型户型修正-住宅'!$17:$17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34" i="89" l="1"/>
  <c r="C6" i="12" l="1"/>
  <c r="W24" i="1"/>
  <c r="U7" i="1"/>
  <c r="U23" i="1"/>
  <c r="U22" i="1"/>
  <c r="C14" i="74"/>
  <c r="B14" i="74"/>
  <c r="C33" i="21" l="1"/>
  <c r="C6" i="68"/>
  <c r="V24" i="1"/>
  <c r="AC92" i="89"/>
  <c r="AC55" i="89"/>
  <c r="AC56" i="89"/>
  <c r="AC57" i="89"/>
  <c r="AC58" i="89"/>
  <c r="AC59" i="89"/>
  <c r="AC60" i="89"/>
  <c r="AC61" i="89"/>
  <c r="AC62" i="89"/>
  <c r="AC63" i="89"/>
  <c r="AC64" i="89"/>
  <c r="AC65" i="89"/>
  <c r="AC66" i="89"/>
  <c r="AC67" i="89"/>
  <c r="AC68" i="89"/>
  <c r="AC69" i="89"/>
  <c r="AC70" i="89"/>
  <c r="AC71" i="89"/>
  <c r="AC72" i="89"/>
  <c r="AC73" i="89"/>
  <c r="AC74" i="89"/>
  <c r="AC75" i="89"/>
  <c r="AC76" i="89"/>
  <c r="AC77" i="89"/>
  <c r="AC78" i="89"/>
  <c r="AC79" i="89"/>
  <c r="AC80" i="89"/>
  <c r="AC81" i="89"/>
  <c r="AC82" i="89"/>
  <c r="AC83" i="89"/>
  <c r="AC84" i="89"/>
  <c r="AC85" i="89"/>
  <c r="AC86" i="89"/>
  <c r="AC87" i="89"/>
  <c r="AC88" i="89"/>
  <c r="AC89" i="89"/>
  <c r="AC90" i="89"/>
  <c r="AC91" i="89"/>
  <c r="AC54" i="89"/>
  <c r="AA60" i="89"/>
  <c r="AA61" i="89"/>
  <c r="AA62" i="89"/>
  <c r="AA63" i="89"/>
  <c r="AA64" i="89"/>
  <c r="AA65" i="89"/>
  <c r="AA66" i="89"/>
  <c r="AA67" i="89"/>
  <c r="AA68" i="89"/>
  <c r="AA69" i="89"/>
  <c r="AA70" i="89"/>
  <c r="AA71" i="89"/>
  <c r="AA72" i="89"/>
  <c r="AA73" i="89"/>
  <c r="AA74" i="89"/>
  <c r="AA75" i="89"/>
  <c r="AA76" i="89"/>
  <c r="AA77" i="89"/>
  <c r="AA78" i="89"/>
  <c r="AA79" i="89"/>
  <c r="AA80" i="89"/>
  <c r="AA81" i="89"/>
  <c r="AA82" i="89"/>
  <c r="AA83" i="89"/>
  <c r="AA84" i="89"/>
  <c r="AA85" i="89"/>
  <c r="AA86" i="89"/>
  <c r="AA87" i="89"/>
  <c r="AA88" i="89"/>
  <c r="AA89" i="89"/>
  <c r="AA90" i="89"/>
  <c r="AA91" i="89"/>
  <c r="AA55" i="89"/>
  <c r="AA56" i="89"/>
  <c r="AA57" i="89"/>
  <c r="AA58" i="89"/>
  <c r="AA59" i="89"/>
  <c r="AA54" i="89"/>
  <c r="AE47" i="89"/>
  <c r="P23" i="1"/>
  <c r="R23" i="1" s="1"/>
  <c r="P22" i="1"/>
  <c r="V23" i="1"/>
  <c r="S27" i="1"/>
  <c r="S23" i="1"/>
  <c r="U24" i="1"/>
  <c r="R22" i="1"/>
  <c r="G20" i="6"/>
  <c r="L23" i="1"/>
  <c r="L24" i="1" s="1"/>
  <c r="L26" i="1" s="1"/>
  <c r="O42" i="89"/>
  <c r="T26" i="89"/>
  <c r="T25" i="89"/>
  <c r="O34" i="89"/>
  <c r="P34" i="89"/>
  <c r="R34" i="89"/>
  <c r="K13" i="3" s="1"/>
  <c r="Q32" i="89"/>
  <c r="N32" i="89" s="1"/>
  <c r="Q30" i="89"/>
  <c r="N30" i="89" s="1"/>
  <c r="N26" i="89"/>
  <c r="N27" i="89"/>
  <c r="N34" i="89" s="1"/>
  <c r="N19" i="89" s="1"/>
  <c r="N28" i="89"/>
  <c r="N29" i="89"/>
  <c r="N31" i="89"/>
  <c r="N33" i="89"/>
  <c r="N25" i="89"/>
  <c r="N6" i="1" s="1"/>
  <c r="S14" i="89"/>
  <c r="Q14" i="89"/>
  <c r="P14" i="89"/>
  <c r="R14" i="89"/>
  <c r="O13" i="89"/>
  <c r="O12" i="89"/>
  <c r="O11" i="89"/>
  <c r="O10" i="89"/>
  <c r="O9" i="89"/>
  <c r="O8" i="89"/>
  <c r="O7" i="89"/>
  <c r="O6" i="89"/>
  <c r="O5" i="89"/>
  <c r="R24" i="1" l="1"/>
  <c r="P24" i="1"/>
  <c r="W25" i="1"/>
  <c r="N7" i="1"/>
  <c r="N14" i="1"/>
  <c r="Q34" i="89"/>
  <c r="AN13" i="3" s="1"/>
  <c r="O14" i="89"/>
  <c r="Q24" i="1" l="1"/>
  <c r="Y24" i="1"/>
  <c r="D413" i="89" l="1"/>
  <c r="O35" i="89" l="1"/>
  <c r="P15" i="89"/>
  <c r="D4" i="31"/>
  <c r="E4" i="31"/>
  <c r="F4" i="31"/>
  <c r="G4" i="31"/>
  <c r="H4" i="31"/>
  <c r="C4" i="31"/>
  <c r="D3" i="31"/>
  <c r="E3" i="31"/>
  <c r="F3" i="31"/>
  <c r="G3" i="31"/>
  <c r="H3" i="3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B27"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A26" i="88"/>
  <c r="A27"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B25" i="88"/>
  <c r="A25" i="88"/>
  <c r="B24" i="88"/>
  <c r="A24" i="88"/>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C184" i="88"/>
  <c r="Q183" i="88"/>
  <c r="O183" i="88"/>
  <c r="M183" i="88"/>
  <c r="K183" i="88"/>
  <c r="I183" i="88"/>
  <c r="G183" i="88"/>
  <c r="E183" i="88"/>
  <c r="C183" i="88"/>
  <c r="Q182" i="88"/>
  <c r="O182" i="88"/>
  <c r="M182" i="88"/>
  <c r="K182" i="88"/>
  <c r="I182" i="88"/>
  <c r="G182" i="88"/>
  <c r="E182" i="88"/>
  <c r="C182" i="88"/>
  <c r="Q181" i="88"/>
  <c r="O181" i="88"/>
  <c r="M181" i="88"/>
  <c r="K181" i="88"/>
  <c r="I181" i="88"/>
  <c r="G181" i="88"/>
  <c r="E181" i="88"/>
  <c r="C181" i="88"/>
  <c r="Q180" i="88"/>
  <c r="O180" i="88"/>
  <c r="M180" i="88"/>
  <c r="K180" i="88"/>
  <c r="I180" i="88"/>
  <c r="G180" i="88"/>
  <c r="E180" i="88"/>
  <c r="C180" i="88"/>
  <c r="Q179" i="88"/>
  <c r="O179" i="88"/>
  <c r="M179" i="88"/>
  <c r="K179" i="88"/>
  <c r="I179" i="88"/>
  <c r="G179" i="88"/>
  <c r="E179" i="88"/>
  <c r="C179" i="88"/>
  <c r="Q178" i="88"/>
  <c r="O178" i="88"/>
  <c r="M178" i="88"/>
  <c r="K178" i="88"/>
  <c r="I178" i="88"/>
  <c r="G178" i="88"/>
  <c r="E178" i="88"/>
  <c r="C178" i="88"/>
  <c r="Q177" i="88"/>
  <c r="O177" i="88"/>
  <c r="M177" i="88"/>
  <c r="K177" i="88"/>
  <c r="I177" i="88"/>
  <c r="G177" i="88"/>
  <c r="E177" i="88"/>
  <c r="C177" i="88"/>
  <c r="Q176" i="88"/>
  <c r="O176" i="88"/>
  <c r="M176" i="88"/>
  <c r="K176" i="88"/>
  <c r="I176" i="88"/>
  <c r="G176" i="88"/>
  <c r="E176" i="88"/>
  <c r="C176" i="88"/>
  <c r="Q175" i="88"/>
  <c r="O175" i="88"/>
  <c r="M175" i="88"/>
  <c r="K175" i="88"/>
  <c r="I175" i="88"/>
  <c r="G175" i="88"/>
  <c r="E175" i="88"/>
  <c r="C175" i="88"/>
  <c r="Q174" i="88"/>
  <c r="O174" i="88"/>
  <c r="M174" i="88"/>
  <c r="K174" i="88"/>
  <c r="I174" i="88"/>
  <c r="G174" i="88"/>
  <c r="E174" i="88"/>
  <c r="C174" i="88"/>
  <c r="Q173" i="88"/>
  <c r="O173" i="88"/>
  <c r="M173" i="88"/>
  <c r="K173" i="88"/>
  <c r="I173" i="88"/>
  <c r="G173" i="88"/>
  <c r="E173" i="88"/>
  <c r="C173" i="88"/>
  <c r="Q172" i="88"/>
  <c r="O172" i="88"/>
  <c r="M172" i="88"/>
  <c r="K172" i="88"/>
  <c r="I172" i="88"/>
  <c r="G172" i="88"/>
  <c r="E172" i="88"/>
  <c r="C172" i="88"/>
  <c r="Q171" i="88"/>
  <c r="O171" i="88"/>
  <c r="M171" i="88"/>
  <c r="K171" i="88"/>
  <c r="I171" i="88"/>
  <c r="G171" i="88"/>
  <c r="E171" i="88"/>
  <c r="C171" i="88"/>
  <c r="Q170" i="88"/>
  <c r="O170" i="88"/>
  <c r="M170" i="88"/>
  <c r="K170" i="88"/>
  <c r="I170" i="88"/>
  <c r="G170" i="88"/>
  <c r="E170" i="88"/>
  <c r="C170" i="88"/>
  <c r="Q169" i="88"/>
  <c r="O169" i="88"/>
  <c r="M169" i="88"/>
  <c r="K169" i="88"/>
  <c r="I169" i="88"/>
  <c r="G169" i="88"/>
  <c r="E169" i="88"/>
  <c r="C169" i="88"/>
  <c r="Q168" i="88"/>
  <c r="O168" i="88"/>
  <c r="M168" i="88"/>
  <c r="K168" i="88"/>
  <c r="I168" i="88"/>
  <c r="G168" i="88"/>
  <c r="E168" i="88"/>
  <c r="C168" i="88"/>
  <c r="Q167" i="88"/>
  <c r="O167" i="88"/>
  <c r="M167" i="88"/>
  <c r="K167" i="88"/>
  <c r="I167" i="88"/>
  <c r="G167" i="88"/>
  <c r="E167" i="88"/>
  <c r="C167" i="88"/>
  <c r="Q166" i="88"/>
  <c r="O166" i="88"/>
  <c r="M166" i="88"/>
  <c r="K166" i="88"/>
  <c r="I166" i="88"/>
  <c r="G166" i="88"/>
  <c r="E166" i="88"/>
  <c r="C166" i="88"/>
  <c r="Q165" i="88"/>
  <c r="O165" i="88"/>
  <c r="M165" i="88"/>
  <c r="K165" i="88"/>
  <c r="I165" i="88"/>
  <c r="G165" i="88"/>
  <c r="E165" i="88"/>
  <c r="C165" i="88"/>
  <c r="Q164" i="88"/>
  <c r="O164" i="88"/>
  <c r="M164" i="88"/>
  <c r="K164" i="88"/>
  <c r="I164" i="88"/>
  <c r="G164" i="88"/>
  <c r="E164" i="88"/>
  <c r="C164" i="88"/>
  <c r="Q163" i="88"/>
  <c r="O163" i="88"/>
  <c r="M163" i="88"/>
  <c r="K163" i="88"/>
  <c r="I163" i="88"/>
  <c r="G163" i="88"/>
  <c r="E163" i="88"/>
  <c r="C163" i="88"/>
  <c r="Q162" i="88"/>
  <c r="O162" i="88"/>
  <c r="M162" i="88"/>
  <c r="K162" i="88"/>
  <c r="I162" i="88"/>
  <c r="G162" i="88"/>
  <c r="E162" i="88"/>
  <c r="C162" i="88"/>
  <c r="Q161" i="88"/>
  <c r="O161" i="88"/>
  <c r="M161" i="88"/>
  <c r="K161" i="88"/>
  <c r="I161" i="88"/>
  <c r="G161" i="88"/>
  <c r="E161" i="88"/>
  <c r="C161" i="88"/>
  <c r="Q160" i="88"/>
  <c r="O160" i="88"/>
  <c r="M160" i="88"/>
  <c r="K160" i="88"/>
  <c r="I160" i="88"/>
  <c r="G160" i="88"/>
  <c r="E160" i="88"/>
  <c r="C160" i="88"/>
  <c r="Q159" i="88"/>
  <c r="O159" i="88"/>
  <c r="M159" i="88"/>
  <c r="K159" i="88"/>
  <c r="I159" i="88"/>
  <c r="G159" i="88"/>
  <c r="E159" i="88"/>
  <c r="C159" i="88"/>
  <c r="Q158" i="88"/>
  <c r="O158" i="88"/>
  <c r="M158" i="88"/>
  <c r="K158" i="88"/>
  <c r="I158" i="88"/>
  <c r="G158" i="88"/>
  <c r="E158" i="88"/>
  <c r="C158" i="88"/>
  <c r="Q157" i="88"/>
  <c r="O157" i="88"/>
  <c r="M157" i="88"/>
  <c r="K157" i="88"/>
  <c r="I157" i="88"/>
  <c r="G157" i="88"/>
  <c r="E157" i="88"/>
  <c r="C157" i="88"/>
  <c r="Q156" i="88"/>
  <c r="O156" i="88"/>
  <c r="M156" i="88"/>
  <c r="K156" i="88"/>
  <c r="I156" i="88"/>
  <c r="G156" i="88"/>
  <c r="E156" i="88"/>
  <c r="C156" i="88"/>
  <c r="Q155" i="88"/>
  <c r="O155" i="88"/>
  <c r="M155" i="88"/>
  <c r="K155" i="88"/>
  <c r="I155" i="88"/>
  <c r="G155" i="88"/>
  <c r="E155" i="88"/>
  <c r="C155" i="88"/>
  <c r="Q154" i="88"/>
  <c r="O154" i="88"/>
  <c r="M154" i="88"/>
  <c r="K154" i="88"/>
  <c r="I154" i="88"/>
  <c r="G154" i="88"/>
  <c r="E154" i="88"/>
  <c r="C154" i="88"/>
  <c r="Q153" i="88"/>
  <c r="O153" i="88"/>
  <c r="M153" i="88"/>
  <c r="K153" i="88"/>
  <c r="I153" i="88"/>
  <c r="G153" i="88"/>
  <c r="E153" i="88"/>
  <c r="C153" i="88"/>
  <c r="Q152" i="88"/>
  <c r="O152" i="88"/>
  <c r="M152" i="88"/>
  <c r="K152" i="88"/>
  <c r="I152" i="88"/>
  <c r="G152" i="88"/>
  <c r="E152" i="88"/>
  <c r="C152" i="88"/>
  <c r="Q151" i="88"/>
  <c r="O151" i="88"/>
  <c r="M151" i="88"/>
  <c r="K151" i="88"/>
  <c r="I151" i="88"/>
  <c r="G151" i="88"/>
  <c r="E151" i="88"/>
  <c r="C151" i="88"/>
  <c r="Q150" i="88"/>
  <c r="O150" i="88"/>
  <c r="M150" i="88"/>
  <c r="K150" i="88"/>
  <c r="I150" i="88"/>
  <c r="G150" i="88"/>
  <c r="E150" i="88"/>
  <c r="C150" i="88"/>
  <c r="Q149" i="88"/>
  <c r="O149" i="88"/>
  <c r="M149" i="88"/>
  <c r="K149" i="88"/>
  <c r="I149" i="88"/>
  <c r="G149" i="88"/>
  <c r="E149" i="88"/>
  <c r="C149" i="88"/>
  <c r="Q148" i="88"/>
  <c r="O148" i="88"/>
  <c r="M148" i="88"/>
  <c r="K148" i="88"/>
  <c r="I148" i="88"/>
  <c r="G148" i="88"/>
  <c r="E148" i="88"/>
  <c r="C148" i="88"/>
  <c r="Q147" i="88"/>
  <c r="O147" i="88"/>
  <c r="M147" i="88"/>
  <c r="K147" i="88"/>
  <c r="I147" i="88"/>
  <c r="G147" i="88"/>
  <c r="E147" i="88"/>
  <c r="C147" i="88"/>
  <c r="Q146" i="88"/>
  <c r="O146" i="88"/>
  <c r="M146" i="88"/>
  <c r="K146" i="88"/>
  <c r="I146" i="88"/>
  <c r="G146" i="88"/>
  <c r="E146" i="88"/>
  <c r="C146" i="88"/>
  <c r="Q145" i="88"/>
  <c r="O145" i="88"/>
  <c r="M145" i="88"/>
  <c r="K145" i="88"/>
  <c r="I145" i="88"/>
  <c r="G145" i="88"/>
  <c r="E145" i="88"/>
  <c r="C145" i="88"/>
  <c r="Q144" i="88"/>
  <c r="O144" i="88"/>
  <c r="M144" i="88"/>
  <c r="K144" i="88"/>
  <c r="I144" i="88"/>
  <c r="G144" i="88"/>
  <c r="E144" i="88"/>
  <c r="C144" i="88"/>
  <c r="Q143" i="88"/>
  <c r="O143" i="88"/>
  <c r="M143" i="88"/>
  <c r="K143" i="88"/>
  <c r="I143" i="88"/>
  <c r="G143" i="88"/>
  <c r="E143" i="88"/>
  <c r="C143" i="88"/>
  <c r="Q142" i="88"/>
  <c r="O142" i="88"/>
  <c r="M142" i="88"/>
  <c r="K142" i="88"/>
  <c r="I142" i="88"/>
  <c r="G142" i="88"/>
  <c r="E142" i="88"/>
  <c r="C142" i="88"/>
  <c r="Q141" i="88"/>
  <c r="O141" i="88"/>
  <c r="M141" i="88"/>
  <c r="K141" i="88"/>
  <c r="I141" i="88"/>
  <c r="G141" i="88"/>
  <c r="E141" i="88"/>
  <c r="C141" i="88"/>
  <c r="Q140" i="88"/>
  <c r="O140" i="88"/>
  <c r="M140" i="88"/>
  <c r="K140" i="88"/>
  <c r="I140" i="88"/>
  <c r="G140" i="88"/>
  <c r="E140" i="88"/>
  <c r="C140" i="88"/>
  <c r="Q139" i="88"/>
  <c r="O139" i="88"/>
  <c r="M139" i="88"/>
  <c r="K139" i="88"/>
  <c r="I139" i="88"/>
  <c r="G139" i="88"/>
  <c r="E139" i="88"/>
  <c r="C139" i="88"/>
  <c r="Q138" i="88"/>
  <c r="O138" i="88"/>
  <c r="M138" i="88"/>
  <c r="K138" i="88"/>
  <c r="I138" i="88"/>
  <c r="G138" i="88"/>
  <c r="E138" i="88"/>
  <c r="C138" i="88"/>
  <c r="Q137" i="88"/>
  <c r="O137" i="88"/>
  <c r="M137" i="88"/>
  <c r="K137" i="88"/>
  <c r="I137" i="88"/>
  <c r="G137" i="88"/>
  <c r="E137" i="88"/>
  <c r="C137" i="88"/>
  <c r="Q136" i="88"/>
  <c r="O136" i="88"/>
  <c r="M136" i="88"/>
  <c r="K136" i="88"/>
  <c r="I136" i="88"/>
  <c r="G136" i="88"/>
  <c r="E136" i="88"/>
  <c r="C136" i="88"/>
  <c r="Q135" i="88"/>
  <c r="O135" i="88"/>
  <c r="M135" i="88"/>
  <c r="K135" i="88"/>
  <c r="I135" i="88"/>
  <c r="G135" i="88"/>
  <c r="E135" i="88"/>
  <c r="C135" i="88"/>
  <c r="Q134" i="88"/>
  <c r="O134" i="88"/>
  <c r="M134" i="88"/>
  <c r="K134" i="88"/>
  <c r="I134" i="88"/>
  <c r="G134" i="88"/>
  <c r="E134" i="88"/>
  <c r="C134" i="88"/>
  <c r="Q133" i="88"/>
  <c r="O133" i="88"/>
  <c r="M133" i="88"/>
  <c r="K133" i="88"/>
  <c r="I133" i="88"/>
  <c r="G133" i="88"/>
  <c r="E133" i="88"/>
  <c r="C133" i="88"/>
  <c r="Q132" i="88"/>
  <c r="O132" i="88"/>
  <c r="M132" i="88"/>
  <c r="K132" i="88"/>
  <c r="I132" i="88"/>
  <c r="G132" i="88"/>
  <c r="E132" i="88"/>
  <c r="C132" i="88"/>
  <c r="Q131" i="88"/>
  <c r="O131" i="88"/>
  <c r="M131" i="88"/>
  <c r="K131" i="88"/>
  <c r="I131" i="88"/>
  <c r="G131" i="88"/>
  <c r="E131" i="88"/>
  <c r="C131" i="88"/>
  <c r="Q130" i="88"/>
  <c r="O130" i="88"/>
  <c r="M130" i="88"/>
  <c r="K130" i="88"/>
  <c r="I130" i="88"/>
  <c r="G130" i="88"/>
  <c r="E130" i="88"/>
  <c r="C130" i="88"/>
  <c r="Q129" i="88"/>
  <c r="O129" i="88"/>
  <c r="M129" i="88"/>
  <c r="K129" i="88"/>
  <c r="I129" i="88"/>
  <c r="G129" i="88"/>
  <c r="E129" i="88"/>
  <c r="C129" i="88"/>
  <c r="Q128" i="88"/>
  <c r="O128" i="88"/>
  <c r="M128" i="88"/>
  <c r="K128" i="88"/>
  <c r="I128" i="88"/>
  <c r="G128" i="88"/>
  <c r="E128" i="88"/>
  <c r="C128" i="88"/>
  <c r="Q127" i="88"/>
  <c r="O127" i="88"/>
  <c r="M127" i="88"/>
  <c r="K127" i="88"/>
  <c r="I127" i="88"/>
  <c r="G127" i="88"/>
  <c r="E127" i="88"/>
  <c r="C127" i="88"/>
  <c r="Q126" i="88"/>
  <c r="O126" i="88"/>
  <c r="M126" i="88"/>
  <c r="K126" i="88"/>
  <c r="I126" i="88"/>
  <c r="G126" i="88"/>
  <c r="E126" i="88"/>
  <c r="C126" i="88"/>
  <c r="Q125" i="88"/>
  <c r="O125" i="88"/>
  <c r="M125" i="88"/>
  <c r="K125" i="88"/>
  <c r="I125" i="88"/>
  <c r="G125" i="88"/>
  <c r="E125" i="88"/>
  <c r="C125" i="88"/>
  <c r="Q124" i="88"/>
  <c r="O124" i="88"/>
  <c r="M124" i="88"/>
  <c r="K124" i="88"/>
  <c r="I124" i="88"/>
  <c r="G124" i="88"/>
  <c r="E124" i="88"/>
  <c r="C124" i="88"/>
  <c r="Q123" i="88"/>
  <c r="O123" i="88"/>
  <c r="M123" i="88"/>
  <c r="K123" i="88"/>
  <c r="I123" i="88"/>
  <c r="G123" i="88"/>
  <c r="E123" i="88"/>
  <c r="C123" i="88"/>
  <c r="Q122" i="88"/>
  <c r="O122" i="88"/>
  <c r="M122" i="88"/>
  <c r="K122" i="88"/>
  <c r="I122" i="88"/>
  <c r="G122" i="88"/>
  <c r="E122" i="88"/>
  <c r="C122" i="88"/>
  <c r="Q121" i="88"/>
  <c r="O121" i="88"/>
  <c r="M121" i="88"/>
  <c r="K121" i="88"/>
  <c r="I121" i="88"/>
  <c r="G121" i="88"/>
  <c r="E121" i="88"/>
  <c r="C121" i="88"/>
  <c r="Q120" i="88"/>
  <c r="O120" i="88"/>
  <c r="M120" i="88"/>
  <c r="K120" i="88"/>
  <c r="I120" i="88"/>
  <c r="G120" i="88"/>
  <c r="E120" i="88"/>
  <c r="C120" i="88"/>
  <c r="Q119" i="88"/>
  <c r="O119" i="88"/>
  <c r="M119" i="88"/>
  <c r="K119" i="88"/>
  <c r="I119" i="88"/>
  <c r="G119" i="88"/>
  <c r="E119" i="88"/>
  <c r="C119" i="88"/>
  <c r="Q118" i="88"/>
  <c r="O118" i="88"/>
  <c r="M118" i="88"/>
  <c r="K118" i="88"/>
  <c r="I118" i="88"/>
  <c r="G118" i="88"/>
  <c r="E118" i="88"/>
  <c r="C118" i="88"/>
  <c r="Q117" i="88"/>
  <c r="O117" i="88"/>
  <c r="M117" i="88"/>
  <c r="K117" i="88"/>
  <c r="I117" i="88"/>
  <c r="G117" i="88"/>
  <c r="E117" i="88"/>
  <c r="C117" i="88"/>
  <c r="Q116" i="88"/>
  <c r="O116" i="88"/>
  <c r="M116" i="88"/>
  <c r="K116" i="88"/>
  <c r="I116" i="88"/>
  <c r="G116" i="88"/>
  <c r="E116" i="88"/>
  <c r="C116" i="88"/>
  <c r="Q115" i="88"/>
  <c r="O115" i="88"/>
  <c r="M115" i="88"/>
  <c r="K115" i="88"/>
  <c r="I115" i="88"/>
  <c r="G115" i="88"/>
  <c r="E115" i="88"/>
  <c r="C115" i="88"/>
  <c r="Q114" i="88"/>
  <c r="O114" i="88"/>
  <c r="M114" i="88"/>
  <c r="K114" i="88"/>
  <c r="I114" i="88"/>
  <c r="G114" i="88"/>
  <c r="E114" i="88"/>
  <c r="C114" i="88"/>
  <c r="Q113" i="88"/>
  <c r="O113" i="88"/>
  <c r="M113" i="88"/>
  <c r="K113" i="88"/>
  <c r="I113" i="88"/>
  <c r="G113" i="88"/>
  <c r="E113" i="88"/>
  <c r="C113" i="88"/>
  <c r="Q112" i="88"/>
  <c r="O112" i="88"/>
  <c r="M112" i="88"/>
  <c r="K112" i="88"/>
  <c r="I112" i="88"/>
  <c r="G112" i="88"/>
  <c r="E112" i="88"/>
  <c r="C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C108" i="88"/>
  <c r="Q107" i="88"/>
  <c r="O107" i="88"/>
  <c r="M107" i="88"/>
  <c r="K107" i="88"/>
  <c r="I107" i="88"/>
  <c r="G107" i="88"/>
  <c r="E107" i="88"/>
  <c r="C107" i="88"/>
  <c r="Q106" i="88"/>
  <c r="O106" i="88"/>
  <c r="M106" i="88"/>
  <c r="K106" i="88"/>
  <c r="I106" i="88"/>
  <c r="G106" i="88"/>
  <c r="E106" i="88"/>
  <c r="C106" i="88"/>
  <c r="Q105" i="88"/>
  <c r="O105" i="88"/>
  <c r="M105" i="88"/>
  <c r="K105" i="88"/>
  <c r="I105" i="88"/>
  <c r="G105" i="88"/>
  <c r="E105" i="88"/>
  <c r="C105" i="88"/>
  <c r="Q104" i="88"/>
  <c r="O104" i="88"/>
  <c r="M104" i="88"/>
  <c r="K104" i="88"/>
  <c r="I104" i="88"/>
  <c r="G104" i="88"/>
  <c r="E104" i="88"/>
  <c r="C104" i="88"/>
  <c r="Q103" i="88"/>
  <c r="O103" i="88"/>
  <c r="M103" i="88"/>
  <c r="K103" i="88"/>
  <c r="I103" i="88"/>
  <c r="G103" i="88"/>
  <c r="E103" i="88"/>
  <c r="C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B22"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S194" i="83"/>
  <c r="S193" i="83"/>
  <c r="T359" i="83"/>
  <c r="T358" i="83"/>
  <c r="T287" i="83"/>
  <c r="T286" i="83"/>
  <c r="T242" i="83"/>
  <c r="T241" i="83"/>
  <c r="S113" i="83"/>
  <c r="S112" i="83"/>
  <c r="D92" i="35"/>
  <c r="E92" i="35" s="1"/>
  <c r="F92" i="35" s="1"/>
  <c r="G92" i="35" s="1"/>
  <c r="H92" i="35" s="1"/>
  <c r="T65" i="83"/>
  <c r="T64" i="8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B25" i="31"/>
  <c r="A25" i="31"/>
  <c r="B24" i="31"/>
  <c r="A24" i="31"/>
  <c r="I38" i="39"/>
  <c r="G38" i="39"/>
  <c r="E38" i="39"/>
  <c r="I5" i="39"/>
  <c r="G5" i="39"/>
  <c r="E5" i="39"/>
  <c r="E70" i="39"/>
  <c r="F70" i="39" s="1"/>
  <c r="G70" i="39" s="1"/>
  <c r="H70" i="39" s="1"/>
  <c r="I70" i="39" s="1"/>
  <c r="J70" i="39" s="1"/>
  <c r="K70" i="39" s="1"/>
  <c r="L70" i="39" s="1"/>
  <c r="M70" i="39" s="1"/>
  <c r="N70" i="39" s="1"/>
  <c r="O70" i="39" s="1"/>
  <c r="D70" i="39"/>
  <c r="I7" i="39"/>
  <c r="G7" i="39"/>
  <c r="E7" i="39"/>
  <c r="I7" i="35"/>
  <c r="G7" i="35"/>
  <c r="E7" i="35"/>
  <c r="T233" i="82"/>
  <c r="S193" i="82"/>
  <c r="S73" i="82"/>
  <c r="I7" i="21"/>
  <c r="G7" i="21"/>
  <c r="E7" i="21"/>
  <c r="C31" i="35"/>
  <c r="F20" i="88"/>
  <c r="I13" i="3" l="1"/>
  <c r="F19" i="6" s="1"/>
  <c r="O36" i="89"/>
  <c r="N21" i="89" s="1"/>
  <c r="A3" i="3" s="1"/>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L5" i="83" l="1"/>
  <c r="L4" i="83"/>
  <c r="A124" i="80" l="1"/>
  <c r="A120" i="80"/>
  <c r="A118" i="80"/>
  <c r="E111" i="80"/>
  <c r="A126" i="80" s="1"/>
  <c r="H109" i="80"/>
  <c r="D124" i="80" s="1"/>
  <c r="D125" i="80" s="1"/>
  <c r="E109" i="80"/>
  <c r="E107" i="80"/>
  <c r="A122" i="80" s="1"/>
  <c r="H106" i="80"/>
  <c r="H105" i="80"/>
  <c r="H104" i="80"/>
  <c r="H103" i="80"/>
  <c r="D120" i="80" s="1"/>
  <c r="D101" i="80"/>
  <c r="C101" i="80"/>
  <c r="C91" i="80"/>
  <c r="E90" i="80"/>
  <c r="D89" i="80"/>
  <c r="C89" i="80" s="1"/>
  <c r="C87" i="80" s="1"/>
  <c r="H77" i="80"/>
  <c r="D77" i="80"/>
  <c r="C76" i="80"/>
  <c r="F59" i="80"/>
  <c r="E59" i="80"/>
  <c r="N56" i="80"/>
  <c r="M56" i="80"/>
  <c r="K56" i="80"/>
  <c r="J56" i="80"/>
  <c r="J57" i="80" s="1"/>
  <c r="J59" i="80" s="1"/>
  <c r="J61" i="80" s="1"/>
  <c r="F56" i="80"/>
  <c r="O55" i="80"/>
  <c r="N55" i="80"/>
  <c r="K55" i="80"/>
  <c r="J55" i="80"/>
  <c r="I55" i="80"/>
  <c r="F55" i="80"/>
  <c r="O54" i="80"/>
  <c r="N54" i="80"/>
  <c r="O53" i="80"/>
  <c r="N53" i="80"/>
  <c r="K49" i="80"/>
  <c r="E48" i="80"/>
  <c r="N52" i="80" s="1"/>
  <c r="D48" i="80"/>
  <c r="M52" i="80" s="1"/>
  <c r="M47" i="80"/>
  <c r="F33" i="80"/>
  <c r="D27" i="80"/>
  <c r="C25" i="80"/>
  <c r="C24" i="80"/>
  <c r="D17" i="80"/>
  <c r="C17" i="80"/>
  <c r="C18" i="80" s="1"/>
  <c r="D18" i="80" s="1"/>
  <c r="L4" i="80"/>
  <c r="K4" i="80"/>
  <c r="A2" i="80"/>
  <c r="H1" i="80"/>
  <c r="D35" i="80"/>
  <c r="D34" i="80"/>
  <c r="C92" i="80" l="1"/>
  <c r="C94" i="80"/>
  <c r="K120" i="80"/>
  <c r="D121" i="80"/>
  <c r="H112" i="80"/>
  <c r="H110" i="80"/>
  <c r="H111" i="80"/>
  <c r="D126" i="80" s="1"/>
  <c r="D127" i="80"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D83" i="21"/>
  <c r="E83" i="21" s="1"/>
  <c r="F21" i="21"/>
  <c r="AA21" i="21" s="1"/>
  <c r="D81" i="21"/>
  <c r="G20" i="20"/>
  <c r="B88" i="43" s="1"/>
  <c r="C22" i="20"/>
  <c r="C25" i="40"/>
  <c r="S25" i="40"/>
  <c r="S18" i="36"/>
  <c r="U18" i="36"/>
  <c r="F94" i="40"/>
  <c r="H25" i="40"/>
  <c r="G94" i="40"/>
  <c r="J25" i="40"/>
  <c r="H29" i="39"/>
  <c r="J29" i="39"/>
  <c r="AC29" i="39" s="1"/>
  <c r="G66" i="36"/>
  <c r="J18" i="36"/>
  <c r="F68" i="35"/>
  <c r="G68" i="35" s="1"/>
  <c r="H18" i="35"/>
  <c r="AB18" i="35" s="1"/>
  <c r="J18" i="35"/>
  <c r="W18" i="35" s="1"/>
  <c r="H21" i="37"/>
  <c r="AB21" i="37" s="1"/>
  <c r="F21" i="37"/>
  <c r="H21" i="34"/>
  <c r="F83" i="33"/>
  <c r="G83" i="33" s="1"/>
  <c r="H21" i="33"/>
  <c r="F21" i="33"/>
  <c r="AA21" i="33" s="1"/>
  <c r="H1" i="69"/>
  <c r="AC25" i="40"/>
  <c r="W25" i="40"/>
  <c r="AB25" i="40"/>
  <c r="U25" i="40"/>
  <c r="AC18" i="36"/>
  <c r="W18" i="36"/>
  <c r="U21" i="37"/>
  <c r="AA21" i="37"/>
  <c r="S21" i="37"/>
  <c r="AB21" i="34"/>
  <c r="U21" i="34"/>
  <c r="U21" i="33"/>
  <c r="AB21" i="33"/>
  <c r="S21" i="33"/>
  <c r="AC18" i="35"/>
  <c r="J21" i="37"/>
  <c r="W21" i="37" s="1"/>
  <c r="J21" i="34"/>
  <c r="W21" i="34" s="1"/>
  <c r="J21" i="33"/>
  <c r="W21" i="33" s="1"/>
  <c r="F83" i="21"/>
  <c r="H21" i="21"/>
  <c r="U21" i="21" s="1"/>
  <c r="F38" i="69"/>
  <c r="E37" i="69"/>
  <c r="F36" i="69"/>
  <c r="F35" i="69"/>
  <c r="F21" i="69"/>
  <c r="F40" i="69" s="1"/>
  <c r="F20" i="69"/>
  <c r="F39" i="69" s="1"/>
  <c r="E10" i="69"/>
  <c r="E9" i="69"/>
  <c r="AC21" i="37"/>
  <c r="AC21" i="34"/>
  <c r="AC21" i="33"/>
  <c r="AB21" i="21"/>
  <c r="G83" i="21"/>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R501" i="31"/>
  <c r="R502" i="31"/>
  <c r="S502" i="31" s="1"/>
  <c r="R503" i="31"/>
  <c r="R504" i="31"/>
  <c r="R505" i="3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93" i="9" s="1"/>
  <c r="BQ13" i="3"/>
  <c r="BQ14" i="3"/>
  <c r="BQ15" i="3"/>
  <c r="BQ16" i="3"/>
  <c r="BQ17" i="3"/>
  <c r="BS13" i="3"/>
  <c r="BS14" i="3"/>
  <c r="BS15" i="3"/>
  <c r="BS16" i="3"/>
  <c r="BS17" i="3"/>
  <c r="BR14" i="3"/>
  <c r="BR15" i="3"/>
  <c r="BR16" i="3"/>
  <c r="BL16" i="3" s="1"/>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495" i="31"/>
  <c r="S491" i="31"/>
  <c r="S487" i="31"/>
  <c r="S483" i="31"/>
  <c r="S479" i="31"/>
  <c r="S475" i="31"/>
  <c r="S471" i="31"/>
  <c r="S444" i="31"/>
  <c r="S442" i="31"/>
  <c r="S440" i="31"/>
  <c r="S438" i="31"/>
  <c r="S436" i="31"/>
  <c r="S434" i="31"/>
  <c r="S432" i="31"/>
  <c r="S430" i="31"/>
  <c r="S504" i="31"/>
  <c r="S500" i="31"/>
  <c r="S465" i="31"/>
  <c r="S461" i="31"/>
  <c r="S457" i="31"/>
  <c r="S456" i="31"/>
  <c r="S455" i="31"/>
  <c r="S454" i="31"/>
  <c r="S453" i="31"/>
  <c r="S452" i="31"/>
  <c r="S451" i="31"/>
  <c r="S45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E5" i="3" s="1"/>
  <c r="BF493" i="3"/>
  <c r="BG493" i="3"/>
  <c r="BH493" i="3"/>
  <c r="BI493" i="3"/>
  <c r="BI5" i="3" s="1"/>
  <c r="BJ493" i="3"/>
  <c r="BK493" i="3"/>
  <c r="BM493" i="3"/>
  <c r="BN493" i="3"/>
  <c r="BL493" i="3" s="1"/>
  <c r="BO493" i="3"/>
  <c r="BP493" i="3"/>
  <c r="BP5" i="3" s="1"/>
  <c r="BR493" i="3"/>
  <c r="BS493" i="3"/>
  <c r="BT493" i="3"/>
  <c r="H494" i="3"/>
  <c r="G494" i="3" s="1"/>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G28" i="6"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AZ503" i="3" s="1"/>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AZ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L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L519" i="3" s="1"/>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AZ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L527" i="3" s="1"/>
  <c r="AZ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AZ531" i="3" s="1"/>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L535" i="3" s="1"/>
  <c r="AZ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AZ539" i="3" s="1"/>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L549" i="3" s="1"/>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L577" i="3" s="1"/>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D87" i="35"/>
  <c r="E87" i="35" s="1"/>
  <c r="F87" i="35" s="1"/>
  <c r="G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6" i="31"/>
  <c r="S518" i="31"/>
  <c r="S520" i="31"/>
  <c r="S522"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H44" i="21" s="1"/>
  <c r="B98" i="21"/>
  <c r="H31" i="21"/>
  <c r="AB31" i="21" s="1"/>
  <c r="B96" i="21"/>
  <c r="B94" i="21"/>
  <c r="J29" i="21" s="1"/>
  <c r="AC29" i="21" s="1"/>
  <c r="B92" i="21"/>
  <c r="B90" i="21"/>
  <c r="J27" i="21" s="1"/>
  <c r="W27" i="21" s="1"/>
  <c r="B74" i="21"/>
  <c r="B72" i="21"/>
  <c r="H13" i="21" s="1"/>
  <c r="AB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F29" i="36"/>
  <c r="AA29" i="36" s="1"/>
  <c r="F16" i="36"/>
  <c r="AA16" i="36" s="1"/>
  <c r="U9" i="36"/>
  <c r="U31" i="36"/>
  <c r="H22" i="35"/>
  <c r="AB22" i="35" s="1"/>
  <c r="AC27"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F34" i="39" s="1"/>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J19" i="39"/>
  <c r="AC19" i="39" s="1"/>
  <c r="J1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W23" i="34" s="1"/>
  <c r="F19" i="34"/>
  <c r="H17" i="34"/>
  <c r="U17" i="34" s="1"/>
  <c r="F15" i="34"/>
  <c r="AA15" i="34" s="1"/>
  <c r="J15" i="34"/>
  <c r="H15" i="34"/>
  <c r="AB15" i="34" s="1"/>
  <c r="W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AC13" i="33" s="1"/>
  <c r="J29" i="33"/>
  <c r="F29" i="33"/>
  <c r="S29" i="33" s="1"/>
  <c r="H31" i="33"/>
  <c r="AB31" i="33" s="1"/>
  <c r="J45" i="33"/>
  <c r="W45" i="33" s="1"/>
  <c r="J14" i="34"/>
  <c r="W14" i="34" s="1"/>
  <c r="H14" i="34"/>
  <c r="U14" i="34" s="1"/>
  <c r="J30" i="34"/>
  <c r="J32" i="34"/>
  <c r="W32" i="34" s="1"/>
  <c r="F46" i="34"/>
  <c r="S46" i="34" s="1"/>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c r="J13" i="37"/>
  <c r="W13" i="37" s="1"/>
  <c r="F28" i="37"/>
  <c r="AA28" i="37" s="1"/>
  <c r="J28" i="37"/>
  <c r="AC28" i="37" s="1"/>
  <c r="H28" i="37"/>
  <c r="U28" i="37" s="1"/>
  <c r="H38" i="37"/>
  <c r="AB38" i="37" s="1"/>
  <c r="J38" i="37"/>
  <c r="AC38" i="37" s="1"/>
  <c r="F38" i="37"/>
  <c r="S38" i="37" s="1"/>
  <c r="H43" i="39"/>
  <c r="U43" i="39" s="1"/>
  <c r="J14" i="39"/>
  <c r="AC14" i="39" s="1"/>
  <c r="F14" i="39"/>
  <c r="S14" i="39" s="1"/>
  <c r="H14" i="39"/>
  <c r="AB14" i="39"/>
  <c r="F12" i="40"/>
  <c r="S12" i="40"/>
  <c r="H12" i="40"/>
  <c r="AB12" i="40"/>
  <c r="H30" i="40"/>
  <c r="AB30" i="40"/>
  <c r="J35" i="40"/>
  <c r="AC35" i="40"/>
  <c r="J37" i="40"/>
  <c r="AC37" i="40"/>
  <c r="J13" i="39"/>
  <c r="W13" i="39" s="1"/>
  <c r="H14" i="40"/>
  <c r="AB14" i="40" s="1"/>
  <c r="J14" i="40"/>
  <c r="W14" i="40" s="1"/>
  <c r="F14" i="40"/>
  <c r="AA14" i="40" s="1"/>
  <c r="J14" i="37"/>
  <c r="AC14" i="37" s="1"/>
  <c r="AA44" i="33"/>
  <c r="U31" i="34"/>
  <c r="AA14" i="33"/>
  <c r="J36" i="37"/>
  <c r="AC36" i="37"/>
  <c r="J10" i="36"/>
  <c r="AC10" i="36" s="1"/>
  <c r="AB26" i="33"/>
  <c r="AB30" i="21"/>
  <c r="W31" i="34"/>
  <c r="S11" i="36"/>
  <c r="U31" i="33"/>
  <c r="BA586" i="3"/>
  <c r="AZ586" i="3" s="1"/>
  <c r="F17" i="21"/>
  <c r="AA17" i="21" s="1"/>
  <c r="H17" i="21"/>
  <c r="AB17" i="21" s="1"/>
  <c r="J41" i="39"/>
  <c r="W41" i="39" s="1"/>
  <c r="W44" i="39"/>
  <c r="W35" i="39"/>
  <c r="U36"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AZ546" i="3" s="1"/>
  <c r="BA544" i="3"/>
  <c r="AZ544" i="3"/>
  <c r="BA542" i="3"/>
  <c r="AZ542" i="3"/>
  <c r="BA528" i="3"/>
  <c r="BA526" i="3"/>
  <c r="AZ526" i="3" s="1"/>
  <c r="BA524" i="3"/>
  <c r="BA522" i="3"/>
  <c r="AZ522" i="3" s="1"/>
  <c r="BA518" i="3"/>
  <c r="AZ518" i="3" s="1"/>
  <c r="BA516" i="3"/>
  <c r="AZ516" i="3" s="1"/>
  <c r="BA514" i="3"/>
  <c r="BA506" i="3"/>
  <c r="BA500" i="3"/>
  <c r="BA494" i="3"/>
  <c r="BA587" i="3"/>
  <c r="BA583" i="3"/>
  <c r="BA581" i="3"/>
  <c r="AZ581" i="3" s="1"/>
  <c r="BA579" i="3"/>
  <c r="AZ579" i="3" s="1"/>
  <c r="BA575" i="3"/>
  <c r="AZ575" i="3" s="1"/>
  <c r="BA573" i="3"/>
  <c r="BA571" i="3"/>
  <c r="AZ571" i="3" s="1"/>
  <c r="BA569" i="3"/>
  <c r="BA567" i="3"/>
  <c r="AZ567" i="3" s="1"/>
  <c r="BA563" i="3"/>
  <c r="AZ563" i="3" s="1"/>
  <c r="BA559" i="3"/>
  <c r="BA555" i="3"/>
  <c r="BA553" i="3"/>
  <c r="BA547" i="3"/>
  <c r="BA545" i="3"/>
  <c r="BA543" i="3"/>
  <c r="BA539" i="3"/>
  <c r="BA535" i="3"/>
  <c r="BA531" i="3"/>
  <c r="BA527" i="3"/>
  <c r="BA523" i="3"/>
  <c r="BA517" i="3"/>
  <c r="AZ517" i="3" s="1"/>
  <c r="BA513" i="3"/>
  <c r="AZ513" i="3" s="1"/>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U35" i="35"/>
  <c r="W23" i="35"/>
  <c r="AB28" i="37"/>
  <c r="U39" i="37"/>
  <c r="W26" i="37"/>
  <c r="U26" i="37"/>
  <c r="AB13" i="34"/>
  <c r="AC36" i="34"/>
  <c r="AC45" i="33"/>
  <c r="W44" i="33"/>
  <c r="U11" i="33"/>
  <c r="AC46" i="21"/>
  <c r="AB38" i="21"/>
  <c r="F43" i="33"/>
  <c r="AA43" i="33"/>
  <c r="W15" i="34"/>
  <c r="AC15" i="34"/>
  <c r="W40" i="37"/>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AC43" i="39"/>
  <c r="U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J19" i="40"/>
  <c r="AC19" i="40" s="1"/>
  <c r="J50" i="40"/>
  <c r="H103" i="9"/>
  <c r="D8" i="53" s="1"/>
  <c r="B16" i="53"/>
  <c r="B33" i="72" s="1"/>
  <c r="C7" i="34"/>
  <c r="W35" i="40"/>
  <c r="A118" i="9"/>
  <c r="A4" i="52"/>
  <c r="B41" i="72" s="1"/>
  <c r="J11" i="39"/>
  <c r="W11" i="39" s="1"/>
  <c r="F11" i="39"/>
  <c r="AA11" i="39" s="1"/>
  <c r="G4" i="4"/>
  <c r="I4" i="4"/>
  <c r="A2" i="9"/>
  <c r="F61" i="43"/>
  <c r="H64" i="43" s="1"/>
  <c r="AZ20" i="3"/>
  <c r="AZ24" i="3"/>
  <c r="AZ28" i="3"/>
  <c r="AZ32" i="3"/>
  <c r="AZ494"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G548" i="3"/>
  <c r="G520" i="3"/>
  <c r="BS5" i="3"/>
  <c r="BN5" i="3"/>
  <c r="BK5" i="3"/>
  <c r="BG5" i="3"/>
  <c r="BC5" i="3"/>
  <c r="G17" i="3"/>
  <c r="BA17" i="3"/>
  <c r="AZ17" i="3" s="1"/>
  <c r="AZ350" i="3"/>
  <c r="AZ356" i="3"/>
  <c r="AZ364" i="3"/>
  <c r="AZ368" i="3"/>
  <c r="BA15" i="3"/>
  <c r="AZ15" i="3" s="1"/>
  <c r="BB5" i="3"/>
  <c r="E5" i="6" s="1"/>
  <c r="AZ380" i="3"/>
  <c r="AZ388" i="3"/>
  <c r="AZ396" i="3"/>
  <c r="AZ499" i="3"/>
  <c r="G509" i="3"/>
  <c r="AZ491" i="3"/>
  <c r="AZ390" i="3"/>
  <c r="F83" i="43"/>
  <c r="H85" i="43" s="1"/>
  <c r="F50" i="43"/>
  <c r="H54" i="43" s="1"/>
  <c r="F72" i="43"/>
  <c r="H75" i="43" s="1"/>
  <c r="U17" i="39"/>
  <c r="U35" i="21"/>
  <c r="AC35" i="21"/>
  <c r="G8" i="1"/>
  <c r="G10" i="1"/>
  <c r="W37" i="37"/>
  <c r="W44" i="34"/>
  <c r="AC44" i="34"/>
  <c r="S15" i="37"/>
  <c r="U13" i="37"/>
  <c r="U12" i="40"/>
  <c r="AA12" i="40"/>
  <c r="J37" i="33"/>
  <c r="W37" i="33" s="1"/>
  <c r="AC17" i="34"/>
  <c r="J34" i="33"/>
  <c r="W34" i="33"/>
  <c r="F33" i="34"/>
  <c r="S33" i="34"/>
  <c r="W12" i="36"/>
  <c r="AC12" i="36"/>
  <c r="H20" i="36"/>
  <c r="U20" i="36"/>
  <c r="J20" i="36"/>
  <c r="W20" i="36"/>
  <c r="J27" i="36"/>
  <c r="W27" i="36" s="1"/>
  <c r="H35" i="40"/>
  <c r="AB35" i="40"/>
  <c r="H35" i="37"/>
  <c r="U35" i="37"/>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W26" i="33"/>
  <c r="AC27" i="34"/>
  <c r="AB34" i="36"/>
  <c r="U34" i="36"/>
  <c r="AC12" i="39"/>
  <c r="W12" i="39"/>
  <c r="AC39" i="40"/>
  <c r="W39" i="40"/>
  <c r="AZ401" i="3"/>
  <c r="AZ412" i="3"/>
  <c r="AZ417" i="3"/>
  <c r="AZ428" i="3"/>
  <c r="AZ433" i="3"/>
  <c r="AZ465" i="3"/>
  <c r="W12" i="33"/>
  <c r="AZ408" i="3"/>
  <c r="AZ437" i="3"/>
  <c r="AZ441" i="3"/>
  <c r="AZ457" i="3"/>
  <c r="AZ473" i="3"/>
  <c r="AZ490" i="3"/>
  <c r="AA39" i="34"/>
  <c r="BL14" i="3"/>
  <c r="AZ266" i="3"/>
  <c r="U30" i="33"/>
  <c r="AC13" i="34"/>
  <c r="AA47" i="34"/>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W38" i="40"/>
  <c r="AA32" i="40"/>
  <c r="S17" i="40"/>
  <c r="S23" i="40"/>
  <c r="AC17" i="40"/>
  <c r="AC15" i="40"/>
  <c r="S30" i="40"/>
  <c r="S28" i="40"/>
  <c r="U21" i="40"/>
  <c r="U37" i="39"/>
  <c r="S37" i="39"/>
  <c r="F32" i="39"/>
  <c r="AA32" i="39" s="1"/>
  <c r="U25" i="39"/>
  <c r="U31" i="39"/>
  <c r="J21" i="39"/>
  <c r="W21" i="39" s="1"/>
  <c r="F21" i="39"/>
  <c r="AA21" i="39" s="1"/>
  <c r="H21" i="39"/>
  <c r="AB21" i="39" s="1"/>
  <c r="W19" i="39"/>
  <c r="U19" i="39"/>
  <c r="S15" i="39"/>
  <c r="S9" i="39"/>
  <c r="U14" i="39"/>
  <c r="AC13" i="39"/>
  <c r="U13" i="36"/>
  <c r="U26" i="36"/>
  <c r="AA26" i="36"/>
  <c r="AA34" i="36"/>
  <c r="AC26" i="36"/>
  <c r="W14" i="36"/>
  <c r="AB14" i="36"/>
  <c r="U22" i="36"/>
  <c r="S16" i="36"/>
  <c r="U24" i="36"/>
  <c r="AB20" i="36"/>
  <c r="U16" i="36"/>
  <c r="S14" i="36"/>
  <c r="AA25" i="35"/>
  <c r="S23" i="35"/>
  <c r="AB13" i="35"/>
  <c r="U32" i="35"/>
  <c r="AA33" i="35"/>
  <c r="S32" i="35"/>
  <c r="U22" i="35"/>
  <c r="AC20" i="35"/>
  <c r="U14" i="35"/>
  <c r="AC9" i="35"/>
  <c r="W9" i="35"/>
  <c r="F9" i="35"/>
  <c r="S9" i="35" s="1"/>
  <c r="H9" i="35"/>
  <c r="U9" i="35" s="1"/>
  <c r="S26" i="37"/>
  <c r="AC29" i="37"/>
  <c r="U29" i="37"/>
  <c r="S32" i="37"/>
  <c r="AB31" i="37"/>
  <c r="W30" i="37"/>
  <c r="S36" i="37"/>
  <c r="AA38" i="37"/>
  <c r="U32" i="37"/>
  <c r="W38"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S17" i="34"/>
  <c r="U27" i="34"/>
  <c r="S23" i="34"/>
  <c r="U15" i="34"/>
  <c r="H10" i="34"/>
  <c r="AB10" i="34" s="1"/>
  <c r="F11" i="34"/>
  <c r="S11" i="34" s="1"/>
  <c r="F70" i="34"/>
  <c r="G70" i="34" s="1"/>
  <c r="H70" i="34" s="1"/>
  <c r="I70" i="34" s="1"/>
  <c r="J70" i="34" s="1"/>
  <c r="K70" i="34" s="1"/>
  <c r="L70" i="34" s="1"/>
  <c r="M70" i="34" s="1"/>
  <c r="AA35" i="33"/>
  <c r="S27" i="33"/>
  <c r="S32" i="33"/>
  <c r="W38" i="33"/>
  <c r="H41" i="33"/>
  <c r="U41" i="33" s="1"/>
  <c r="S42" i="33"/>
  <c r="F36" i="33"/>
  <c r="AA36" i="33" s="1"/>
  <c r="G111" i="33"/>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S15" i="33"/>
  <c r="W15" i="33"/>
  <c r="U9" i="33"/>
  <c r="J10" i="33"/>
  <c r="W10" i="33" s="1"/>
  <c r="H10" i="33"/>
  <c r="U10" i="33" s="1"/>
  <c r="AC11" i="33"/>
  <c r="AB14" i="33"/>
  <c r="W43" i="21"/>
  <c r="W41" i="21"/>
  <c r="AB39" i="21"/>
  <c r="AA38" i="21"/>
  <c r="AA36" i="21"/>
  <c r="F77" i="21"/>
  <c r="G77" i="21" s="1"/>
  <c r="F23" i="21"/>
  <c r="S23"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W25" i="39"/>
  <c r="AA14" i="39"/>
  <c r="AB43" i="39"/>
  <c r="AB11" i="39"/>
  <c r="U11" i="39"/>
  <c r="W17" i="39"/>
  <c r="AC17" i="39"/>
  <c r="AC31" i="39"/>
  <c r="AB39" i="39"/>
  <c r="W34" i="39"/>
  <c r="U38" i="39"/>
  <c r="S8" i="39"/>
  <c r="S20" i="36"/>
  <c r="AC25" i="36"/>
  <c r="W29" i="36"/>
  <c r="AC20" i="36"/>
  <c r="U25" i="36"/>
  <c r="AA13" i="36"/>
  <c r="W22" i="36"/>
  <c r="S9" i="36"/>
  <c r="AC25" i="35"/>
  <c r="S35" i="35"/>
  <c r="W35" i="35"/>
  <c r="W36" i="37"/>
  <c r="S28" i="37"/>
  <c r="W32" i="37"/>
  <c r="U36" i="37"/>
  <c r="U38" i="37"/>
  <c r="AC34" i="37"/>
  <c r="AB35" i="37"/>
  <c r="AA31" i="37"/>
  <c r="AA29" i="37"/>
  <c r="AA40" i="34"/>
  <c r="AB40" i="34"/>
  <c r="U19" i="34"/>
  <c r="AB33" i="34"/>
  <c r="AA31" i="34"/>
  <c r="AB45" i="34"/>
  <c r="U25" i="34"/>
  <c r="AB36" i="34"/>
  <c r="W33" i="34"/>
  <c r="AC32" i="34"/>
  <c r="AC29" i="34"/>
  <c r="W29" i="34"/>
  <c r="AC46" i="34"/>
  <c r="AA32" i="34"/>
  <c r="AB30" i="34"/>
  <c r="U38" i="34"/>
  <c r="AC40" i="34"/>
  <c r="W40" i="34"/>
  <c r="AA19" i="34"/>
  <c r="S19" i="34"/>
  <c r="AA36" i="34"/>
  <c r="S36" i="34"/>
  <c r="S8" i="34"/>
  <c r="AA46" i="34"/>
  <c r="AB14" i="34"/>
  <c r="AC43" i="34"/>
  <c r="W43" i="34"/>
  <c r="AC23" i="34"/>
  <c r="AC35" i="34"/>
  <c r="W35" i="34"/>
  <c r="AC37" i="33"/>
  <c r="W46" i="33"/>
  <c r="U39" i="33"/>
  <c r="U38" i="33"/>
  <c r="S33" i="33"/>
  <c r="AB34" i="33"/>
  <c r="U44" i="33"/>
  <c r="AB44" i="33"/>
  <c r="S30" i="33"/>
  <c r="AA30" i="33"/>
  <c r="AC14" i="33"/>
  <c r="W14" i="33"/>
  <c r="AC30" i="33"/>
  <c r="W30" i="33"/>
  <c r="S31" i="33"/>
  <c r="W13" i="33"/>
  <c r="U15" i="33"/>
  <c r="S11" i="33"/>
  <c r="U37" i="33"/>
  <c r="W9" i="33"/>
  <c r="W8" i="33"/>
  <c r="F33" i="21"/>
  <c r="AA33" i="21" s="1"/>
  <c r="J33" i="21"/>
  <c r="AC33" i="21" s="1"/>
  <c r="H33" i="21"/>
  <c r="AB33" i="21" s="1"/>
  <c r="AA26" i="21"/>
  <c r="AB14" i="21"/>
  <c r="AB46" i="21"/>
  <c r="U40" i="21"/>
  <c r="U31" i="21"/>
  <c r="U13" i="21"/>
  <c r="S35" i="21"/>
  <c r="J17" i="21"/>
  <c r="AC17" i="21" s="1"/>
  <c r="AC19" i="21"/>
  <c r="W39" i="21"/>
  <c r="AC14" i="21"/>
  <c r="W30" i="21"/>
  <c r="S46" i="21"/>
  <c r="H45" i="21"/>
  <c r="U45" i="21" s="1"/>
  <c r="AC38" i="21"/>
  <c r="H32" i="21"/>
  <c r="AB32" i="21" s="1"/>
  <c r="J9" i="21"/>
  <c r="W9" i="21" s="1"/>
  <c r="J32" i="21"/>
  <c r="W32" i="21" s="1"/>
  <c r="F32" i="21"/>
  <c r="AA32" i="21" s="1"/>
  <c r="AA31" i="21"/>
  <c r="S19" i="21"/>
  <c r="AA9" i="21"/>
  <c r="K141" i="21"/>
  <c r="K144" i="21"/>
  <c r="K143" i="21"/>
  <c r="W13" i="21"/>
  <c r="W42" i="21"/>
  <c r="AC45" i="21"/>
  <c r="F10" i="21"/>
  <c r="AA10" i="21" s="1"/>
  <c r="K145" i="21"/>
  <c r="W25" i="21"/>
  <c r="W31" i="21"/>
  <c r="S17" i="21"/>
  <c r="AC27" i="21"/>
  <c r="AC26" i="21"/>
  <c r="S28" i="21"/>
  <c r="AC34" i="21"/>
  <c r="C19" i="39"/>
  <c r="C17" i="40"/>
  <c r="C21" i="40"/>
  <c r="U30" i="40"/>
  <c r="B56" i="43"/>
  <c r="B51" i="43"/>
  <c r="B54" i="43"/>
  <c r="B58" i="43"/>
  <c r="B65" i="43"/>
  <c r="B69" i="43"/>
  <c r="D23" i="15"/>
  <c r="D22" i="15"/>
  <c r="E4" i="4"/>
  <c r="B5" i="62" s="1"/>
  <c r="B73" i="72" s="1"/>
  <c r="C4" i="4"/>
  <c r="S39" i="40"/>
  <c r="S12" i="33"/>
  <c r="AA12" i="33"/>
  <c r="J32" i="39"/>
  <c r="H32" i="39"/>
  <c r="AB32" i="39" s="1"/>
  <c r="S32"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H17" i="33"/>
  <c r="F17" i="33"/>
  <c r="S17" i="33" s="1"/>
  <c r="AC17" i="33"/>
  <c r="AA23" i="21"/>
  <c r="J23" i="21"/>
  <c r="W23" i="21" s="1"/>
  <c r="H23" i="21"/>
  <c r="AB23" i="21" s="1"/>
  <c r="AP7" i="1"/>
  <c r="U32" i="21"/>
  <c r="U32" i="39"/>
  <c r="AC32" i="39"/>
  <c r="W32" i="39"/>
  <c r="W19" i="37"/>
  <c r="AC19" i="37"/>
  <c r="AC23" i="37"/>
  <c r="J11" i="37"/>
  <c r="AC11" i="37" s="1"/>
  <c r="J11" i="34"/>
  <c r="W11" i="34" s="1"/>
  <c r="AB36" i="33"/>
  <c r="W27" i="33"/>
  <c r="W25" i="33"/>
  <c r="AA23" i="33"/>
  <c r="S23" i="33"/>
  <c r="AB19" i="33"/>
  <c r="AA17" i="33"/>
  <c r="U17" i="33"/>
  <c r="AB17" i="33"/>
  <c r="AC23" i="21"/>
  <c r="H109" i="9"/>
  <c r="H112" i="9"/>
  <c r="D21" i="53" s="1"/>
  <c r="B39"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3" i="73"/>
  <c r="E2" i="69"/>
  <c r="D5" i="73"/>
  <c r="AO13" i="1"/>
  <c r="F36" i="67"/>
  <c r="M24" i="15"/>
  <c r="F26" i="67"/>
  <c r="B10" i="76"/>
  <c r="E11" i="76"/>
  <c r="F37" i="15"/>
  <c r="F6" i="73"/>
  <c r="M28" i="67"/>
  <c r="D6" i="73"/>
  <c r="E7" i="76"/>
  <c r="E8" i="76"/>
  <c r="E2" i="68"/>
  <c r="M9" i="15"/>
  <c r="D4" i="73"/>
  <c r="M24" i="67"/>
  <c r="F13" i="67"/>
  <c r="B7" i="76"/>
  <c r="F13" i="15"/>
  <c r="F37" i="67"/>
  <c r="B13" i="76"/>
  <c r="F7" i="15"/>
  <c r="E12" i="76"/>
  <c r="F6" i="67"/>
  <c r="D7" i="73"/>
  <c r="L48" i="15"/>
  <c r="F40" i="15"/>
  <c r="B8" i="76"/>
  <c r="F16" i="67"/>
  <c r="E10" i="76"/>
  <c r="M23" i="15"/>
  <c r="J15" i="15"/>
  <c r="M6" i="15"/>
  <c r="F4" i="73"/>
  <c r="B12" i="76"/>
  <c r="M22" i="67"/>
  <c r="E13" i="76"/>
  <c r="F40" i="67"/>
  <c r="F5" i="73"/>
  <c r="F43" i="15"/>
  <c r="C76" i="67"/>
  <c r="F7" i="73"/>
  <c r="B9" i="76"/>
  <c r="F20" i="31"/>
  <c r="M8" i="15"/>
  <c r="M23" i="67"/>
  <c r="B11" i="76"/>
  <c r="E9" i="76"/>
  <c r="F3" i="73"/>
  <c r="F16" i="15"/>
  <c r="M28" i="15"/>
  <c r="F9" i="15"/>
  <c r="AC14" i="35" l="1"/>
  <c r="U28" i="35"/>
  <c r="S28" i="35"/>
  <c r="H87" i="35"/>
  <c r="I87" i="35" s="1"/>
  <c r="J87" i="35" s="1"/>
  <c r="K87" i="35" s="1"/>
  <c r="L87" i="35" s="1"/>
  <c r="M87" i="35" s="1"/>
  <c r="J29" i="35"/>
  <c r="H29" i="35"/>
  <c r="F29" i="35"/>
  <c r="U18" i="35"/>
  <c r="AA16" i="35"/>
  <c r="AB16" i="35"/>
  <c r="W16" i="35"/>
  <c r="S14" i="35"/>
  <c r="U27" i="21"/>
  <c r="H15" i="21"/>
  <c r="U15" i="21" s="1"/>
  <c r="F100" i="39"/>
  <c r="G100" i="39" s="1"/>
  <c r="F27" i="39"/>
  <c r="AA27" i="39" s="1"/>
  <c r="H27" i="39"/>
  <c r="J27" i="39"/>
  <c r="U42" i="39"/>
  <c r="S42" i="39"/>
  <c r="AC41" i="39"/>
  <c r="U41" i="39"/>
  <c r="AA41" i="39"/>
  <c r="W29" i="39"/>
  <c r="S27"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9"/>
  <c r="F48" i="9"/>
  <c r="O52" i="9" s="1"/>
  <c r="F53" i="80"/>
  <c r="F54" i="80"/>
  <c r="F48" i="80"/>
  <c r="O52" i="80" s="1"/>
  <c r="F52" i="9"/>
  <c r="D78" i="9"/>
  <c r="D93" i="80"/>
  <c r="D78" i="80"/>
  <c r="E32" i="6"/>
  <c r="L19" i="6" s="1"/>
  <c r="L27" i="6" s="1"/>
  <c r="F29" i="6"/>
  <c r="G29" i="6"/>
  <c r="F28" i="6"/>
  <c r="H111" i="9"/>
  <c r="D126" i="9" s="1"/>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9" i="53"/>
  <c r="B38" i="72" s="1"/>
  <c r="D16" i="53"/>
  <c r="B34" i="72" s="1"/>
  <c r="D6" i="52"/>
  <c r="AB15" i="21"/>
  <c r="AC17" i="37"/>
  <c r="D68" i="9"/>
  <c r="F30" i="69"/>
  <c r="F48" i="69" s="1"/>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E28" i="6"/>
  <c r="K14" i="1"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J6" i="15" s="1"/>
  <c r="F50" i="15"/>
  <c r="F71" i="15"/>
  <c r="Q71" i="67"/>
  <c r="C27" i="67"/>
  <c r="F65" i="15"/>
  <c r="B13" i="70"/>
  <c r="F68" i="67"/>
  <c r="F64" i="67"/>
  <c r="F68" i="15"/>
  <c r="D9" i="68"/>
  <c r="G1" i="73"/>
  <c r="F38" i="15"/>
  <c r="M29" i="67"/>
  <c r="M26" i="67"/>
  <c r="F8" i="15"/>
  <c r="C36" i="69"/>
  <c r="C76" i="15"/>
  <c r="F42" i="67"/>
  <c r="M6" i="67"/>
  <c r="F6" i="15"/>
  <c r="J15" i="67"/>
  <c r="F36" i="15"/>
  <c r="M9" i="67"/>
  <c r="M8" i="67"/>
  <c r="F7" i="67"/>
  <c r="M26" i="15"/>
  <c r="F8" i="67"/>
  <c r="F42" i="15"/>
  <c r="C16" i="15"/>
  <c r="F43" i="67"/>
  <c r="F26" i="15"/>
  <c r="F9" i="67"/>
  <c r="D9" i="69"/>
  <c r="M22" i="15"/>
  <c r="L47" i="67"/>
  <c r="L48" i="67"/>
  <c r="L47" i="15"/>
  <c r="M29" i="15"/>
  <c r="F38" i="67"/>
  <c r="N94" i="46" l="1"/>
  <c r="H16" i="1"/>
  <c r="J26" i="43"/>
  <c r="E26" i="43"/>
  <c r="H26" i="43"/>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F28" i="12" s="1"/>
  <c r="K16" i="1"/>
  <c r="D17" i="53"/>
  <c r="B36" i="72" s="1"/>
  <c r="K46" i="36"/>
  <c r="L46" i="36" s="1"/>
  <c r="M46" i="36" s="1"/>
  <c r="N46" i="36" s="1"/>
  <c r="O46" i="36" s="1"/>
  <c r="H7" i="36"/>
  <c r="F7" i="36"/>
  <c r="J7" i="36"/>
  <c r="F51" i="15"/>
  <c r="C49" i="15" s="1"/>
  <c r="C27" i="15"/>
  <c r="N59" i="15"/>
  <c r="L59" i="15"/>
  <c r="Q61" i="15" s="1"/>
  <c r="L58" i="15"/>
  <c r="Q73" i="15" s="1"/>
  <c r="Q71" i="15"/>
  <c r="F64" i="15"/>
  <c r="J57" i="67"/>
  <c r="J55" i="67" s="1"/>
  <c r="J58" i="67" s="1"/>
  <c r="Q50" i="67" s="1"/>
  <c r="I54" i="67"/>
  <c r="J53" i="67"/>
  <c r="Q52" i="67" s="1"/>
  <c r="L56" i="67"/>
  <c r="F31" i="15"/>
  <c r="C6" i="15"/>
  <c r="C32" i="15" s="1"/>
  <c r="F66" i="15"/>
  <c r="F66" i="67"/>
  <c r="C6" i="67"/>
  <c r="C32" i="67" s="1"/>
  <c r="F51" i="67"/>
  <c r="L59" i="67"/>
  <c r="Q74" i="67" s="1"/>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AC6" i="3" s="1"/>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D26" i="43" s="1"/>
  <c r="C25" i="43" s="1"/>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C16" i="67"/>
  <c r="F27" i="69"/>
  <c r="E65" i="39" l="1"/>
  <c r="H6" i="3"/>
  <c r="C47" i="69"/>
  <c r="D45" i="69" s="1"/>
  <c r="F45" i="69"/>
  <c r="F48" i="68"/>
  <c r="C30" i="68"/>
  <c r="C48" i="68"/>
  <c r="C29" i="69"/>
  <c r="D27" i="69" s="1"/>
  <c r="L18" i="80"/>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AE7" i="1"/>
  <c r="M27" i="67"/>
  <c r="M27" i="15"/>
  <c r="F41" i="15"/>
  <c r="L19" i="80" l="1"/>
  <c r="M19" i="80"/>
  <c r="C118" i="80" s="1"/>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44" i="11"/>
  <c r="D41" i="11" s="1"/>
  <c r="C24" i="11"/>
  <c r="D10" i="68"/>
  <c r="C17" i="15"/>
  <c r="D10" i="69"/>
  <c r="F41" i="67"/>
  <c r="C17" i="67"/>
  <c r="C14" i="67"/>
  <c r="C34" i="69"/>
  <c r="B23" i="1" l="1"/>
  <c r="B24" i="1"/>
  <c r="C29" i="11"/>
  <c r="D27" i="11" s="1"/>
  <c r="C29" i="68"/>
  <c r="D27" i="68" s="1"/>
  <c r="C28" i="11"/>
  <c r="C27" i="11" s="1"/>
  <c r="H21" i="6"/>
  <c r="C25" i="11"/>
  <c r="H25" i="6"/>
  <c r="F69" i="67"/>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C5"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18" i="12" l="1"/>
  <c r="C26" i="68"/>
  <c r="D22" i="68" s="1"/>
  <c r="C23" i="68"/>
  <c r="C23" i="11"/>
  <c r="C22" i="11" s="1"/>
  <c r="C26" i="11"/>
  <c r="D22" i="11" s="1"/>
  <c r="F34" i="68"/>
  <c r="M59" i="15"/>
  <c r="M59" i="67"/>
  <c r="C29" i="12"/>
  <c r="D28" i="12" s="1"/>
  <c r="C26" i="12"/>
  <c r="D25" i="12"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21" i="12" l="1"/>
  <c r="C22" i="12" s="1"/>
  <c r="C37" i="68"/>
  <c r="C31" i="11"/>
  <c r="C36" i="68"/>
  <c r="C34" i="68"/>
  <c r="J7" i="21"/>
  <c r="W7" i="21" s="1"/>
  <c r="C10" i="71"/>
  <c r="D11" i="71"/>
  <c r="C23" i="67"/>
  <c r="C29" i="67" s="1"/>
  <c r="J59" i="67" s="1"/>
  <c r="J60" i="67" s="1"/>
  <c r="Q48" i="67" s="1"/>
  <c r="C19" i="15"/>
  <c r="C20" i="15" s="1"/>
  <c r="C26" i="15" s="1"/>
  <c r="C38" i="11"/>
  <c r="C35" i="11"/>
  <c r="H27" i="6"/>
  <c r="R19" i="6"/>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38" i="68" l="1"/>
  <c r="C35" i="68"/>
  <c r="AC7" i="21"/>
  <c r="V48" i="21" s="1"/>
  <c r="I48" i="21" s="1"/>
  <c r="I52" i="21" s="1"/>
  <c r="J52" i="21" s="1"/>
  <c r="D10" i="71"/>
  <c r="C9" i="71"/>
  <c r="Q49" i="67"/>
  <c r="J14" i="67"/>
  <c r="J13" i="67" s="1"/>
  <c r="J23" i="67" s="1"/>
  <c r="C36" i="67"/>
  <c r="C57" i="67"/>
  <c r="C64" i="67" s="1"/>
  <c r="C13" i="67"/>
  <c r="Q70" i="67" s="1"/>
  <c r="C33" i="11"/>
  <c r="C39" i="11" s="1"/>
  <c r="C61" i="67"/>
  <c r="C23" i="15"/>
  <c r="C29" i="15" s="1"/>
  <c r="C41" i="69"/>
  <c r="R27" i="6"/>
  <c r="R6" i="1"/>
  <c r="C46" i="69"/>
  <c r="C45" i="69" s="1"/>
  <c r="C25" i="68"/>
  <c r="C22" i="68" s="1"/>
  <c r="C31" i="68" s="1"/>
  <c r="L67" i="39"/>
  <c r="K69" i="39"/>
  <c r="W7" i="35"/>
  <c r="AC7" i="35"/>
  <c r="V38" i="35" s="1"/>
  <c r="I38" i="35" s="1"/>
  <c r="J65" i="40"/>
  <c r="K63" i="40"/>
  <c r="U7" i="35"/>
  <c r="AB7" i="35"/>
  <c r="T38" i="35" s="1"/>
  <c r="G38" i="35" s="1"/>
  <c r="E48" i="21"/>
  <c r="G52" i="21"/>
  <c r="H52" i="21" s="1"/>
  <c r="F7" i="35"/>
  <c r="M21" i="67"/>
  <c r="M21" i="15"/>
  <c r="F35" i="67"/>
  <c r="F35" i="15"/>
  <c r="C33" i="68" l="1"/>
  <c r="G53" i="2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C49" i="21" l="1"/>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6" i="68" l="1"/>
  <c r="C45" i="68" s="1"/>
  <c r="C41" i="68"/>
  <c r="C6" i="71"/>
  <c r="D7" i="71"/>
  <c r="C80" i="67"/>
  <c r="C79" i="67" s="1"/>
  <c r="C40" i="67"/>
  <c r="C45" i="67" s="1"/>
  <c r="C56" i="11"/>
  <c r="C57" i="11" s="1"/>
  <c r="B2" i="2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C52" i="68" s="1"/>
  <c r="B2" i="68" s="1"/>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6"/>
  <c r="D2" i="35"/>
  <c r="D2" i="34"/>
  <c r="D2" i="37"/>
  <c r="L51" i="15"/>
  <c r="D19" i="80"/>
  <c r="C102" i="9" l="1"/>
  <c r="C21" i="9"/>
  <c r="B3" i="68"/>
  <c r="C57" i="68"/>
  <c r="C56" i="68" s="1"/>
  <c r="D102" i="80"/>
  <c r="D21" i="80"/>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7" i="1"/>
  <c r="AO6" i="1"/>
  <c r="C19" i="80"/>
  <c r="D34" i="9"/>
  <c r="AO10" i="1"/>
  <c r="AO12" i="1"/>
  <c r="D35" i="9"/>
  <c r="AO9" i="1"/>
  <c r="C20" i="9"/>
  <c r="AO11" i="1"/>
  <c r="AO8" i="1"/>
  <c r="D20" i="80"/>
  <c r="D8" i="12" l="1"/>
  <c r="C4" i="12" s="1"/>
  <c r="D6" i="12"/>
  <c r="C103" i="9"/>
  <c r="C102" i="80"/>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23" i="12" l="1"/>
  <c r="C30" i="12" s="1"/>
  <c r="C28" i="12" s="1"/>
  <c r="C31" i="12"/>
  <c r="C27" i="12"/>
  <c r="C25" i="12" s="1"/>
  <c r="C103" i="80"/>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7" i="69"/>
  <c r="C5" i="69" s="1"/>
  <c r="R186" i="88"/>
  <c r="S186" i="88" s="1"/>
  <c r="R184" i="88"/>
  <c r="S184" i="88" s="1"/>
  <c r="R182" i="88"/>
  <c r="S182" i="88" s="1"/>
  <c r="R180" i="88"/>
  <c r="S180" i="88" s="1"/>
  <c r="R178" i="88"/>
  <c r="S178" i="88" s="1"/>
  <c r="R176" i="88"/>
  <c r="S176" i="88" s="1"/>
  <c r="R174" i="88"/>
  <c r="S174" i="88" s="1"/>
  <c r="R172" i="88"/>
  <c r="S172" i="88" s="1"/>
  <c r="R170" i="88"/>
  <c r="S170" i="88" s="1"/>
  <c r="R168" i="88"/>
  <c r="S168" i="88" s="1"/>
  <c r="R166" i="88"/>
  <c r="S166" i="88" s="1"/>
  <c r="R164" i="88"/>
  <c r="S164" i="88" s="1"/>
  <c r="R162" i="88"/>
  <c r="S162" i="88" s="1"/>
  <c r="R160" i="88"/>
  <c r="S160" i="88" s="1"/>
  <c r="R158" i="88"/>
  <c r="S158" i="88" s="1"/>
  <c r="R156" i="88"/>
  <c r="S156" i="88" s="1"/>
  <c r="R154" i="88"/>
  <c r="S154" i="88" s="1"/>
  <c r="R152" i="88"/>
  <c r="S152" i="88" s="1"/>
  <c r="R150" i="88"/>
  <c r="S150" i="88" s="1"/>
  <c r="R148" i="88"/>
  <c r="S148" i="88" s="1"/>
  <c r="R146" i="88"/>
  <c r="S146" i="88" s="1"/>
  <c r="R144" i="88"/>
  <c r="S144" i="88" s="1"/>
  <c r="R142" i="88"/>
  <c r="S142" i="88" s="1"/>
  <c r="R140" i="88"/>
  <c r="S140" i="88" s="1"/>
  <c r="R138" i="88"/>
  <c r="S138" i="88" s="1"/>
  <c r="R136" i="88"/>
  <c r="S136" i="88" s="1"/>
  <c r="R134" i="88"/>
  <c r="S134" i="88" s="1"/>
  <c r="R132" i="88"/>
  <c r="S132" i="88" s="1"/>
  <c r="R130" i="88"/>
  <c r="S130" i="88" s="1"/>
  <c r="R128" i="88"/>
  <c r="S128" i="88" s="1"/>
  <c r="R126" i="88"/>
  <c r="S126" i="88" s="1"/>
  <c r="R124" i="88"/>
  <c r="S124" i="88" s="1"/>
  <c r="R122" i="88"/>
  <c r="S122" i="88" s="1"/>
  <c r="R120" i="88"/>
  <c r="S120" i="88" s="1"/>
  <c r="R118" i="88"/>
  <c r="S118" i="88" s="1"/>
  <c r="R116" i="88"/>
  <c r="S116" i="88" s="1"/>
  <c r="R114" i="88"/>
  <c r="S114" i="88" s="1"/>
  <c r="R112" i="88"/>
  <c r="S112" i="88" s="1"/>
  <c r="R110" i="88"/>
  <c r="S110" i="88" s="1"/>
  <c r="R108" i="88"/>
  <c r="S108" i="88" s="1"/>
  <c r="R106" i="88"/>
  <c r="S106" i="88" s="1"/>
  <c r="R104" i="88"/>
  <c r="S104" i="88" s="1"/>
  <c r="R187" i="88"/>
  <c r="S187" i="88" s="1"/>
  <c r="R185" i="88"/>
  <c r="S185" i="88" s="1"/>
  <c r="R183" i="88"/>
  <c r="S183" i="88" s="1"/>
  <c r="R181" i="88"/>
  <c r="S181" i="88" s="1"/>
  <c r="R179" i="88"/>
  <c r="S179" i="88" s="1"/>
  <c r="R177" i="88"/>
  <c r="S177" i="88" s="1"/>
  <c r="R175" i="88"/>
  <c r="S175" i="88" s="1"/>
  <c r="R173" i="88"/>
  <c r="S173" i="88" s="1"/>
  <c r="R171" i="88"/>
  <c r="S171" i="88" s="1"/>
  <c r="R169" i="88"/>
  <c r="S169" i="88" s="1"/>
  <c r="R167" i="88"/>
  <c r="S167" i="88" s="1"/>
  <c r="R165" i="88"/>
  <c r="S165" i="88" s="1"/>
  <c r="R163" i="88"/>
  <c r="S163" i="88" s="1"/>
  <c r="R161" i="88"/>
  <c r="S161" i="88" s="1"/>
  <c r="R159" i="88"/>
  <c r="S159" i="88" s="1"/>
  <c r="R157" i="88"/>
  <c r="S157" i="88" s="1"/>
  <c r="R155" i="88"/>
  <c r="S155" i="88" s="1"/>
  <c r="R153" i="88"/>
  <c r="S153" i="88" s="1"/>
  <c r="R151" i="88"/>
  <c r="S151" i="88" s="1"/>
  <c r="R149" i="88"/>
  <c r="S149" i="88" s="1"/>
  <c r="R147" i="88"/>
  <c r="S147" i="88" s="1"/>
  <c r="R145" i="88"/>
  <c r="S145" i="88" s="1"/>
  <c r="R143" i="88"/>
  <c r="S143" i="88" s="1"/>
  <c r="R141" i="88"/>
  <c r="S141" i="88" s="1"/>
  <c r="R139" i="88"/>
  <c r="S139" i="88" s="1"/>
  <c r="R137" i="88"/>
  <c r="S137" i="88" s="1"/>
  <c r="R135" i="88"/>
  <c r="S135" i="88" s="1"/>
  <c r="R133" i="88"/>
  <c r="S133" i="88" s="1"/>
  <c r="R131" i="88"/>
  <c r="S131" i="88" s="1"/>
  <c r="R129" i="88"/>
  <c r="S129" i="88" s="1"/>
  <c r="R127" i="88"/>
  <c r="S127" i="88" s="1"/>
  <c r="R125" i="88"/>
  <c r="S125" i="88" s="1"/>
  <c r="R123" i="88"/>
  <c r="S123" i="88" s="1"/>
  <c r="R121" i="88"/>
  <c r="S121" i="88" s="1"/>
  <c r="R119" i="88"/>
  <c r="S119" i="88" s="1"/>
  <c r="R117" i="88"/>
  <c r="S117" i="88" s="1"/>
  <c r="R115" i="88"/>
  <c r="S115" i="88" s="1"/>
  <c r="R113" i="88"/>
  <c r="S113" i="88" s="1"/>
  <c r="R111" i="88"/>
  <c r="S111" i="88" s="1"/>
  <c r="R109" i="88"/>
  <c r="S109" i="88" s="1"/>
  <c r="R107" i="88"/>
  <c r="S107" i="88" s="1"/>
  <c r="R105" i="88"/>
  <c r="S105" i="88" s="1"/>
  <c r="R103" i="88"/>
  <c r="S103" i="88" s="1"/>
  <c r="R59" i="88"/>
  <c r="S59" i="88" s="1"/>
  <c r="R57" i="88"/>
  <c r="S57" i="88" s="1"/>
  <c r="R55" i="88"/>
  <c r="S55" i="88" s="1"/>
  <c r="R53" i="88"/>
  <c r="S53" i="88" s="1"/>
  <c r="R51" i="88"/>
  <c r="S51" i="88" s="1"/>
  <c r="R49" i="88"/>
  <c r="S49" i="88" s="1"/>
  <c r="R47" i="88"/>
  <c r="S47" i="88" s="1"/>
  <c r="R45" i="88"/>
  <c r="S45" i="88" s="1"/>
  <c r="R43" i="88"/>
  <c r="S43" i="88" s="1"/>
  <c r="R41" i="88"/>
  <c r="S41" i="88" s="1"/>
  <c r="R39" i="88"/>
  <c r="S39" i="88" s="1"/>
  <c r="R37" i="88"/>
  <c r="S37" i="88" s="1"/>
  <c r="R35" i="88"/>
  <c r="S35" i="88" s="1"/>
  <c r="R33" i="88"/>
  <c r="S33" i="88" s="1"/>
  <c r="R31" i="88"/>
  <c r="S31" i="88" s="1"/>
  <c r="R29" i="88"/>
  <c r="S29" i="88" s="1"/>
  <c r="R27" i="88"/>
  <c r="S27" i="88" s="1"/>
  <c r="R25" i="88"/>
  <c r="S25" i="88" s="1"/>
  <c r="R58" i="88"/>
  <c r="S58" i="88" s="1"/>
  <c r="R56" i="88"/>
  <c r="S56" i="88" s="1"/>
  <c r="R54" i="88"/>
  <c r="S54" i="88" s="1"/>
  <c r="R52" i="88"/>
  <c r="S52" i="88" s="1"/>
  <c r="R50" i="88"/>
  <c r="S50" i="88" s="1"/>
  <c r="R48" i="88"/>
  <c r="S48" i="88" s="1"/>
  <c r="R46" i="88"/>
  <c r="S46" i="88" s="1"/>
  <c r="R44" i="88"/>
  <c r="S44" i="88" s="1"/>
  <c r="R42" i="88"/>
  <c r="S42" i="88" s="1"/>
  <c r="R40" i="88"/>
  <c r="S40" i="88" s="1"/>
  <c r="R38" i="88"/>
  <c r="S38" i="88" s="1"/>
  <c r="R36" i="88"/>
  <c r="S36" i="88" s="1"/>
  <c r="R34" i="88"/>
  <c r="S34" i="88" s="1"/>
  <c r="R32" i="88"/>
  <c r="S32" i="88" s="1"/>
  <c r="R30" i="88"/>
  <c r="S30" i="88" s="1"/>
  <c r="R28" i="88"/>
  <c r="S28" i="88" s="1"/>
  <c r="R26" i="88"/>
  <c r="S26" i="88" s="1"/>
  <c r="R61" i="88"/>
  <c r="S61" i="88" s="1"/>
  <c r="R62" i="88"/>
  <c r="S62" i="88" s="1"/>
  <c r="R63" i="88"/>
  <c r="S63" i="88" s="1"/>
  <c r="R64" i="88"/>
  <c r="S64" i="88" s="1"/>
  <c r="R65" i="88"/>
  <c r="S65" i="88" s="1"/>
  <c r="R66" i="88"/>
  <c r="S66" i="88" s="1"/>
  <c r="R68" i="88"/>
  <c r="S68" i="88" s="1"/>
  <c r="R69" i="88"/>
  <c r="S69" i="88" s="1"/>
  <c r="R70" i="88"/>
  <c r="S70" i="88" s="1"/>
  <c r="R72" i="88"/>
  <c r="S72" i="88" s="1"/>
  <c r="R73" i="88"/>
  <c r="S73" i="88" s="1"/>
  <c r="R74" i="88"/>
  <c r="S74" i="88" s="1"/>
  <c r="R75" i="88"/>
  <c r="S75" i="88" s="1"/>
  <c r="R77" i="88"/>
  <c r="S77" i="88" s="1"/>
  <c r="R78" i="88"/>
  <c r="S78" i="88" s="1"/>
  <c r="R79" i="88"/>
  <c r="S79" i="88" s="1"/>
  <c r="R80" i="88"/>
  <c r="S80" i="88" s="1"/>
  <c r="R81" i="88"/>
  <c r="S81" i="88" s="1"/>
  <c r="R82" i="88"/>
  <c r="S82" i="88" s="1"/>
  <c r="R83" i="88"/>
  <c r="S83" i="88" s="1"/>
  <c r="R85" i="88"/>
  <c r="S85" i="88" s="1"/>
  <c r="R86" i="88"/>
  <c r="S86" i="88" s="1"/>
  <c r="R87" i="88"/>
  <c r="S87" i="88" s="1"/>
  <c r="R88" i="88"/>
  <c r="S88" i="88" s="1"/>
  <c r="R89" i="88"/>
  <c r="S89" i="88" s="1"/>
  <c r="R90" i="88"/>
  <c r="S90" i="88" s="1"/>
  <c r="R91" i="88"/>
  <c r="S91" i="88" s="1"/>
  <c r="R92" i="88"/>
  <c r="S92" i="88" s="1"/>
  <c r="R93" i="88"/>
  <c r="S93" i="88" s="1"/>
  <c r="R94" i="88"/>
  <c r="S94" i="88" s="1"/>
  <c r="R95" i="88"/>
  <c r="S95" i="88" s="1"/>
  <c r="R96" i="88"/>
  <c r="S96" i="88" s="1"/>
  <c r="R97" i="88"/>
  <c r="S97" i="88" s="1"/>
  <c r="R98" i="88"/>
  <c r="S98" i="88" s="1"/>
  <c r="R99" i="88"/>
  <c r="S99" i="88" s="1"/>
  <c r="R100" i="88"/>
  <c r="S100" i="88" s="1"/>
  <c r="R101" i="88"/>
  <c r="S101" i="88" s="1"/>
  <c r="R102" i="88"/>
  <c r="S102" i="88" s="1"/>
  <c r="R60" i="88"/>
  <c r="S60" i="88" s="1"/>
  <c r="R67" i="88"/>
  <c r="S67" i="88" s="1"/>
  <c r="R71" i="88"/>
  <c r="S71" i="88" s="1"/>
  <c r="R84" i="88"/>
  <c r="S84" i="88" s="1"/>
  <c r="R76" i="88"/>
  <c r="S76" i="88" s="1"/>
  <c r="C32" i="80"/>
  <c r="C35" i="80" s="1"/>
  <c r="C34" i="80" s="1"/>
  <c r="R24" i="31"/>
  <c r="F65" i="39"/>
  <c r="B2" i="39" s="1"/>
  <c r="B3" i="39" s="1"/>
  <c r="C42" i="40"/>
  <c r="C43" i="40"/>
  <c r="E47" i="40"/>
  <c r="F47" i="40" s="1"/>
  <c r="E46" i="40"/>
  <c r="F46" i="40" s="1"/>
  <c r="I47" i="40"/>
  <c r="J47" i="40" s="1"/>
  <c r="C23" i="69" l="1"/>
  <c r="C20" i="69"/>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C28" i="69" l="1"/>
  <c r="C27" i="69" s="1"/>
  <c r="C25" i="69"/>
  <c r="C22" i="69" s="1"/>
  <c r="S22" i="31"/>
  <c r="C31" i="69" l="1"/>
  <c r="C52" i="69" s="1"/>
  <c r="B20" i="31"/>
  <c r="R22" i="31"/>
  <c r="B2" i="69" l="1"/>
  <c r="C57" i="69"/>
  <c r="C56" i="69" s="1"/>
  <c r="E15" i="74"/>
  <c r="F15" i="74"/>
  <c r="B21" i="31"/>
  <c r="D19" i="9"/>
  <c r="B3" i="69"/>
  <c r="D102" i="9" l="1"/>
  <c r="D21" i="9"/>
  <c r="G19" i="9"/>
  <c r="H1" i="89" s="1"/>
  <c r="I1" i="89" s="1"/>
  <c r="D22" i="9"/>
  <c r="D20" i="9"/>
  <c r="H2" i="89" l="1"/>
  <c r="I3" i="89" s="1"/>
  <c r="I7" i="89"/>
  <c r="I220" i="89"/>
  <c r="I300" i="89"/>
  <c r="I352" i="89"/>
  <c r="I384" i="89"/>
  <c r="I406" i="89"/>
  <c r="I221" i="89"/>
  <c r="I377" i="89"/>
  <c r="I255" i="89"/>
  <c r="I287" i="89"/>
  <c r="I319" i="89"/>
  <c r="I351" i="89"/>
  <c r="I383" i="89"/>
  <c r="I233" i="89"/>
  <c r="I265" i="89"/>
  <c r="I301" i="89"/>
  <c r="I337" i="89"/>
  <c r="I381" i="89"/>
  <c r="D103" i="9"/>
  <c r="G20" i="9"/>
  <c r="R24" i="88" s="1"/>
  <c r="S24" i="88" s="1"/>
  <c r="S22" i="88" s="1"/>
  <c r="G21" i="9"/>
  <c r="D14" i="74"/>
  <c r="C32" i="9"/>
  <c r="I405" i="89" l="1"/>
  <c r="I357" i="89"/>
  <c r="I317" i="89"/>
  <c r="I285" i="89"/>
  <c r="I249" i="89"/>
  <c r="I399" i="89"/>
  <c r="I367" i="89"/>
  <c r="I335" i="89"/>
  <c r="I303" i="89"/>
  <c r="I271" i="89"/>
  <c r="I239" i="89"/>
  <c r="I269" i="89"/>
  <c r="I205" i="89"/>
  <c r="I398" i="89"/>
  <c r="I368" i="89"/>
  <c r="I332" i="89"/>
  <c r="I268" i="89"/>
  <c r="I139" i="89"/>
  <c r="I172" i="89"/>
  <c r="I393" i="89"/>
  <c r="I369" i="89"/>
  <c r="I345" i="89"/>
  <c r="I325" i="89"/>
  <c r="I309" i="89"/>
  <c r="I293" i="89"/>
  <c r="I277" i="89"/>
  <c r="I257" i="89"/>
  <c r="I241" i="89"/>
  <c r="I407" i="89"/>
  <c r="I391" i="89"/>
  <c r="I375" i="89"/>
  <c r="I359" i="89"/>
  <c r="I343" i="89"/>
  <c r="I327" i="89"/>
  <c r="I311" i="89"/>
  <c r="I295" i="89"/>
  <c r="I279" i="89"/>
  <c r="I263" i="89"/>
  <c r="I247" i="89"/>
  <c r="I401" i="89"/>
  <c r="I353" i="89"/>
  <c r="I229" i="89"/>
  <c r="I213" i="89"/>
  <c r="I410" i="89"/>
  <c r="I402" i="89"/>
  <c r="I392" i="89"/>
  <c r="I376" i="89"/>
  <c r="I360" i="89"/>
  <c r="I344" i="89"/>
  <c r="I316" i="89"/>
  <c r="I284" i="89"/>
  <c r="I252" i="89"/>
  <c r="I188" i="89"/>
  <c r="I75" i="89"/>
  <c r="I129" i="89"/>
  <c r="I108" i="89"/>
  <c r="I409" i="89"/>
  <c r="I397" i="89"/>
  <c r="I385" i="89"/>
  <c r="I373" i="89"/>
  <c r="I361" i="89"/>
  <c r="I349" i="89"/>
  <c r="I341" i="89"/>
  <c r="I329" i="89"/>
  <c r="I321" i="89"/>
  <c r="I313" i="89"/>
  <c r="I305" i="89"/>
  <c r="I297" i="89"/>
  <c r="I289" i="89"/>
  <c r="I281" i="89"/>
  <c r="I273" i="89"/>
  <c r="I261" i="89"/>
  <c r="I253" i="89"/>
  <c r="I245" i="89"/>
  <c r="I237" i="89"/>
  <c r="I411" i="89"/>
  <c r="I403" i="89"/>
  <c r="I395" i="89"/>
  <c r="I387" i="89"/>
  <c r="I379" i="89"/>
  <c r="I371" i="89"/>
  <c r="I363" i="89"/>
  <c r="I355" i="89"/>
  <c r="I347" i="89"/>
  <c r="I339" i="89"/>
  <c r="I331" i="89"/>
  <c r="I323" i="89"/>
  <c r="I315" i="89"/>
  <c r="I307" i="89"/>
  <c r="I299" i="89"/>
  <c r="I291" i="89"/>
  <c r="I283" i="89"/>
  <c r="I275" i="89"/>
  <c r="I267" i="89"/>
  <c r="I259" i="89"/>
  <c r="I251" i="89"/>
  <c r="I243" i="89"/>
  <c r="I235" i="89"/>
  <c r="I389" i="89"/>
  <c r="I365" i="89"/>
  <c r="I333" i="89"/>
  <c r="I231" i="89"/>
  <c r="I225" i="89"/>
  <c r="I217" i="89"/>
  <c r="I209" i="89"/>
  <c r="I199" i="89"/>
  <c r="I408" i="89"/>
  <c r="I404" i="89"/>
  <c r="I400" i="89"/>
  <c r="I396" i="89"/>
  <c r="I388" i="89"/>
  <c r="I380" i="89"/>
  <c r="I372" i="89"/>
  <c r="I364" i="89"/>
  <c r="I356" i="89"/>
  <c r="I348" i="89"/>
  <c r="I340" i="89"/>
  <c r="I324" i="89"/>
  <c r="I308" i="89"/>
  <c r="I292" i="89"/>
  <c r="I276" i="89"/>
  <c r="I260" i="89"/>
  <c r="I236" i="89"/>
  <c r="I204" i="89"/>
  <c r="I171" i="89"/>
  <c r="I107" i="89"/>
  <c r="I43" i="89"/>
  <c r="I183" i="89"/>
  <c r="I65" i="89"/>
  <c r="I140" i="89"/>
  <c r="I60" i="89"/>
  <c r="I394" i="89"/>
  <c r="I390" i="89"/>
  <c r="I386" i="89"/>
  <c r="I382" i="89"/>
  <c r="I378" i="89"/>
  <c r="I374" i="89"/>
  <c r="I370" i="89"/>
  <c r="I366" i="89"/>
  <c r="I362" i="89"/>
  <c r="I358" i="89"/>
  <c r="I354" i="89"/>
  <c r="I350" i="89"/>
  <c r="I346" i="89"/>
  <c r="I342" i="89"/>
  <c r="I336" i="89"/>
  <c r="I328" i="89"/>
  <c r="I320" i="89"/>
  <c r="I312" i="89"/>
  <c r="I304" i="89"/>
  <c r="I296" i="89"/>
  <c r="I288" i="89"/>
  <c r="I280" i="89"/>
  <c r="I272" i="89"/>
  <c r="I264" i="89"/>
  <c r="I256" i="89"/>
  <c r="I244" i="89"/>
  <c r="I228" i="89"/>
  <c r="I212" i="89"/>
  <c r="I196" i="89"/>
  <c r="I180" i="89"/>
  <c r="I155" i="89"/>
  <c r="I123" i="89"/>
  <c r="I91" i="89"/>
  <c r="I59" i="89"/>
  <c r="I27" i="89"/>
  <c r="I201" i="89"/>
  <c r="I161" i="89"/>
  <c r="I97" i="89"/>
  <c r="I33" i="89"/>
  <c r="I156" i="89"/>
  <c r="I124" i="89"/>
  <c r="I92" i="89"/>
  <c r="I28" i="89"/>
  <c r="I76" i="89"/>
  <c r="I44" i="89"/>
  <c r="I12" i="89"/>
  <c r="I338" i="89"/>
  <c r="I334" i="89"/>
  <c r="I330" i="89"/>
  <c r="I326" i="89"/>
  <c r="I322" i="89"/>
  <c r="I318" i="89"/>
  <c r="I314" i="89"/>
  <c r="I310" i="89"/>
  <c r="I306" i="89"/>
  <c r="I302" i="89"/>
  <c r="I298" i="89"/>
  <c r="I294" i="89"/>
  <c r="I290" i="89"/>
  <c r="I286" i="89"/>
  <c r="I282" i="89"/>
  <c r="I278" i="89"/>
  <c r="I274" i="89"/>
  <c r="I270" i="89"/>
  <c r="I266" i="89"/>
  <c r="I262" i="89"/>
  <c r="I258" i="89"/>
  <c r="I254" i="89"/>
  <c r="I248" i="89"/>
  <c r="I240" i="89"/>
  <c r="I232" i="89"/>
  <c r="I224" i="89"/>
  <c r="I216" i="89"/>
  <c r="I208" i="89"/>
  <c r="I200" i="89"/>
  <c r="I192" i="89"/>
  <c r="I184" i="89"/>
  <c r="I176" i="89"/>
  <c r="I163" i="89"/>
  <c r="I147" i="89"/>
  <c r="I131" i="89"/>
  <c r="I115" i="89"/>
  <c r="I99" i="89"/>
  <c r="I83" i="89"/>
  <c r="I67" i="89"/>
  <c r="I51" i="89"/>
  <c r="I35" i="89"/>
  <c r="I19" i="89"/>
  <c r="I215" i="89"/>
  <c r="I191" i="89"/>
  <c r="I175" i="89"/>
  <c r="I145" i="89"/>
  <c r="I113" i="89"/>
  <c r="I81" i="89"/>
  <c r="I49" i="89"/>
  <c r="I17" i="89"/>
  <c r="I164" i="89"/>
  <c r="I148" i="89"/>
  <c r="I132" i="89"/>
  <c r="I116" i="89"/>
  <c r="I100" i="89"/>
  <c r="I84" i="89"/>
  <c r="I68" i="89"/>
  <c r="I52" i="89"/>
  <c r="I36" i="89"/>
  <c r="I20" i="89"/>
  <c r="I4" i="89"/>
  <c r="I250" i="89"/>
  <c r="I246" i="89"/>
  <c r="I242" i="89"/>
  <c r="I238" i="89"/>
  <c r="I234" i="89"/>
  <c r="I230" i="89"/>
  <c r="I226" i="89"/>
  <c r="I222" i="89"/>
  <c r="I218" i="89"/>
  <c r="I214" i="89"/>
  <c r="I210" i="89"/>
  <c r="I206" i="89"/>
  <c r="I202" i="89"/>
  <c r="I198" i="89"/>
  <c r="I194" i="89"/>
  <c r="I190" i="89"/>
  <c r="I186" i="89"/>
  <c r="I182" i="89"/>
  <c r="I178" i="89"/>
  <c r="I174" i="89"/>
  <c r="I167" i="89"/>
  <c r="I159" i="89"/>
  <c r="I151" i="89"/>
  <c r="I143" i="89"/>
  <c r="I135" i="89"/>
  <c r="I127" i="89"/>
  <c r="I119" i="89"/>
  <c r="I111" i="89"/>
  <c r="I103" i="89"/>
  <c r="I95" i="89"/>
  <c r="I87" i="89"/>
  <c r="I79" i="89"/>
  <c r="I71" i="89"/>
  <c r="I63" i="89"/>
  <c r="I55" i="89"/>
  <c r="I47" i="89"/>
  <c r="I39" i="89"/>
  <c r="I31" i="89"/>
  <c r="I23" i="89"/>
  <c r="I15" i="89"/>
  <c r="I223" i="89"/>
  <c r="I207" i="89"/>
  <c r="I195" i="89"/>
  <c r="I187" i="89"/>
  <c r="I179" i="89"/>
  <c r="I169" i="89"/>
  <c r="I153" i="89"/>
  <c r="I137" i="89"/>
  <c r="I121" i="89"/>
  <c r="I105" i="89"/>
  <c r="I89" i="89"/>
  <c r="I73" i="89"/>
  <c r="I57" i="89"/>
  <c r="I41" i="89"/>
  <c r="I25" i="89"/>
  <c r="I9" i="89"/>
  <c r="I168" i="89"/>
  <c r="I160" i="89"/>
  <c r="I152" i="89"/>
  <c r="I144" i="89"/>
  <c r="I136" i="89"/>
  <c r="I128" i="89"/>
  <c r="I120" i="89"/>
  <c r="I112" i="89"/>
  <c r="I104" i="89"/>
  <c r="I96" i="89"/>
  <c r="I88" i="89"/>
  <c r="I80" i="89"/>
  <c r="I72" i="89"/>
  <c r="I64" i="89"/>
  <c r="I56" i="89"/>
  <c r="I48" i="89"/>
  <c r="I40" i="89"/>
  <c r="I32" i="89"/>
  <c r="I24" i="89"/>
  <c r="I16" i="89"/>
  <c r="I8" i="89"/>
  <c r="I2" i="89"/>
  <c r="I11" i="89"/>
  <c r="I227" i="89"/>
  <c r="I219" i="89"/>
  <c r="I211" i="89"/>
  <c r="I203" i="89"/>
  <c r="I197" i="89"/>
  <c r="I193" i="89"/>
  <c r="I189" i="89"/>
  <c r="I185" i="89"/>
  <c r="I181" i="89"/>
  <c r="I177" i="89"/>
  <c r="I173" i="89"/>
  <c r="I165" i="89"/>
  <c r="I157" i="89"/>
  <c r="I149" i="89"/>
  <c r="I141" i="89"/>
  <c r="I133" i="89"/>
  <c r="I125" i="89"/>
  <c r="I117" i="89"/>
  <c r="I109" i="89"/>
  <c r="I101" i="89"/>
  <c r="I93" i="89"/>
  <c r="I85" i="89"/>
  <c r="I77" i="89"/>
  <c r="I69" i="89"/>
  <c r="I61" i="89"/>
  <c r="I53" i="89"/>
  <c r="I45" i="89"/>
  <c r="I37" i="89"/>
  <c r="I29" i="89"/>
  <c r="I21" i="89"/>
  <c r="I13" i="89"/>
  <c r="I5" i="89"/>
  <c r="I170" i="89"/>
  <c r="I166" i="89"/>
  <c r="I162" i="89"/>
  <c r="I158" i="89"/>
  <c r="I154" i="89"/>
  <c r="I150" i="89"/>
  <c r="I146" i="89"/>
  <c r="I142" i="89"/>
  <c r="I138" i="89"/>
  <c r="I134" i="89"/>
  <c r="I130" i="89"/>
  <c r="I126" i="89"/>
  <c r="I122" i="89"/>
  <c r="I118" i="89"/>
  <c r="I114" i="89"/>
  <c r="I110" i="89"/>
  <c r="I106" i="89"/>
  <c r="I102" i="89"/>
  <c r="I98" i="89"/>
  <c r="I94" i="89"/>
  <c r="I90" i="89"/>
  <c r="I86" i="89"/>
  <c r="I82" i="89"/>
  <c r="I78" i="89"/>
  <c r="I74" i="89"/>
  <c r="I70" i="89"/>
  <c r="I66" i="89"/>
  <c r="I62" i="89"/>
  <c r="I58" i="89"/>
  <c r="I54" i="89"/>
  <c r="I50" i="89"/>
  <c r="I46" i="89"/>
  <c r="I42" i="89"/>
  <c r="I38" i="89"/>
  <c r="I34" i="89"/>
  <c r="I30" i="89"/>
  <c r="I26" i="89"/>
  <c r="I22" i="89"/>
  <c r="I18" i="89"/>
  <c r="I14" i="89"/>
  <c r="I10" i="89"/>
  <c r="I6" i="89"/>
  <c r="C35" i="9"/>
  <c r="B20" i="88"/>
  <c r="R22" i="88"/>
  <c r="J411" i="89" l="1"/>
  <c r="I412" i="89" s="1"/>
  <c r="H118" i="9"/>
  <c r="I118" i="9" s="1"/>
  <c r="H102" i="9" s="1"/>
  <c r="D7" i="53" s="1"/>
  <c r="B21" i="72" s="1"/>
  <c r="B21" i="88"/>
  <c r="C34" i="9"/>
  <c r="I4" i="52" l="1"/>
  <c r="C105" i="9"/>
  <c r="G14" i="74"/>
  <c r="B6" i="74" s="1"/>
  <c r="E14" i="74"/>
  <c r="F14" i="74"/>
  <c r="B5" i="74"/>
  <c r="F118" i="9"/>
  <c r="G118" i="9" s="1"/>
  <c r="G4" i="52" s="1"/>
  <c r="B52" i="72" s="1"/>
  <c r="C104" i="9"/>
  <c r="H4" i="52"/>
  <c r="H101" i="9"/>
  <c r="H119" i="9"/>
  <c r="H5" i="52" s="1"/>
  <c r="E118" i="9" l="1"/>
  <c r="E4" i="52" s="1"/>
  <c r="B48" i="72" s="1"/>
  <c r="M48" i="9"/>
  <c r="D45" i="9"/>
  <c r="D5" i="53"/>
  <c r="H107" i="9"/>
  <c r="D5" i="74"/>
  <c r="C5" i="74"/>
  <c r="D118" i="9"/>
  <c r="F4" i="52"/>
  <c r="B51" i="72" s="1"/>
  <c r="F119" i="9"/>
  <c r="F5" i="52" s="1"/>
  <c r="B53" i="72" s="1"/>
  <c r="D6" i="74"/>
  <c r="H108" i="9" l="1"/>
  <c r="D13" i="53"/>
  <c r="D122" i="9"/>
  <c r="M49" i="9"/>
  <c r="D53" i="9"/>
  <c r="C64" i="9"/>
  <c r="C63" i="9" s="1"/>
  <c r="C67" i="9" s="1"/>
  <c r="C78" i="9"/>
  <c r="C73" i="9" s="1"/>
  <c r="D55" i="9"/>
  <c r="M53" i="9" s="1"/>
  <c r="C93" i="9"/>
  <c r="C86" i="9" s="1"/>
  <c r="D52" i="9"/>
  <c r="C85" i="9"/>
  <c r="C72" i="9"/>
  <c r="D4" i="52"/>
  <c r="B47" i="72" s="1"/>
  <c r="D119" i="9"/>
  <c r="D5" i="52" s="1"/>
  <c r="B49" i="72" s="1"/>
  <c r="B20" i="72"/>
  <c r="D6" i="53"/>
  <c r="B22" i="72" s="1"/>
  <c r="D15" i="53" l="1"/>
  <c r="B31" i="72" s="1"/>
  <c r="C6" i="74"/>
  <c r="C95" i="9"/>
  <c r="C79" i="9"/>
  <c r="C80" i="9" s="1"/>
  <c r="E80" i="9" s="1"/>
  <c r="E81" i="9" s="1"/>
  <c r="D59" i="9"/>
  <c r="M55" i="9" s="1"/>
  <c r="C68" i="9"/>
  <c r="D54" i="9" s="1"/>
  <c r="L66" i="9"/>
  <c r="M66" i="9" s="1"/>
  <c r="L65" i="9"/>
  <c r="M65" i="9" s="1"/>
  <c r="L63" i="9"/>
  <c r="M63" i="9" s="1"/>
  <c r="L68" i="9"/>
  <c r="M68" i="9" s="1"/>
  <c r="L67" i="9"/>
  <c r="M67" i="9" s="1"/>
  <c r="L64" i="9"/>
  <c r="M64" i="9" s="1"/>
  <c r="D14" i="53"/>
  <c r="B32" i="72" s="1"/>
  <c r="B30" i="72"/>
  <c r="C96" i="9"/>
  <c r="E96" i="9" s="1"/>
  <c r="E97" i="9" s="1"/>
  <c r="D123" i="9"/>
  <c r="D9" i="52" s="1"/>
  <c r="D8" i="52"/>
  <c r="M69" i="9" l="1"/>
  <c r="N69" i="9" s="1"/>
  <c r="C97" i="9"/>
  <c r="D58" i="9" s="1"/>
  <c r="D56" i="9" s="1"/>
  <c r="M54" i="9" s="1"/>
  <c r="N57" i="9" s="1"/>
  <c r="P57" i="9" s="1"/>
  <c r="C81" i="9"/>
  <c r="N58" i="9" l="1"/>
  <c r="N59" i="9"/>
  <c r="N60" i="9" s="1"/>
  <c r="N61" i="9" l="1"/>
  <c r="D53" i="80"/>
  <c r="D52" i="80"/>
  <c r="N58" i="80"/>
  <c r="P57" i="80"/>
  <c r="H119" i="80"/>
  <c r="C104" i="80"/>
  <c r="C105" i="80"/>
  <c r="H102" i="80"/>
  <c r="N60" i="80"/>
  <c r="N61" i="80"/>
  <c r="M66" i="80"/>
  <c r="E81" i="80"/>
  <c r="L66" i="80"/>
  <c r="N59" i="80"/>
  <c r="M48" i="80"/>
  <c r="D119" i="80"/>
  <c r="L68" i="80"/>
  <c r="M68" i="80"/>
  <c r="C68" i="80"/>
  <c r="D54" i="80"/>
  <c r="N69" i="80"/>
  <c r="L64" i="80"/>
  <c r="M64" i="80"/>
  <c r="C81" i="80"/>
  <c r="L65" i="80"/>
  <c r="M65" i="80"/>
  <c r="M54" i="80"/>
  <c r="H108" i="80"/>
  <c r="C93" i="80"/>
  <c r="C86" i="80"/>
  <c r="C67" i="80"/>
  <c r="D59" i="80"/>
  <c r="M55" i="80"/>
  <c r="C78" i="80"/>
  <c r="C73" i="80"/>
  <c r="L67" i="80"/>
  <c r="M67" i="80"/>
  <c r="E96" i="80"/>
  <c r="E97" i="80"/>
  <c r="E118" i="80"/>
  <c r="D118" i="80"/>
  <c r="M69" i="80"/>
  <c r="F119" i="80"/>
  <c r="C72" i="80"/>
  <c r="C79" i="80"/>
  <c r="C80" i="80"/>
  <c r="E80" i="80"/>
  <c r="C64" i="80"/>
  <c r="C63" i="80"/>
  <c r="C96" i="80"/>
  <c r="C85" i="80"/>
  <c r="C95" i="80"/>
  <c r="C97" i="80"/>
  <c r="D58" i="80"/>
  <c r="D56" i="80"/>
  <c r="D122" i="80"/>
  <c r="D123" i="80"/>
  <c r="N57" i="80"/>
  <c r="D45" i="80"/>
  <c r="D55" i="80"/>
  <c r="M53" i="80"/>
  <c r="I118" i="80"/>
  <c r="H118" i="80"/>
  <c r="H101" i="80"/>
  <c r="H107" i="80"/>
  <c r="M49" i="80"/>
  <c r="L63" i="80"/>
  <c r="M63" i="80"/>
  <c r="G118" i="80"/>
  <c r="F118"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<sst xmlns="http://schemas.openxmlformats.org/spreadsheetml/2006/main" count="9669" uniqueCount="4094">
  <si>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</si>
  <si>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</si>
  <si>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</si>
  <si>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</si>
  <si>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</si>
  <si>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</si>
  <si>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</si>
  <si>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</si>
  <si>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</si>
  <si>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</si>
  <si>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</si>
  <si>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</si>
  <si>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</si>
  <si>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</si>
  <si>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</si>
  <si>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</si>
  <si>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</si>
  <si>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</si>
  <si>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</si>
  <si>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</si>
  <si>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</si>
  <si>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</si>
  <si>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</si>
  <si>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</si>
  <si>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</si>
  <si>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</si>
  <si>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</si>
  <si>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</si>
  <si>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</si>
  <si>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</si>
  <si>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</si>
  <si>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</si>
  <si>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</si>
  <si>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</si>
  <si>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</si>
  <si>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</si>
  <si>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</si>
  <si>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</si>
  <si>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</si>
  <si>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</si>
  <si>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</si>
  <si>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</si>
  <si>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</si>
  <si>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</si>
  <si>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</si>
  <si>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</si>
  <si>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</si>
  <si>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</si>
  <si>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</si>
  <si>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</si>
  <si>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</si>
  <si>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</si>
  <si>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</si>
  <si>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</si>
  <si>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</si>
  <si>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</si>
  <si>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</si>
  <si>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</si>
  <si>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</si>
  <si>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</si>
  <si>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</si>
  <si>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</si>
  <si>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</si>
  <si>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</si>
  <si>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</si>
  <si>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</si>
  <si>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</si>
  <si>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</si>
  <si>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</si>
  <si>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</si>
  <si>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</si>
  <si>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</si>
  <si>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</si>
  <si>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</si>
  <si>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</si>
  <si>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</si>
  <si>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</si>
  <si>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</si>
  <si>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</si>
  <si>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</si>
  <si>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</si>
  <si>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</si>
  <si>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</si>
  <si>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</si>
  <si>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</si>
  <si>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</si>
  <si>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</si>
  <si>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</si>
  <si>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</si>
  <si>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</si>
  <si>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</si>
  <si>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</si>
  <si>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</si>
  <si>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</si>
  <si>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</si>
  <si>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</si>
  <si>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</si>
  <si>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</si>
  <si>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</si>
  <si>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</si>
  <si>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</si>
  <si>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</si>
  <si>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</si>
  <si>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</si>
  <si>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</si>
  <si>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</si>
  <si>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</si>
  <si>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</si>
  <si>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</si>
  <si>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</si>
  <si>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</si>
  <si>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</si>
  <si>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</si>
  <si>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</si>
  <si>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</si>
  <si>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</si>
  <si>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</si>
  <si>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</si>
  <si>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</si>
  <si>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</si>
  <si>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</si>
  <si>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</si>
  <si>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</si>
  <si>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</si>
  <si>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</si>
  <si>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</si>
  <si>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</si>
  <si>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</si>
  <si>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</si>
  <si>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</si>
  <si>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</si>
  <si>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</si>
  <si>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</si>
  <si>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</si>
  <si>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</si>
  <si>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</si>
  <si>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</si>
  <si>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</si>
  <si>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</si>
  <si>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</si>
  <si>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</si>
  <si>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</si>
  <si>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</si>
  <si>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</si>
  <si>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</si>
  <si>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</si>
  <si>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</si>
  <si>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</si>
  <si>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</si>
  <si>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</si>
  <si>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</si>
  <si>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</si>
  <si>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</si>
  <si>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</si>
  <si>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</si>
  <si>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</si>
  <si>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</si>
  <si>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</si>
  <si>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</si>
  <si>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</si>
  <si>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</si>
  <si>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</si>
  <si>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</si>
  <si>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</si>
  <si>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</si>
  <si>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</si>
  <si>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</si>
  <si>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</si>
  <si>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</si>
  <si>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</si>
  <si>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</si>
  <si>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</si>
  <si>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</si>
  <si>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</si>
  <si>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</si>
  <si>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</si>
  <si>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</si>
  <si>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</si>
  <si>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</si>
  <si>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</si>
  <si>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</si>
  <si>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</si>
  <si>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</si>
  <si>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</si>
  <si>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</si>
  <si>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</si>
  <si>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</si>
  <si>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</si>
  <si>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</si>
  <si>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</si>
  <si>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</si>
  <si>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</si>
  <si>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</si>
  <si>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</si>
  <si>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</si>
  <si>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</si>
  <si>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</si>
  <si>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</si>
  <si>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</si>
  <si>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</si>
  <si>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</si>
  <si>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</si>
  <si>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</si>
  <si>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</si>
  <si>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</si>
  <si>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</si>
  <si>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</si>
  <si>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</si>
  <si>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</si>
  <si>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</si>
  <si>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</si>
  <si>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</si>
  <si>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</si>
  <si>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</si>
  <si>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</si>
  <si>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</si>
  <si>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</si>
  <si>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</si>
  <si>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</si>
  <si>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</si>
  <si>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</si>
  <si>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</si>
  <si>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</si>
  <si>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</si>
  <si>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</si>
  <si>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</si>
  <si>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</si>
  <si>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</si>
  <si>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</si>
  <si>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</si>
  <si>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</si>
  <si>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</si>
  <si>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</si>
  <si>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</si>
  <si>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</si>
  <si>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</si>
  <si>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</si>
  <si>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</si>
  <si>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</si>
  <si>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</si>
  <si>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</si>
  <si>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</si>
  <si>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</si>
  <si>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</si>
  <si>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</si>
  <si>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</si>
  <si>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</si>
  <si>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</si>
  <si>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</si>
  <si>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</si>
  <si>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</si>
  <si>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</si>
  <si>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</si>
  <si>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</si>
  <si>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</si>
  <si>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</si>
  <si>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</si>
  <si>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</si>
  <si>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</si>
  <si>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</si>
  <si>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</si>
  <si>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</si>
  <si>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</si>
  <si>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</si>
  <si>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</si>
  <si>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</si>
  <si>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</si>
  <si>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</si>
  <si>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</si>
  <si>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</si>
  <si>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</si>
  <si>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</si>
  <si>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</si>
  <si>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</si>
  <si>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</si>
  <si>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</si>
  <si>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</si>
  <si>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</si>
  <si>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</si>
  <si>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</si>
  <si>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</si>
  <si>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</si>
  <si>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</si>
  <si>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</si>
  <si>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</si>
  <si>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</si>
  <si>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</si>
  <si>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</si>
  <si>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</si>
  <si>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</si>
  <si>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</si>
  <si>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</si>
  <si>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</si>
  <si>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</si>
  <si>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</si>
  <si>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</si>
  <si>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</si>
  <si>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</si>
  <si>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</si>
  <si>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</si>
  <si>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</si>
  <si>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</si>
  <si>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</si>
  <si>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</si>
  <si>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</si>
  <si>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</si>
  <si>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</si>
  <si>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</si>
  <si>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</si>
  <si>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</si>
  <si>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</si>
  <si>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</si>
  <si>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</si>
  <si>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</si>
  <si>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</si>
  <si>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</si>
  <si>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</si>
  <si>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</si>
  <si>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</si>
  <si>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</si>
  <si>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</si>
  <si>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</si>
  <si>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</si>
  <si>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</si>
  <si>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</si>
  <si>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</si>
  <si>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</si>
  <si>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</si>
  <si>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</si>
  <si>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</si>
  <si>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</si>
  <si>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</si>
  <si>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</si>
  <si>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</si>
  <si>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</si>
  <si>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</si>
  <si>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</si>
  <si>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</si>
  <si>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</si>
  <si>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</si>
  <si>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</si>
  <si>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</si>
  <si>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</si>
  <si>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</si>
  <si>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</si>
  <si>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</si>
  <si>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</si>
  <si>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</si>
  <si>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</si>
  <si>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</si>
  <si>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</si>
  <si>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</si>
  <si>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</si>
  <si>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</si>
  <si>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</si>
  <si>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</si>
  <si>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</si>
  <si>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</si>
  <si>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</si>
  <si>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</si>
  <si>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</si>
  <si>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</si>
  <si>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</si>
  <si>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</si>
  <si>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</si>
  <si>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</si>
  <si>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</si>
  <si>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</si>
  <si>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</si>
  <si>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</si>
  <si>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</si>
  <si>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</si>
  <si>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</si>
  <si>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</si>
  <si>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</si>
  <si>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</si>
  <si>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</si>
  <si>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</si>
  <si>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</si>
  <si>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</si>
  <si>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</si>
  <si>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</si>
  <si>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</si>
  <si>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</si>
  <si>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</si>
  <si>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</si>
  <si>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</si>
  <si>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</si>
  <si>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</si>
  <si>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</si>
  <si>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</si>
  <si>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</si>
  <si>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</si>
  <si>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</si>
  <si>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</si>
  <si>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</si>
  <si>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</si>
  <si>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</si>
  <si>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</si>
  <si>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</si>
  <si>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</si>
  <si>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</si>
  <si>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</si>
  <si>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</si>
  <si>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</si>
  <si>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</si>
  <si>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</si>
  <si>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</si>
  <si>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</si>
  <si>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</si>
  <si>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</si>
  <si>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</si>
  <si>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</si>
  <si>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</si>
  <si>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</si>
  <si>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</si>
  <si>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</si>
  <si>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</si>
  <si>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</si>
  <si>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</si>
  <si>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</si>
  <si>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</si>
  <si>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</si>
  <si>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</si>
  <si>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</si>
  <si>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</si>
  <si>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</si>
  <si>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</si>
  <si>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</si>
  <si>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</si>
  <si>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</si>
  <si>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</si>
  <si>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</si>
  <si>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</si>
  <si>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</si>
  <si>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</si>
  <si>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</si>
  <si>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</si>
  <si>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</si>
  <si>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</si>
  <si>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</si>
  <si>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</si>
  <si>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</si>
  <si>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</si>
  <si>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</si>
  <si>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</si>
  <si>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</si>
  <si>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</si>
  <si>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</si>
  <si>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</si>
  <si>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</si>
  <si>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</si>
  <si>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</si>
  <si>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</si>
  <si>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</si>
  <si>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</si>
  <si>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</si>
  <si>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</si>
  <si>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</si>
  <si>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</si>
  <si>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</si>
  <si>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</si>
  <si>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</si>
  <si>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</si>
  <si>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</si>
  <si>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</si>
  <si>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</si>
  <si>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</si>
  <si>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</si>
  <si>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</si>
  <si>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</si>
  <si>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</si>
  <si>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</si>
  <si>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</si>
  <si>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</si>
  <si>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</si>
  <si>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</si>
  <si>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</si>
  <si>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</si>
  <si>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</si>
  <si>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</si>
  <si>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</si>
  <si>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</si>
  <si>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</si>
  <si>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</si>
  <si>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</si>
  <si>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</si>
  <si>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</si>
  <si>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</si>
  <si>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</si>
  <si>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</si>
  <si>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</si>
  <si>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</si>
  <si>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</si>
  <si>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</si>
  <si>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</si>
  <si>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</si>
  <si>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</si>
  <si>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</si>
  <si>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</si>
  <si>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</si>
  <si>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</si>
  <si>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</si>
  <si>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</si>
  <si>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</si>
  <si>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</si>
  <si>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</si>
  <si>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</si>
  <si>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</si>
  <si>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</si>
  <si>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</si>
  <si>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</si>
  <si>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</si>
  <si>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</si>
  <si>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</si>
  <si>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</si>
  <si>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</si>
  <si>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</si>
  <si>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</si>
  <si>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</si>
  <si>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</si>
  <si>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</si>
  <si>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</si>
  <si>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</si>
  <si>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</si>
  <si>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</si>
  <si>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</si>
  <si>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</si>
  <si>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</si>
  <si>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</si>
  <si>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</si>
  <si>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</si>
  <si>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</si>
  <si>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</si>
  <si>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</si>
  <si>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</si>
  <si>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</si>
  <si>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</si>
  <si>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</si>
  <si>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</si>
  <si>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</si>
  <si>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</si>
  <si>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</si>
  <si>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</si>
  <si>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</si>
  <si>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</si>
  <si>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</si>
  <si>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</si>
  <si>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</si>
  <si>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</si>
  <si>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</si>
  <si>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</si>
  <si>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</si>
  <si>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</si>
  <si>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</si>
  <si>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</si>
  <si>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</si>
  <si>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</si>
  <si>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</si>
  <si>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</si>
  <si>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</si>
  <si>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</si>
  <si>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</si>
  <si>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</si>
  <si>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</si>
  <si>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</si>
  <si>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</si>
  <si>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</si>
  <si>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</si>
  <si>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</si>
  <si>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</si>
  <si>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</si>
  <si>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</si>
  <si>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</si>
  <si>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</si>
  <si>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</si>
  <si>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</si>
  <si>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</si>
  <si>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</si>
  <si>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</si>
  <si>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</si>
  <si>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</si>
  <si>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</si>
  <si>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</si>
  <si>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</si>
  <si>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</si>
  <si>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</si>
  <si>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</si>
  <si>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</si>
  <si>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</si>
  <si>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</si>
  <si>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</si>
  <si>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</si>
  <si>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</si>
  <si>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</si>
  <si>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</si>
  <si>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</si>
  <si>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</si>
  <si>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</si>
  <si>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</si>
  <si>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</si>
  <si>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</si>
  <si>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</si>
  <si>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</si>
  <si>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</si>
  <si>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</si>
  <si>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</si>
  <si>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</si>
  <si>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</si>
  <si>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</si>
  <si>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</si>
  <si>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</si>
  <si>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</si>
  <si>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</si>
  <si>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</si>
  <si>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</si>
  <si>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</si>
  <si>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</si>
  <si>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</si>
  <si>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</si>
  <si>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</si>
  <si>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</si>
  <si>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</si>
  <si>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</si>
  <si>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</si>
  <si>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</si>
  <si>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</si>
  <si>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</si>
  <si>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</si>
  <si>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</si>
  <si>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</si>
  <si>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</si>
  <si>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</si>
  <si>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</si>
  <si>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</si>
  <si>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</si>
  <si>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</si>
  <si>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</si>
  <si>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</si>
  <si>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</si>
  <si>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</si>
  <si>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</si>
  <si>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</si>
  <si>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</si>
  <si>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</si>
  <si>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</si>
  <si>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</si>
  <si>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</si>
  <si>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</si>
  <si>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</si>
  <si>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</si>
  <si>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</si>
  <si>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</si>
  <si>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</si>
  <si>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</si>
  <si>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</si>
  <si>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</si>
  <si>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</si>
  <si>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</si>
  <si>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</si>
  <si>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</si>
  <si>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</si>
  <si>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</si>
  <si>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</si>
  <si>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</si>
  <si>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</si>
  <si>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</si>
  <si>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</si>
  <si>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</si>
  <si>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</si>
  <si>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</si>
  <si>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</si>
  <si>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</si>
  <si>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</si>
  <si>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</si>
  <si>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</si>
  <si>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</si>
  <si>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</si>
  <si>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</si>
  <si>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</si>
  <si>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</si>
  <si>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</si>
  <si>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</si>
  <si>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</si>
  <si>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</si>
  <si>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</si>
  <si>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</si>
  <si>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</si>
  <si>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</si>
  <si>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</si>
  <si>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</si>
  <si>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</si>
  <si>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</si>
  <si>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</si>
  <si>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</si>
  <si>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</si>
  <si>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</si>
  <si>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</si>
  <si>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</si>
  <si>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</si>
  <si>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</si>
  <si>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</si>
  <si>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</si>
  <si>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</si>
  <si>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</si>
  <si>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</si>
  <si>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</si>
  <si>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</si>
  <si>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</si>
  <si>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</si>
  <si>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</si>
  <si>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</si>
  <si>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</si>
  <si>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</si>
  <si>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</si>
  <si>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</si>
  <si>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</si>
  <si>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</si>
  <si>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</si>
  <si>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</si>
  <si>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</si>
  <si>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</si>
  <si>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</si>
  <si>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</si>
  <si>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</si>
  <si>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</si>
  <si>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</si>
  <si>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</si>
  <si>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</si>
  <si>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</si>
  <si>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</si>
  <si>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</si>
  <si>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</si>
  <si>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</si>
  <si>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</si>
  <si>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</si>
  <si>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</si>
  <si>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</si>
  <si>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</si>
  <si>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</si>
  <si>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</si>
  <si>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</si>
  <si>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</si>
  <si>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</si>
  <si>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</si>
  <si>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</si>
  <si>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</si>
  <si>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</si>
  <si>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</si>
  <si>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</si>
  <si>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</si>
  <si>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</si>
  <si>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</si>
  <si>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</si>
  <si>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</si>
  <si>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</si>
  <si>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</si>
  <si>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</si>
  <si>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</si>
  <si>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</si>
  <si>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</si>
  <si>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</si>
  <si>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</si>
  <si>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</si>
  <si>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</si>
  <si>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</si>
  <si>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</si>
  <si>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</si>
  <si>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</si>
  <si>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</si>
  <si>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</si>
  <si>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</si>
  <si>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</si>
  <si>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</si>
  <si>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</si>
  <si>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</si>
  <si>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</si>
  <si>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</si>
  <si>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</si>
  <si>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</si>
  <si>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</si>
  <si>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</si>
  <si>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</si>
  <si>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</si>
  <si>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</si>
  <si>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</si>
  <si>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</si>
  <si>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</si>
  <si>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</si>
  <si>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</si>
  <si>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</si>
  <si>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</si>
  <si>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</si>
  <si>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</si>
  <si>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</si>
  <si>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</si>
  <si>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</si>
  <si>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</si>
  <si>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</si>
  <si>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</si>
  <si>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</si>
  <si>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</si>
  <si>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</si>
  <si>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</si>
  <si>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</si>
  <si>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</si>
  <si>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</si>
  <si>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</si>
  <si>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</si>
  <si>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</si>
  <si>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</si>
  <si>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</si>
  <si>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</si>
  <si>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</si>
  <si>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</si>
  <si>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</si>
  <si>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</si>
  <si>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</si>
  <si>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</si>
  <si>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</si>
  <si>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</si>
  <si>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</si>
  <si>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</si>
  <si>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</si>
  <si>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</si>
  <si>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</si>
  <si>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</si>
  <si>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</si>
  <si>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</si>
  <si>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</si>
  <si>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</si>
  <si>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</si>
  <si>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</si>
  <si>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</si>
  <si>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</si>
  <si>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</si>
  <si>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</si>
  <si>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</si>
  <si>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</si>
  <si>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</si>
  <si>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</si>
  <si>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</si>
  <si>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</si>
  <si>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</si>
  <si>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</si>
  <si>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</si>
  <si>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</si>
  <si>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</si>
  <si>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</si>
  <si>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</si>
  <si>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</si>
  <si>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</si>
  <si>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</si>
  <si>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</si>
  <si>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</si>
  <si>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</si>
  <si>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</si>
  <si>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</si>
  <si>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</si>
  <si>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</si>
  <si>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</si>
  <si>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</si>
  <si>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</si>
  <si>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</si>
  <si>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</si>
  <si>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</si>
  <si>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</si>
  <si>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</si>
  <si>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</si>
  <si>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</si>
  <si>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</si>
  <si>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</si>
  <si>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</si>
  <si>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</si>
  <si>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</si>
  <si>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</si>
  <si>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</si>
  <si>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</si>
  <si>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</si>
  <si>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</si>
  <si>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</si>
  <si>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</si>
  <si>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</si>
  <si>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</si>
  <si>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</si>
  <si>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</si>
  <si>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</si>
  <si>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</si>
  <si>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</si>
  <si>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</si>
  <si>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</si>
  <si>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</si>
  <si>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</si>
  <si>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</si>
  <si>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</si>
  <si>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</si>
  <si>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</si>
  <si>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</si>
  <si>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</si>
  <si>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</si>
  <si>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</si>
  <si>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</si>
  <si>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</si>
  <si>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</si>
  <si>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</si>
  <si>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</si>
  <si>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</si>
  <si>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</si>
  <si>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</si>
  <si>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</si>
  <si>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</si>
  <si>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</si>
  <si>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</si>
  <si>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</si>
  <si>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</si>
  <si>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</si>
  <si>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</si>
  <si>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</si>
  <si>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</si>
  <si>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</si>
  <si>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</si>
  <si>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</si>
  <si>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</si>
  <si>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</si>
  <si>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</si>
  <si>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</si>
  <si>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</si>
  <si>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</si>
  <si>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</si>
  <si>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</si>
  <si>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</si>
  <si>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</si>
  <si>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</si>
  <si>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</si>
  <si>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</si>
  <si>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</si>
  <si>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</si>
  <si>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</si>
  <si>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</si>
  <si>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</si>
  <si>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</si>
  <si>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</si>
  <si>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</si>
  <si>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</si>
  <si>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</si>
  <si>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</si>
  <si>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</si>
  <si>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</si>
  <si>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</si>
  <si>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</si>
  <si>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</si>
  <si>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</si>
  <si>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</si>
  <si>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</si>
  <si>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</si>
  <si>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</si>
  <si>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</si>
  <si>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</si>
  <si>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</si>
  <si>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</si>
  <si>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</si>
  <si>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</si>
  <si>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</si>
  <si>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</si>
  <si>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</si>
  <si>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</si>
  <si>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</si>
  <si>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</si>
  <si>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</si>
  <si>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</si>
  <si>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</si>
  <si>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</si>
  <si>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</si>
  <si>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</si>
  <si>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</si>
  <si>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</si>
  <si>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</si>
  <si>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</si>
  <si>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</si>
  <si>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</si>
  <si>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</si>
  <si>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</si>
  <si>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</si>
  <si>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</si>
  <si>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</si>
  <si>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</si>
  <si>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</si>
  <si>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</si>
  <si>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</si>
  <si>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</si>
  <si>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</si>
  <si>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</si>
  <si>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</si>
  <si>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</si>
  <si>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</si>
  <si>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</si>
  <si>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</si>
  <si>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</si>
  <si>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</si>
  <si>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</si>
  <si>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</si>
  <si>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</si>
  <si>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</si>
  <si>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</si>
  <si>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</si>
  <si>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</si>
  <si>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</si>
  <si>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</si>
  <si>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</si>
  <si>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</si>
  <si>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</si>
  <si>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</si>
  <si>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</si>
  <si>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</si>
  <si>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</si>
  <si>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</si>
  <si>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</si>
  <si>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</si>
  <si>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</si>
  <si>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</si>
  <si>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</si>
  <si>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</si>
  <si>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</si>
  <si>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</si>
  <si>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</si>
  <si>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</si>
  <si>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</si>
  <si>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</si>
  <si>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</si>
  <si>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</si>
  <si>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</si>
  <si>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</si>
  <si>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</si>
  <si>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</si>
  <si>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</si>
  <si>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</si>
  <si>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</si>
  <si>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</si>
  <si>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</si>
  <si>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</si>
  <si>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</si>
  <si>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</si>
  <si>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</si>
  <si>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</si>
  <si>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</si>
  <si>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</si>
  <si>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</si>
  <si>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</si>
  <si>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</si>
  <si>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</si>
  <si>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</si>
  <si>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</si>
  <si>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</si>
  <si>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</si>
  <si>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</si>
  <si>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</si>
  <si>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</si>
  <si>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</si>
  <si>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</si>
  <si>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</si>
  <si>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</si>
  <si>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</si>
  <si>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</si>
  <si>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</si>
  <si>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</si>
  <si>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</si>
  <si>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</si>
  <si>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</si>
  <si>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</si>
  <si>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</si>
  <si>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</si>
  <si>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</si>
  <si>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</si>
  <si>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</si>
  <si>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</si>
  <si>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</si>
  <si>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</si>
  <si>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</si>
  <si>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</si>
  <si>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</si>
  <si>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</si>
  <si>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</si>
  <si>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</si>
  <si>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</si>
  <si>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</si>
  <si>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</si>
  <si>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</si>
  <si>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</si>
  <si>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</si>
  <si>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</si>
  <si>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</si>
  <si>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</si>
  <si>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</si>
  <si>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</si>
  <si>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</si>
  <si>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</si>
  <si>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</si>
  <si>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</si>
  <si>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</si>
  <si>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</si>
  <si>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</si>
  <si>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</si>
  <si>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</si>
  <si>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</si>
  <si>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</si>
  <si>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</si>
  <si>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</si>
  <si>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</si>
  <si>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</si>
  <si>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</si>
  <si>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</si>
  <si>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</si>
  <si>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</si>
  <si>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</si>
  <si>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</si>
  <si>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</si>
  <si>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</si>
  <si>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</si>
  <si>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</si>
  <si>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</si>
  <si>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</si>
  <si>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</si>
  <si>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</si>
  <si>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</si>
  <si>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</si>
  <si>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</si>
  <si>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</si>
  <si>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</si>
  <si>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</si>
  <si>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</si>
  <si>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</si>
  <si>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</si>
  <si>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</si>
  <si>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</si>
  <si>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</si>
  <si>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</si>
  <si>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</si>
  <si>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</si>
  <si>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</si>
  <si>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</si>
  <si>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</si>
  <si>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</si>
  <si>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</si>
  <si>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</si>
  <si>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</si>
  <si>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</si>
  <si>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</si>
  <si>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</si>
  <si>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</si>
  <si>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</si>
  <si>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</si>
  <si>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</si>
  <si>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</si>
  <si>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</si>
  <si>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</si>
  <si>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</si>
  <si>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</si>
  <si>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</si>
  <si>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</si>
  <si>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</si>
  <si>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</si>
  <si>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</si>
  <si>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</si>
  <si>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</si>
  <si>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</si>
  <si>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</si>
  <si>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</si>
  <si>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</si>
  <si>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</si>
  <si>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</si>
  <si>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</si>
  <si>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</si>
  <si>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</si>
  <si>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</si>
  <si>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</si>
  <si>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</si>
  <si>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</si>
  <si>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</si>
  <si>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</si>
  <si>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</si>
  <si>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</si>
  <si>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</si>
  <si>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</si>
  <si>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</si>
  <si>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</si>
  <si>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</si>
  <si>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</si>
  <si>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</si>
  <si>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</si>
  <si>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</si>
  <si>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</si>
  <si>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</si>
  <si>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</si>
  <si>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</si>
  <si>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</si>
  <si>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</si>
  <si>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</si>
  <si>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</si>
  <si>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</si>
  <si>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</si>
  <si>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</si>
  <si>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</si>
  <si>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</si>
  <si>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</si>
  <si>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</si>
  <si>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</si>
  <si>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</si>
  <si>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</si>
  <si>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</si>
  <si>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</si>
  <si>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</si>
  <si>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</si>
  <si>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</si>
  <si>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</si>
  <si>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</si>
  <si>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</si>
  <si>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</si>
  <si>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</si>
  <si>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</si>
  <si>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</si>
  <si>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</si>
  <si>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</si>
  <si>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</si>
  <si>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</si>
  <si>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</si>
  <si>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</si>
  <si>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</si>
  <si>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</si>
  <si>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</si>
  <si>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</si>
  <si>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</si>
  <si>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</si>
  <si>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</si>
  <si>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</si>
  <si>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</si>
  <si>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</si>
  <si>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</si>
  <si>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</si>
  <si>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</si>
  <si>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</si>
  <si>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</si>
  <si>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</si>
  <si>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</si>
  <si>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</si>
  <si>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</si>
  <si>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</si>
  <si>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</si>
  <si>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</si>
  <si>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</si>
  <si>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</si>
  <si>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</si>
  <si>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</si>
  <si>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</si>
  <si>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</si>
  <si>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</si>
  <si>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</si>
  <si>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</si>
  <si>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</si>
  <si>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</si>
  <si>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</si>
  <si>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</si>
  <si>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</si>
  <si>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</si>
  <si>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</si>
  <si>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</si>
  <si>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</si>
  <si>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</si>
  <si>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</si>
  <si>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</si>
  <si>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</si>
  <si>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</si>
  <si>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</si>
  <si>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</si>
  <si>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</si>
  <si>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</si>
  <si>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</si>
  <si>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</si>
  <si>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</si>
  <si>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</si>
  <si>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</si>
  <si>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</si>
  <si>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</si>
  <si>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</si>
  <si>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</si>
  <si>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</si>
  <si>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</si>
  <si>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</si>
  <si>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</si>
  <si>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</si>
  <si>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</si>
  <si>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</si>
  <si>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</si>
  <si>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</si>
  <si>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</si>
  <si>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</si>
  <si>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</si>
  <si>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</si>
  <si>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</si>
  <si>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</si>
  <si>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</si>
  <si>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</si>
  <si>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</si>
  <si>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</si>
  <si>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</si>
  <si>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</si>
  <si>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</si>
  <si>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</si>
  <si>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</si>
  <si>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</si>
  <si>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</si>
  <si>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</si>
  <si>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</si>
  <si>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</si>
  <si>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</si>
  <si>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</si>
  <si>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</si>
  <si>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</si>
  <si>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</si>
  <si>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</si>
  <si>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</si>
  <si>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</si>
  <si>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</si>
  <si>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</si>
  <si>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</si>
  <si>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</si>
  <si>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</si>
  <si>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</si>
  <si>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</si>
  <si>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</si>
  <si>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</si>
  <si>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</si>
  <si>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</si>
  <si>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</si>
  <si>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</si>
  <si>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</si>
  <si>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</si>
  <si>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</si>
  <si>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</si>
  <si>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</si>
  <si>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</si>
  <si>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</si>
  <si>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</si>
  <si>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</si>
  <si>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</si>
  <si>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</si>
  <si>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</si>
  <si>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</si>
  <si>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</si>
  <si>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</si>
  <si>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</si>
  <si>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</si>
  <si>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</si>
  <si>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</si>
  <si>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</si>
  <si>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</si>
  <si>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</si>
  <si>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</si>
  <si>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</si>
  <si>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</si>
  <si>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</si>
  <si>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</si>
  <si>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</si>
  <si>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</si>
  <si>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</si>
  <si>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</si>
  <si>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</si>
  <si>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</si>
  <si>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</si>
  <si>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</si>
  <si>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</si>
  <si>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</si>
  <si>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</si>
  <si>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</si>
  <si>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</si>
  <si>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</si>
  <si>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</si>
  <si>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</si>
  <si>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</si>
  <si>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</si>
  <si>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</si>
  <si>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</si>
  <si>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</si>
  <si>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</si>
  <si>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</si>
  <si>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</si>
  <si>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</si>
  <si>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</si>
  <si>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</si>
  <si>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</si>
  <si>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</si>
  <si>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</si>
  <si>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</si>
  <si>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</si>
  <si>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</si>
  <si>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</si>
  <si>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</si>
  <si>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</si>
  <si>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</si>
  <si>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</si>
  <si>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</si>
  <si>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</si>
  <si>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</si>
  <si>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</si>
  <si>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</si>
  <si>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</si>
  <si>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</si>
  <si>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</si>
  <si>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</si>
  <si>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</si>
  <si>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</si>
  <si>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</si>
  <si>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</si>
  <si>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</si>
  <si>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</si>
  <si>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</si>
  <si>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</si>
  <si>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</si>
  <si>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</si>
  <si>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</si>
  <si>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</si>
  <si>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</si>
  <si>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</si>
  <si>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</si>
  <si>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</si>
  <si>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</si>
  <si>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</si>
  <si>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</si>
  <si>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</si>
  <si>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</si>
  <si>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</si>
  <si>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</si>
  <si>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</si>
  <si>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</si>
  <si>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</si>
  <si>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</si>
  <si>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</si>
  <si>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</si>
  <si>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</si>
  <si>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</si>
  <si>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</si>
  <si>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</si>
  <si>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</si>
  <si>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</si>
  <si>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</si>
  <si>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</si>
  <si>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</si>
  <si>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</si>
  <si>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</si>
  <si>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</si>
  <si>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</si>
  <si>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</si>
  <si>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</si>
  <si>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</si>
  <si>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</si>
  <si>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</si>
  <si>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</si>
  <si>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</si>
  <si>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</si>
  <si>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</si>
  <si>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</si>
  <si>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</si>
  <si>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</si>
  <si>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</si>
  <si>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</si>
  <si>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</si>
  <si>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</si>
  <si>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</si>
  <si>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</si>
  <si>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</si>
  <si>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</si>
  <si>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</si>
  <si>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</si>
  <si>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</si>
  <si>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</si>
  <si>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</si>
  <si>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</si>
  <si>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</si>
  <si>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</si>
  <si>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</si>
  <si>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</si>
  <si>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</si>
  <si>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</si>
  <si>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</si>
  <si>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</si>
  <si>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</si>
  <si>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</si>
  <si>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</si>
  <si>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</si>
  <si>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</si>
  <si>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</si>
  <si>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</si>
  <si>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</si>
  <si>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</si>
  <si>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</si>
  <si>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</si>
  <si>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</si>
  <si>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</si>
  <si>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</si>
  <si>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</si>
  <si>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</si>
  <si>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</si>
  <si>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</si>
  <si>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</si>
  <si>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</si>
  <si>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</si>
  <si>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</si>
  <si>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</si>
  <si>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</si>
  <si>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</si>
  <si>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</si>
  <si>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</si>
  <si>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</si>
  <si>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</si>
  <si>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</si>
  <si>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</si>
  <si>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</si>
  <si>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</si>
  <si>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</si>
  <si>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</si>
  <si>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</si>
  <si>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</si>
  <si>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</si>
  <si>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</si>
  <si>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</si>
  <si>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</si>
  <si>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</si>
  <si>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</si>
  <si>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</si>
  <si>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</si>
  <si>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</si>
  <si>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</si>
  <si>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</si>
  <si>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</si>
  <si>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</si>
  <si>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</si>
  <si>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</si>
  <si>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</si>
  <si>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</si>
  <si>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</si>
  <si>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</si>
  <si>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</si>
  <si>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</si>
  <si>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</si>
  <si>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</si>
  <si>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</si>
  <si>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</si>
  <si>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</si>
  <si>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</si>
  <si>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</si>
  <si>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</si>
  <si>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</si>
  <si>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</si>
  <si>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</si>
  <si>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</si>
  <si>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</si>
  <si>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</si>
  <si>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</si>
  <si>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</si>
  <si>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</si>
  <si>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</si>
  <si>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</si>
  <si>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</si>
  <si>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</si>
  <si>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</si>
  <si>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</si>
  <si>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</si>
  <si>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</si>
  <si>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</si>
  <si>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</si>
  <si>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</si>
  <si>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</si>
  <si>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</si>
  <si>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</si>
  <si>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</si>
  <si>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</si>
  <si>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</si>
  <si>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</si>
  <si>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</si>
  <si>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</si>
  <si>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</si>
  <si>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</si>
  <si>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</si>
  <si>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</si>
  <si>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</si>
  <si>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</si>
  <si>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</si>
  <si>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</si>
  <si>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</si>
  <si>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</si>
  <si>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</si>
  <si>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</si>
  <si>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</si>
  <si>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</si>
  <si>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</si>
  <si>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</si>
  <si>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</si>
  <si>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</si>
  <si>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</si>
  <si>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</si>
  <si>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</si>
  <si>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</si>
  <si>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</si>
  <si>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</si>
  <si>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</si>
  <si>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</si>
  <si>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</si>
  <si>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</si>
  <si>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</si>
  <si>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</si>
  <si>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</si>
  <si>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</si>
  <si>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</si>
  <si>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</si>
  <si>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</si>
  <si>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</si>
  <si>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</si>
  <si>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</si>
  <si>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</si>
  <si>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</si>
  <si>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</si>
  <si>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</si>
  <si>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</si>
  <si>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</si>
  <si>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</si>
  <si>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</si>
  <si>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</si>
  <si>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</si>
  <si>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</si>
  <si>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</si>
  <si>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</si>
  <si>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</si>
  <si>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</si>
  <si>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</si>
  <si>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</si>
  <si>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</si>
  <si>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</si>
  <si>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</si>
  <si>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</si>
  <si>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</si>
  <si>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</si>
  <si>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</si>
  <si>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</si>
  <si>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</si>
  <si>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</si>
  <si>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</si>
  <si>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</si>
  <si>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</si>
  <si>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</si>
  <si>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</si>
  <si>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</si>
  <si>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</si>
  <si>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</si>
  <si>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</si>
  <si>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</si>
  <si>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</si>
  <si>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</si>
  <si>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</si>
  <si>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</si>
  <si>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</si>
  <si>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</si>
  <si>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</si>
  <si>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</si>
  <si>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</si>
  <si>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</si>
  <si>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</si>
  <si>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</si>
  <si>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</si>
  <si>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</si>
  <si>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</si>
  <si>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</si>
  <si>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</si>
  <si>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</si>
  <si>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</si>
  <si>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</si>
  <si>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</si>
  <si>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</si>
  <si>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</si>
  <si>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</si>
  <si>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</si>
  <si>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</si>
  <si>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</si>
  <si>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</si>
  <si>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</si>
  <si>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</si>
  <si>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</si>
  <si>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</si>
  <si>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</si>
  <si>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</si>
  <si>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</si>
  <si>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</si>
  <si>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</si>
  <si>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</si>
  <si>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</si>
  <si>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</si>
  <si>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</si>
  <si>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</si>
  <si>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</si>
  <si>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</si>
  <si>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</si>
  <si>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</si>
  <si>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</si>
  <si>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</si>
  <si>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</si>
  <si>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</si>
  <si>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</si>
  <si>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</si>
  <si>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</si>
  <si>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</si>
  <si>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</si>
  <si>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</si>
  <si>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</si>
  <si>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</si>
  <si>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</si>
  <si>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</si>
  <si>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</si>
  <si>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</si>
  <si>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</si>
  <si>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</si>
  <si>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</si>
  <si>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</si>
  <si>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</si>
  <si>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</si>
  <si>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</si>
  <si>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</si>
  <si>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</si>
  <si>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</si>
  <si>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</si>
  <si>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</si>
  <si>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</si>
  <si>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</si>
  <si>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</si>
  <si>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</si>
  <si>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</si>
  <si>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</si>
  <si>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</si>
  <si>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</si>
  <si>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</si>
  <si>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</si>
  <si>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</si>
  <si>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</si>
  <si>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</si>
  <si>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</si>
  <si>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</si>
  <si>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</si>
  <si>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</si>
  <si>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</si>
  <si>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</si>
  <si>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</si>
  <si>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</si>
  <si>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</si>
  <si>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</si>
  <si>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</si>
  <si>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</si>
  <si>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</si>
  <si>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</si>
  <si>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</si>
  <si>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</si>
  <si>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</si>
  <si>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</si>
  <si>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</si>
  <si>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</si>
  <si>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</si>
  <si>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</si>
  <si>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</si>
  <si>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</si>
  <si>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</si>
  <si>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</si>
  <si>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</si>
  <si>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</si>
  <si>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</si>
  <si>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</si>
  <si>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</si>
  <si>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</si>
  <si>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</si>
  <si>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</si>
  <si>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</si>
  <si>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</si>
  <si>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</si>
  <si>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</si>
  <si>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</si>
  <si>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</si>
  <si>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</si>
  <si>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</si>
  <si>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</si>
  <si>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</si>
  <si>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</si>
  <si>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</si>
  <si>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</si>
  <si>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</si>
  <si>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</si>
  <si>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</si>
  <si>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</si>
  <si>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</si>
  <si>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</si>
  <si>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</si>
  <si>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</si>
  <si>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</si>
  <si>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</si>
  <si>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</si>
  <si>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</si>
  <si>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</si>
  <si>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</si>
  <si>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</si>
  <si>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</si>
  <si>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</si>
  <si>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</si>
  <si>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</si>
  <si>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</si>
  <si>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</si>
  <si>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</si>
  <si>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</si>
  <si>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</si>
  <si>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</si>
  <si>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</si>
  <si>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</si>
  <si>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</si>
  <si>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</si>
  <si>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</si>
  <si>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</si>
  <si>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</si>
  <si>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</si>
  <si>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</si>
  <si>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</si>
  <si>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</si>
  <si>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</si>
  <si>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</si>
  <si>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</si>
  <si>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</si>
  <si>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</si>
  <si>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</si>
  <si>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</si>
  <si>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</si>
  <si>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</si>
  <si>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</si>
  <si>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</si>
  <si>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</si>
  <si>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</si>
  <si>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</si>
  <si>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</si>
  <si>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</si>
  <si>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</si>
  <si>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</si>
  <si>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</si>
  <si>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</si>
  <si>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</si>
  <si>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</si>
  <si>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</si>
  <si>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</si>
  <si>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</si>
  <si>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</si>
  <si>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</si>
  <si>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</si>
  <si>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</si>
  <si>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</si>
  <si>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</si>
  <si>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</si>
  <si>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</si>
  <si>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</si>
  <si>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</si>
  <si>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</si>
  <si>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</si>
  <si>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</si>
  <si>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</si>
  <si>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</si>
  <si>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</si>
  <si>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</si>
  <si>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</si>
  <si>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</si>
  <si>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</si>
  <si>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</si>
  <si>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</si>
  <si>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</si>
  <si>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</si>
  <si>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</si>
  <si>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</si>
  <si>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</si>
  <si>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</si>
  <si>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</si>
  <si>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</si>
  <si>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</si>
  <si>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</si>
  <si>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</si>
  <si>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</si>
  <si>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</si>
  <si>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</si>
  <si>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</si>
  <si>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</si>
  <si>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</si>
  <si>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</si>
  <si>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</si>
  <si>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</si>
  <si>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</si>
  <si>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</si>
  <si>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</si>
  <si>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</si>
  <si>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</si>
  <si>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</si>
  <si>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</si>
  <si>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</si>
  <si>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</si>
  <si>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</si>
  <si>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</si>
  <si>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</si>
  <si>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</si>
  <si>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</si>
  <si>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</si>
  <si>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</si>
  <si>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</si>
  <si>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</si>
  <si>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</si>
  <si>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</si>
  <si>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</si>
  <si>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</si>
  <si>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</si>
  <si>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</si>
  <si>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</si>
  <si>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</si>
  <si>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</si>
  <si>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</si>
  <si>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</si>
  <si>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</si>
  <si>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</si>
  <si>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</si>
  <si>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</si>
  <si>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</si>
  <si>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</si>
  <si>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</si>
  <si>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</si>
  <si>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</si>
  <si>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</si>
  <si>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</si>
  <si>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</si>
  <si>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</si>
  <si>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</si>
  <si>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</si>
  <si>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</si>
  <si>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</si>
  <si>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</si>
  <si>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</si>
  <si>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</si>
  <si>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</si>
  <si>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</si>
  <si>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</si>
  <si>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</si>
  <si>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</si>
  <si>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</si>
  <si>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</si>
  <si>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</si>
  <si>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</si>
  <si>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</si>
  <si>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</si>
  <si>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</si>
  <si>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</si>
  <si>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</si>
  <si>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</si>
  <si>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</si>
  <si>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</si>
  <si>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</si>
  <si>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</si>
  <si>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</si>
  <si>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</si>
  <si>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</si>
  <si>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</si>
  <si>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</si>
  <si>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</si>
  <si>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</si>
  <si>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</si>
  <si>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</si>
  <si>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</si>
  <si>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</si>
  <si>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</si>
  <si>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</si>
  <si>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</si>
  <si>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</si>
  <si>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</si>
  <si>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</si>
  <si>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</si>
  <si>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</si>
  <si>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</si>
  <si>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</si>
  <si>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</si>
  <si>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</si>
  <si>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</si>
  <si>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</si>
  <si>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</si>
  <si>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</si>
  <si>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</si>
  <si>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</si>
  <si>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</si>
  <si>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</si>
  <si>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</si>
  <si>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</si>
  <si>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</si>
  <si>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</si>
  <si>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</si>
  <si>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</si>
  <si>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</si>
  <si>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</si>
  <si>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</si>
  <si>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</si>
  <si>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</si>
  <si>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</si>
  <si>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</si>
  <si>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</si>
  <si>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</si>
  <si>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</si>
  <si>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</si>
  <si>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</si>
  <si>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</si>
  <si>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</si>
  <si>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</si>
  <si>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</si>
  <si>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</si>
  <si>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</si>
  <si>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</si>
  <si>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</si>
  <si>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</si>
  <si>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</si>
  <si>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</si>
  <si>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</si>
  <si>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</si>
  <si>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</si>
  <si>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</si>
  <si>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</si>
  <si>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</si>
  <si>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</si>
  <si>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</si>
  <si>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</si>
  <si>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</si>
  <si>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</si>
  <si>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</si>
  <si>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</si>
  <si>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</si>
  <si>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</si>
  <si>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</si>
  <si>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</si>
  <si>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</si>
  <si>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</si>
  <si>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</si>
  <si>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</si>
  <si>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</si>
  <si>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</si>
  <si>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</si>
  <si>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</si>
  <si>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</si>
  <si>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</si>
  <si>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</si>
  <si>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</si>
  <si>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</si>
  <si>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</si>
  <si>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</si>
  <si>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</si>
  <si>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</si>
  <si>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</si>
  <si>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</si>
  <si>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</si>
  <si>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</si>
  <si>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</si>
  <si>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</si>
  <si>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</si>
  <si>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</si>
  <si>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</si>
  <si>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</si>
  <si>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</si>
  <si>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</si>
  <si>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</si>
  <si>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</si>
  <si>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</si>
  <si>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</si>
  <si>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</si>
  <si>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</si>
  <si>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</si>
  <si>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</si>
  <si>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</si>
  <si>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</si>
  <si>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</si>
  <si>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</si>
  <si>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</si>
  <si>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</si>
  <si>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</si>
  <si>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</si>
  <si>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</si>
  <si>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</si>
  <si>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</si>
  <si>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</si>
  <si>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</si>
  <si>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</si>
  <si>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</si>
  <si>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</si>
  <si>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</si>
  <si>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</si>
  <si>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</si>
  <si>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</si>
  <si>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</si>
  <si>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</si>
  <si>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</si>
  <si>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</si>
  <si>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</si>
  <si>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</si>
  <si>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</si>
  <si>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</si>
  <si>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</si>
  <si>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</si>
  <si>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</si>
  <si>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</si>
  <si>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</si>
  <si>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</si>
  <si>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</si>
  <si>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</si>
  <si>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</si>
  <si>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</si>
  <si>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</si>
  <si>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</si>
  <si>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</si>
  <si>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</si>
  <si>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</si>
  <si>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</si>
  <si>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</si>
  <si>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</si>
  <si>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</si>
  <si>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</si>
  <si>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</si>
  <si>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</si>
  <si>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</si>
  <si>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</si>
  <si>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</si>
  <si>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</si>
  <si>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</si>
  <si>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</si>
  <si>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</si>
  <si>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</si>
  <si>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</si>
  <si>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</si>
  <si>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</si>
  <si>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</si>
  <si>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</si>
  <si>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</si>
  <si>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</si>
  <si>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</si>
  <si>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</si>
  <si>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</si>
  <si>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</si>
  <si>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</si>
  <si>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</si>
  <si>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</si>
  <si>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</si>
  <si>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</si>
  <si>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</si>
  <si>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</si>
  <si>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</si>
  <si>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</si>
  <si>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</si>
  <si>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</si>
  <si>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</si>
  <si>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</si>
  <si>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</si>
  <si>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</si>
  <si>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</si>
  <si>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</si>
  <si>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</si>
  <si>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</si>
  <si>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</si>
  <si>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</si>
  <si>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</si>
  <si>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</si>
  <si>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</si>
  <si>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</si>
  <si>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</si>
  <si>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</si>
  <si>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</si>
  <si>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</si>
  <si>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</si>
  <si>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</si>
  <si>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</si>
  <si>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</si>
  <si>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</si>
  <si>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</si>
  <si>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</si>
  <si>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</si>
  <si>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</si>
  <si>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</si>
  <si>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</si>
  <si>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</si>
  <si>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</si>
  <si>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</si>
  <si>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</si>
  <si>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</si>
  <si>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</si>
  <si>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</si>
  <si>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</si>
  <si>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</si>
  <si>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</si>
  <si>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</si>
  <si>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</si>
  <si>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</si>
  <si>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</si>
  <si>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</si>
  <si>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</si>
  <si>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</si>
  <si>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</si>
  <si>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</si>
  <si>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</si>
  <si>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</si>
  <si>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</si>
  <si>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</si>
  <si>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</si>
  <si>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</si>
  <si>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</si>
  <si>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</si>
  <si>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</si>
  <si>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</si>
  <si>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</si>
  <si>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</si>
  <si>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</si>
  <si>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</si>
  <si>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</si>
  <si>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</si>
  <si>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</si>
  <si>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</si>
  <si>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</si>
  <si>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</si>
  <si>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</si>
  <si>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</si>
  <si>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</si>
  <si>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</si>
  <si>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</si>
  <si>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</si>
  <si>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</si>
  <si>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</si>
  <si>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</si>
  <si>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</si>
  <si>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</si>
  <si>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</si>
  <si>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</si>
  <si>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</si>
  <si>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</si>
  <si>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</si>
  <si>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</si>
  <si>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</si>
  <si>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</si>
  <si>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</si>
  <si>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</si>
  <si>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</si>
  <si>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</si>
  <si>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</si>
  <si>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</si>
  <si>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</si>
  <si>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</si>
  <si>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</si>
  <si>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</si>
  <si>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</si>
  <si>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</si>
  <si>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</si>
  <si>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</si>
  <si>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</si>
  <si>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</si>
  <si>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</si>
  <si>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</si>
  <si>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</si>
  <si>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</si>
  <si>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</si>
  <si>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</si>
  <si>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</si>
  <si>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</si>
  <si>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</si>
  <si>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</si>
  <si>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</si>
  <si>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</si>
  <si>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</si>
  <si>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</si>
  <si>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</si>
  <si>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</si>
  <si>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</si>
  <si>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</si>
  <si>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</si>
  <si>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</si>
  <si>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</si>
  <si>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</si>
  <si>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</si>
  <si>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</si>
  <si>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</si>
  <si>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</si>
  <si>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</si>
  <si>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</si>
  <si>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</si>
  <si>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</si>
  <si>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</si>
  <si>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</si>
  <si>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</si>
  <si>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</si>
  <si>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</si>
  <si>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</si>
  <si>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</si>
  <si>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</si>
  <si>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</si>
  <si>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</si>
  <si>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</si>
  <si>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</si>
  <si>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</si>
  <si>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</si>
  <si>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</si>
  <si>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</si>
  <si>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</si>
  <si>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</si>
  <si>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</si>
  <si>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</si>
  <si>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</si>
  <si>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</si>
  <si>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</si>
  <si>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</si>
  <si>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</si>
  <si>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</si>
  <si>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</si>
  <si>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</si>
  <si>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</si>
  <si>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</si>
  <si>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</si>
  <si>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</si>
  <si>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</si>
  <si>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</si>
  <si>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</si>
  <si>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</si>
  <si>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</si>
  <si>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</si>
  <si>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</si>
  <si>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</si>
  <si>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</si>
  <si>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</si>
  <si>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</si>
  <si>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</si>
  <si>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</si>
  <si>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</si>
  <si>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</si>
  <si>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</si>
  <si>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</si>
  <si>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</si>
  <si>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</si>
  <si>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</si>
  <si>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</si>
  <si>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</si>
  <si>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</si>
  <si>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</si>
  <si>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</si>
  <si>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</si>
  <si>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</si>
  <si>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</si>
  <si>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</si>
  <si>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</si>
  <si>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</si>
  <si>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</si>
  <si>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</si>
  <si>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</si>
  <si>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</si>
  <si>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</si>
  <si>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</si>
  <si>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</si>
  <si>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</si>
  <si>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</si>
  <si>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</si>
  <si>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</si>
  <si>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</si>
  <si>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</si>
  <si>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</si>
  <si>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</si>
  <si>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</si>
  <si>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</si>
  <si>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</si>
  <si>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</si>
  <si>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</si>
  <si>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</si>
  <si>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</si>
  <si>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</si>
  <si>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</si>
  <si>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</si>
  <si>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</si>
  <si>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</si>
  <si>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</si>
  <si>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</si>
  <si>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</si>
  <si>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</si>
  <si>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</si>
  <si>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</si>
  <si>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</si>
  <si>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</si>
  <si>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</si>
  <si>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</si>
  <si>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</si>
  <si>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</si>
  <si>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</si>
  <si>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</si>
  <si>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</si>
  <si>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</si>
  <si>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</si>
  <si>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</si>
  <si>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</si>
  <si>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</si>
  <si>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</si>
  <si>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</si>
  <si>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</si>
  <si>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</si>
  <si>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</si>
  <si>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</si>
  <si>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</si>
  <si>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</si>
  <si>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</si>
  <si>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</si>
  <si>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</si>
  <si>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</si>
  <si>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</si>
  <si>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</si>
  <si>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</si>
  <si>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</si>
  <si>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</si>
  <si>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</si>
  <si>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</si>
  <si>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</si>
  <si>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</si>
  <si>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</si>
  <si>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</si>
  <si>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</si>
  <si>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</si>
  <si>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</si>
  <si>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</si>
  <si>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</si>
  <si>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</si>
  <si>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</si>
  <si>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</si>
  <si>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</si>
  <si>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</si>
  <si>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</si>
  <si>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</si>
  <si>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</si>
  <si>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</si>
  <si>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</si>
  <si>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</si>
  <si>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</si>
  <si>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</si>
  <si>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</si>
  <si>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</si>
  <si>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</si>
  <si>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</si>
  <si>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</si>
  <si>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</si>
  <si>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</si>
  <si>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</si>
  <si>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</si>
  <si>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</si>
  <si>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</si>
  <si>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</si>
  <si>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</si>
  <si>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</si>
  <si>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</si>
  <si>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</si>
  <si>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</si>
  <si>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</si>
  <si>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</si>
  <si>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</si>
  <si>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</si>
  <si>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</si>
  <si>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</si>
  <si>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</si>
  <si>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</si>
  <si>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</si>
  <si>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</si>
  <si>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</si>
  <si>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</si>
  <si>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</si>
  <si>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</si>
  <si>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</si>
  <si>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</si>
  <si>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</si>
  <si>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</si>
  <si>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</si>
  <si>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</si>
  <si>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</si>
  <si>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</si>
  <si>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</si>
  <si>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</si>
  <si>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</si>
  <si>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</si>
  <si>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</si>
  <si>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</si>
  <si>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</si>
  <si>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</si>
  <si>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</si>
  <si>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</si>
  <si>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</si>
  <si>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</si>
  <si>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</si>
  <si>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</si>
  <si>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</si>
  <si>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</si>
  <si>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</si>
  <si>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</si>
  <si>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</si>
  <si>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</si>
  <si>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</si>
  <si>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</si>
  <si>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</si>
  <si>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</si>
  <si>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</si>
  <si>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</si>
  <si>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</si>
  <si>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</si>
  <si>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</si>
  <si>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</si>
  <si>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</si>
  <si>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</si>
  <si>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</si>
  <si>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</si>
  <si>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</si>
  <si>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</si>
  <si>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</si>
  <si>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</si>
  <si>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</si>
  <si>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</si>
  <si>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</si>
  <si>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</si>
  <si>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</si>
  <si>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</si>
  <si>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</si>
  <si>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</si>
  <si>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</si>
  <si>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</si>
  <si>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</si>
  <si>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</si>
  <si>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</si>
  <si>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</si>
  <si>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</si>
  <si>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</si>
  <si>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</si>
  <si>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</si>
  <si>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</si>
  <si>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</si>
  <si>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</si>
  <si>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</si>
  <si>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</si>
  <si>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</si>
  <si>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</si>
  <si>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</si>
  <si>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</si>
  <si>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</si>
  <si>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</si>
  <si>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</si>
  <si>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</si>
  <si>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</si>
  <si>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</si>
  <si>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</si>
  <si>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</si>
  <si>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</si>
  <si>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</si>
  <si>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</si>
  <si>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</si>
  <si>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</si>
  <si>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</si>
  <si>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</si>
  <si>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</si>
  <si>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</si>
  <si>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</si>
  <si>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</si>
  <si>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</si>
  <si>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</si>
  <si>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</si>
  <si>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</si>
  <si>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</si>
  <si>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</si>
  <si>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</si>
  <si>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</si>
  <si>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</si>
  <si>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</si>
  <si>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</si>
  <si>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</si>
  <si>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</si>
  <si>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</si>
  <si>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</si>
  <si>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</si>
  <si>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</si>
  <si>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</si>
  <si>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</si>
  <si>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</si>
  <si>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</si>
  <si>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</si>
  <si>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</si>
  <si>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</si>
  <si>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</si>
  <si>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</si>
  <si>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</si>
  <si>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</si>
  <si>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</si>
  <si>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</si>
  <si>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</si>
  <si>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</si>
  <si>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</si>
  <si>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</si>
  <si>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</si>
  <si>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</si>
  <si>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</si>
  <si>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</si>
  <si>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</si>
  <si>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</si>
  <si>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</si>
  <si>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</si>
  <si>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</si>
  <si>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</si>
  <si>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</si>
  <si>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</si>
  <si>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</si>
  <si>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</si>
  <si>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</si>
  <si>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</si>
  <si>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</si>
  <si>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</si>
  <si>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</si>
  <si>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</si>
  <si>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</si>
  <si>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</si>
  <si>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</si>
  <si>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</si>
  <si>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</si>
  <si>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</si>
  <si>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</si>
  <si>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</si>
  <si>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</si>
  <si>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</si>
  <si>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</si>
  <si>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</si>
  <si>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</si>
  <si>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</si>
  <si>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</si>
  <si>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</si>
  <si>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</si>
  <si>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</si>
  <si>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</si>
  <si>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</si>
  <si>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</si>
  <si>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</si>
  <si>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</si>
  <si>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</si>
  <si>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</si>
  <si>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</si>
  <si>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</si>
  <si>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</si>
  <si>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</si>
  <si>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</si>
  <si>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</si>
  <si>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</si>
  <si>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</si>
  <si>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</si>
  <si>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</si>
  <si>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</si>
  <si>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</si>
  <si>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</si>
  <si>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</si>
  <si>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</si>
  <si>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</si>
  <si>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</si>
  <si>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</si>
  <si>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</si>
  <si>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</si>
  <si>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</si>
  <si>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</si>
  <si>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</si>
  <si>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</si>
  <si>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</si>
  <si>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</si>
  <si>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</si>
  <si>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</si>
  <si>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</si>
  <si>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</si>
  <si>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</si>
  <si>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</si>
  <si>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</si>
  <si>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</si>
  <si>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</si>
  <si>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</si>
  <si>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</si>
  <si>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</si>
  <si>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</si>
  <si>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</si>
  <si>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</si>
  <si>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</si>
  <si>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</si>
  <si>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</si>
  <si>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</si>
  <si>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</si>
  <si>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</si>
  <si>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</si>
  <si>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</si>
  <si>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</si>
  <si>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</si>
  <si>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</si>
  <si>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</si>
  <si>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</si>
  <si>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</si>
  <si>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</si>
  <si>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</si>
  <si>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</si>
  <si>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</si>
  <si>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</si>
  <si>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</si>
  <si>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</si>
  <si>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</si>
  <si>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</si>
  <si>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</si>
  <si>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</si>
  <si>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</si>
  <si>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</si>
  <si>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</si>
  <si>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</si>
  <si>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</si>
  <si>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</si>
  <si>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</si>
  <si>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</si>
  <si>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</si>
  <si>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</si>
  <si>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</si>
  <si>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</si>
  <si>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</si>
  <si>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</si>
  <si>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</si>
  <si>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</si>
  <si>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</si>
  <si>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</si>
  <si>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</si>
  <si>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</si>
  <si>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</si>
  <si>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</si>
  <si>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</si>
  <si>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</si>
  <si>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</si>
  <si>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</si>
  <si>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</si>
  <si>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</si>
  <si>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</si>
  <si>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</si>
  <si>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</si>
  <si>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</si>
  <si>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</si>
  <si>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</si>
  <si>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</si>
  <si>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</si>
  <si>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</si>
  <si>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</si>
  <si>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</si>
  <si>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</si>
  <si>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</si>
  <si>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</si>
  <si>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</si>
  <si>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</si>
  <si>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</si>
  <si>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</si>
  <si>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</si>
  <si>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</si>
  <si>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</si>
  <si>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</si>
  <si>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</si>
  <si>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</si>
  <si>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</si>
  <si>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</si>
  <si>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</si>
  <si>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</si>
  <si>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</si>
  <si>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</si>
  <si>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</si>
  <si>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</si>
  <si>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</si>
  <si>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</si>
  <si>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</si>
  <si>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</si>
  <si>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</si>
  <si>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</si>
  <si>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</si>
  <si>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</si>
  <si>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</si>
  <si>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</si>
  <si>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</si>
  <si>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</si>
  <si>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</si>
  <si>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</si>
  <si>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</si>
  <si>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</si>
  <si>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</si>
  <si>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</si>
  <si>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</si>
  <si>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</si>
  <si>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</si>
  <si>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</si>
  <si>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</si>
  <si>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</si>
  <si>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</si>
  <si>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</si>
  <si>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</si>
  <si>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</si>
  <si>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</si>
  <si>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</si>
  <si>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</si>
  <si>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</si>
  <si>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</si>
  <si>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</si>
  <si>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</si>
  <si>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</si>
  <si>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</si>
  <si>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</si>
  <si>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</si>
  <si>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</si>
  <si>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</si>
  <si>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</si>
  <si>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</si>
  <si>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</si>
  <si>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</si>
  <si>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</si>
  <si>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</si>
  <si>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</si>
  <si>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</si>
  <si>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</si>
  <si>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</si>
  <si>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</si>
  <si>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</si>
  <si>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</si>
  <si>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</si>
  <si>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</si>
  <si>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</si>
  <si>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</si>
  <si>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</si>
  <si>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</si>
  <si>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</si>
  <si>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</si>
  <si>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</si>
  <si>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</si>
  <si>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</si>
  <si>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</si>
  <si>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</si>
  <si>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</si>
  <si>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</si>
  <si>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</si>
  <si>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</si>
  <si>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</si>
  <si>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</si>
  <si>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</si>
  <si>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</si>
  <si>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</si>
  <si>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</si>
  <si>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</si>
  <si>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</si>
  <si>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</si>
  <si>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</si>
  <si>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</si>
  <si>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</si>
  <si>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</si>
  <si>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</si>
  <si>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</si>
  <si>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</si>
  <si>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</si>
  <si>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</si>
  <si>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</si>
  <si>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</si>
  <si>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</si>
  <si>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</si>
  <si>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</si>
  <si>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</si>
  <si>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</si>
  <si>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</si>
  <si>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</si>
  <si>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</si>
  <si>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</si>
  <si>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</si>
  <si>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</si>
  <si>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</si>
  <si>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</si>
  <si>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</si>
  <si>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</si>
  <si>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</si>
  <si>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</si>
  <si>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</si>
  <si>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</si>
  <si>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</si>
  <si>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</si>
  <si>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</si>
  <si>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</si>
  <si>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</si>
  <si>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</si>
  <si>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</si>
  <si>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</si>
  <si>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</si>
  <si>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</si>
  <si>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</si>
  <si>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</si>
  <si>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</si>
  <si>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</si>
  <si>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</si>
  <si>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</si>
  <si>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</si>
  <si>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</si>
  <si>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</si>
  <si>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</si>
  <si>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</si>
  <si>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</si>
  <si>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</si>
  <si>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</si>
  <si>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</si>
  <si>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</si>
  <si>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</si>
  <si>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</si>
  <si>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</si>
  <si>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</si>
  <si>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</si>
  <si>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</si>
  <si>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</si>
  <si>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</si>
  <si>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</si>
  <si>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</si>
  <si>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</si>
  <si>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</si>
  <si>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</si>
  <si>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</si>
  <si>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</si>
  <si>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</si>
  <si>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</si>
  <si>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</si>
  <si>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</si>
  <si>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</si>
  <si>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</si>
  <si>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</si>
  <si>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</si>
  <si>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</si>
  <si>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</si>
  <si>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</si>
  <si>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</si>
  <si>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</si>
  <si>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</si>
  <si>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</si>
  <si>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</si>
  <si>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</si>
  <si>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</si>
  <si>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</si>
  <si>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</si>
  <si>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</si>
  <si>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</si>
  <si>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</si>
  <si>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</si>
  <si>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</si>
  <si>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</si>
  <si>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</si>
  <si>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</si>
  <si>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</si>
  <si>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</si>
  <si>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</si>
  <si>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</si>
  <si>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</si>
  <si>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</si>
  <si>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</si>
  <si>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</si>
  <si>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</si>
  <si>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</si>
  <si>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</si>
  <si>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</si>
  <si>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</si>
  <si>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</si>
  <si>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</si>
  <si>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</si>
  <si>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</si>
  <si>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</si>
  <si>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</si>
  <si>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</si>
  <si>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</si>
  <si>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</si>
  <si>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</si>
  <si>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</si>
  <si>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</si>
  <si>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</si>
  <si>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</si>
  <si>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</si>
  <si>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</si>
  <si>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</si>
  <si>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</si>
  <si>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</si>
  <si>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</si>
  <si>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</si>
  <si>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</si>
  <si>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</si>
  <si>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</si>
  <si>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</si>
  <si>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</si>
  <si>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</si>
  <si>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</si>
  <si>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</si>
  <si>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</si>
  <si>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</si>
  <si>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</si>
  <si>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</si>
  <si>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</si>
  <si>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</si>
  <si>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</si>
  <si>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</si>
  <si>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</si>
  <si>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</si>
  <si>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</si>
  <si>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</si>
  <si>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</si>
  <si>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</si>
  <si>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</si>
  <si>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</si>
  <si>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</si>
  <si>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</si>
  <si>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</si>
  <si>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</si>
  <si>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</si>
  <si>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</si>
  <si>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</si>
  <si>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</si>
  <si>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</si>
  <si>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</si>
  <si>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</si>
  <si>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</si>
  <si>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</si>
  <si>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</si>
  <si>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</si>
  <si>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</si>
  <si>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</si>
  <si>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</si>
  <si>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</si>
  <si>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</si>
  <si>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</si>
  <si>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</si>
  <si>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</si>
  <si>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</si>
  <si>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</si>
  <si>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</si>
  <si>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</si>
  <si>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</si>
  <si>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</si>
  <si>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</si>
  <si>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</si>
  <si>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</si>
  <si>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</si>
  <si>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</si>
  <si>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</si>
  <si>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</si>
  <si>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</si>
  <si>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</si>
  <si>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</si>
  <si>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</si>
  <si>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</si>
  <si>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</si>
  <si>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</si>
  <si>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</si>
  <si>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</si>
  <si>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</si>
  <si>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</si>
  <si>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</si>
  <si>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</si>
  <si>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</si>
  <si>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</si>
  <si>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</si>
  <si>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</si>
  <si>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</si>
  <si>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</si>
  <si>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</si>
  <si>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</si>
  <si>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</si>
  <si>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</si>
  <si>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</si>
  <si>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</si>
  <si>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</si>
  <si>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</si>
  <si>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</si>
  <si>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</si>
  <si>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</si>
  <si>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</si>
  <si>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</si>
  <si>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</si>
  <si>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</si>
  <si>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</si>
  <si>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</si>
  <si>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</si>
  <si>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</si>
  <si>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</si>
  <si>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</si>
  <si>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</si>
  <si>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</si>
  <si>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</si>
  <si>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</si>
  <si>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</si>
  <si>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</si>
  <si>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</si>
  <si>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</si>
  <si>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</si>
  <si>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</si>
  <si>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</si>
  <si>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</si>
  <si>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</si>
  <si>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</si>
  <si>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</si>
  <si>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</si>
  <si>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</si>
  <si>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</si>
  <si>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</si>
  <si>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</si>
  <si>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</si>
  <si>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</si>
  <si>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</si>
  <si>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</si>
  <si>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</si>
  <si>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</si>
  <si>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</si>
  <si>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</si>
  <si>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</si>
  <si>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</si>
  <si>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</si>
  <si>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</si>
  <si>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</si>
  <si>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</si>
  <si>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</si>
  <si>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</si>
  <si>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</si>
  <si>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</si>
  <si>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</si>
  <si>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</si>
  <si>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</si>
  <si>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</si>
  <si>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</si>
  <si>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</si>
  <si>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</si>
  <si>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</si>
  <si>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</si>
  <si>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</si>
  <si>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</si>
  <si>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</si>
  <si>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</si>
  <si>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</si>
  <si>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</si>
  <si>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</si>
  <si>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</si>
  <si>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</si>
  <si>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</si>
  <si>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</si>
  <si>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</si>
  <si>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</si>
  <si>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</si>
  <si>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</si>
  <si>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</si>
  <si>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</si>
  <si>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</si>
  <si>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</si>
  <si>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</si>
  <si>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</si>
  <si>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</si>
  <si>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</si>
  <si>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</si>
  <si>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</si>
  <si>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</si>
  <si>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</si>
  <si>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</si>
  <si>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</si>
  <si>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</si>
  <si>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</si>
  <si>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</si>
  <si>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</si>
  <si>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</si>
  <si>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</si>
  <si>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</si>
  <si>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</si>
  <si>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</si>
  <si>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</si>
  <si>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</si>
  <si>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</si>
  <si>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</si>
  <si>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</si>
  <si>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</si>
  <si>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</si>
  <si>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</si>
  <si>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</si>
  <si>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</si>
  <si>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</si>
  <si>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</si>
  <si>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</si>
  <si>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</si>
  <si>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</si>
  <si>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</si>
  <si>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</si>
  <si>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</si>
  <si>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</si>
  <si>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</si>
  <si>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</si>
  <si>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</si>
  <si>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</si>
  <si>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</si>
  <si>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</si>
  <si>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</si>
  <si>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</si>
  <si>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</si>
  <si>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</si>
  <si>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</si>
  <si>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</si>
  <si>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</si>
  <si>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</si>
  <si>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</si>
  <si>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</si>
  <si>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</si>
  <si>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</si>
  <si>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</si>
  <si>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</si>
  <si>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</si>
  <si>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</si>
  <si>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</si>
  <si>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</si>
  <si>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</si>
  <si>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</si>
  <si>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</si>
  <si>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</si>
  <si>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</si>
  <si>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</si>
  <si>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</si>
  <si>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</si>
  <si>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</si>
  <si>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</si>
  <si>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</si>
  <si>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</si>
  <si>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</si>
  <si>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</si>
  <si>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</si>
  <si>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</si>
  <si>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</si>
  <si>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</si>
  <si>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</si>
  <si>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</si>
  <si>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</si>
  <si>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</si>
  <si>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</si>
  <si>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</si>
  <si>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</si>
  <si>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</si>
  <si>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</si>
  <si>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</si>
  <si>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</si>
  <si>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</si>
  <si>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</si>
  <si>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</si>
  <si>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</si>
  <si>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</si>
  <si>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</si>
  <si>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</si>
  <si>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</si>
  <si>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</si>
  <si>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</si>
  <si>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</si>
  <si>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</si>
  <si>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</si>
  <si>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</si>
  <si>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</si>
  <si>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</si>
  <si>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</si>
  <si>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</si>
  <si>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</si>
  <si>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</si>
  <si>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</si>
  <si>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</si>
  <si>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</si>
  <si>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</si>
  <si>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</si>
  <si>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</si>
  <si>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</si>
  <si>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</si>
  <si>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</si>
  <si>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</si>
  <si>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</si>
  <si>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</si>
  <si>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</si>
  <si>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</si>
  <si>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</si>
  <si>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</si>
  <si>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</si>
  <si>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</si>
  <si>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</si>
  <si>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</si>
  <si>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</si>
  <si>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</si>
  <si>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</si>
  <si>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</si>
  <si>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</si>
  <si>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</si>
  <si>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</si>
  <si>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</si>
  <si>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</si>
  <si>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</si>
  <si>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</si>
  <si>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</si>
  <si>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</si>
  <si>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</si>
  <si>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</si>
  <si>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</si>
  <si>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</si>
  <si>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</si>
  <si>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</si>
  <si>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</si>
  <si>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</si>
  <si>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</si>
  <si>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</si>
  <si>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</si>
  <si>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</si>
  <si>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</si>
  <si>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</si>
  <si>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</si>
  <si>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</si>
  <si>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</si>
  <si>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</si>
  <si>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</si>
  <si>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</si>
  <si>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</si>
  <si>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</si>
  <si>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</si>
  <si>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</si>
  <si>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</si>
  <si>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</si>
  <si>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</si>
  <si>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</si>
  <si>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</si>
  <si>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</si>
  <si>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</si>
  <si>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</si>
  <si>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</si>
  <si>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</si>
  <si>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</si>
  <si>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</si>
  <si>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</si>
  <si>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</si>
  <si>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</si>
  <si>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</si>
  <si>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</si>
  <si>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</si>
  <si>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</si>
  <si>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</si>
  <si>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</si>
  <si>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</si>
  <si>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</si>
  <si>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</si>
  <si>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</si>
  <si>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</si>
  <si>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</si>
  <si>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</si>
  <si>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</si>
  <si>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</si>
  <si>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</si>
  <si>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</si>
  <si>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</si>
  <si>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</si>
  <si>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</si>
  <si>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</si>
  <si>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</si>
  <si>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</si>
  <si>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</si>
  <si>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</si>
  <si>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</si>
  <si>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</si>
  <si>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</si>
  <si>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</si>
  <si>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</si>
  <si>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</si>
  <si>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</si>
  <si>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</si>
  <si>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</si>
  <si>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</si>
  <si>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</si>
  <si>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</si>
  <si>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</si>
  <si>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</si>
  <si>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</si>
  <si>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</si>
  <si>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</si>
  <si>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</si>
  <si>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</si>
  <si>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</si>
  <si>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</si>
  <si>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</si>
  <si>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</si>
  <si>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</si>
  <si>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</si>
  <si>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</si>
  <si>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</si>
  <si>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</si>
  <si>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</si>
  <si>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</si>
  <si>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</si>
  <si>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</si>
  <si>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</si>
  <si>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</si>
  <si>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</si>
  <si>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</si>
  <si>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</si>
  <si>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地块</t>
  </si>
  <si>
    <t>是</t>
  </si>
  <si>
    <t>地上</t>
  </si>
  <si>
    <t>住宅</t>
  </si>
  <si>
    <t>地下</t>
  </si>
  <si>
    <t>中区</t>
  </si>
  <si>
    <t>车库</t>
    <phoneticPr fontId="134" type="noConversion"/>
  </si>
  <si>
    <t>住宅</t>
    <phoneticPr fontId="7" type="noConversion"/>
  </si>
  <si>
    <t>车库</t>
    <phoneticPr fontId="7" type="noConversion"/>
  </si>
  <si>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</si>
  <si>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</si>
  <si>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</si>
  <si>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</si>
  <si>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</si>
  <si>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</si>
  <si>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</si>
  <si>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</si>
  <si>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</si>
  <si>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</si>
  <si>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</si>
  <si>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中海云筑</t>
    <phoneticPr fontId="3"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</si>
  <si>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</si>
  <si>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</si>
  <si>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</si>
  <si>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</si>
  <si>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</si>
  <si>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</si>
  <si>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</si>
  <si>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</si>
  <si>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</si>
  <si>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</si>
  <si>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</si>
  <si>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</si>
  <si>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</si>
  <si>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</si>
  <si>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</si>
  <si>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</si>
  <si>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</si>
  <si>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</si>
  <si>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</si>
  <si>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</si>
  <si>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</si>
  <si>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</si>
  <si>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t>大兴金茂悦</t>
    <phoneticPr fontId="3" type="noConversion"/>
  </si>
  <si>
    <t>航城壹号</t>
    <phoneticPr fontId="3"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</si>
  <si>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</si>
  <si>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</si>
  <si>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</si>
  <si>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</si>
  <si>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</si>
  <si>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</si>
  <si>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</si>
  <si>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</si>
  <si>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</si>
  <si>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</si>
  <si>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</si>
  <si>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</si>
  <si>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</si>
  <si>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</si>
  <si>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</si>
  <si>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</si>
  <si>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</si>
  <si>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</si>
  <si>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</si>
  <si>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</si>
  <si>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</si>
  <si>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</si>
  <si>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</si>
  <si>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</si>
  <si>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</si>
  <si>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</si>
  <si>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</si>
  <si>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</si>
  <si>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</si>
  <si>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</si>
  <si>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</si>
  <si>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</si>
  <si>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</si>
  <si>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</si>
  <si>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</si>
  <si>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</si>
  <si>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</si>
  <si>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</si>
  <si>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</si>
  <si>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</si>
  <si>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</si>
  <si>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</si>
  <si>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</si>
  <si>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</si>
  <si>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</si>
  <si>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</si>
  <si>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</si>
  <si>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</si>
  <si>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</si>
  <si>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</si>
  <si>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</si>
  <si>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</si>
  <si>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</si>
  <si>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</si>
  <si>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</si>
  <si>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</si>
  <si>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</si>
  <si>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</si>
  <si>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</si>
  <si>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</si>
  <si>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</si>
  <si>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</si>
  <si>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</si>
  <si>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</si>
  <si>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</si>
  <si>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</si>
  <si>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</si>
  <si>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</si>
  <si>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</si>
  <si>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</si>
  <si>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</si>
  <si>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</si>
  <si>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</si>
  <si>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</si>
  <si>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</si>
  <si>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</si>
  <si>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</si>
  <si>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</si>
  <si>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</si>
  <si>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</si>
  <si>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</si>
  <si>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</si>
  <si>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</si>
  <si>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</si>
  <si>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</si>
  <si>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</si>
  <si>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</si>
  <si>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</si>
  <si>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</si>
  <si>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</si>
  <si>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</si>
  <si>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</si>
  <si>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</si>
  <si>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</si>
  <si>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</si>
  <si>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</si>
  <si>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</si>
  <si>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</si>
  <si>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</si>
  <si>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</si>
  <si>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</si>
  <si>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</si>
  <si>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</si>
  <si>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</si>
  <si>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</si>
  <si>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</si>
  <si>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</si>
  <si>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</si>
  <si>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</si>
  <si>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</si>
  <si>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</si>
  <si>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</si>
  <si>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</si>
  <si>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</si>
  <si>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</si>
  <si>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</si>
  <si>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</si>
  <si>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</si>
  <si>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</si>
  <si>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</si>
  <si>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</si>
  <si>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</si>
  <si>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</si>
  <si>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</si>
  <si>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</si>
  <si>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</si>
  <si>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</si>
  <si>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</si>
  <si>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</si>
  <si>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</si>
  <si>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</si>
  <si>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</si>
  <si>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</si>
  <si>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</si>
  <si>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</si>
  <si>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</si>
  <si>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</si>
  <si>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</si>
  <si>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</si>
  <si>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</si>
  <si>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</si>
  <si>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</si>
  <si>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</si>
  <si>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</si>
  <si>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</si>
  <si>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</si>
  <si>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</si>
  <si>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</si>
  <si>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</si>
  <si>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</si>
  <si>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</si>
  <si>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</si>
  <si>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</si>
  <si>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</si>
  <si>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</si>
  <si>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</si>
  <si>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</si>
  <si>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</si>
  <si>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</si>
  <si>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</si>
  <si>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</si>
  <si>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</si>
  <si>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</si>
  <si>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</si>
  <si>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</si>
  <si>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</si>
  <si>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</si>
  <si>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</si>
  <si>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</si>
  <si>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</si>
  <si>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</si>
  <si>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</si>
  <si>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</si>
  <si>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</si>
  <si>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</si>
  <si>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</si>
  <si>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</si>
  <si>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</si>
  <si>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</si>
  <si>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</si>
  <si>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</si>
  <si>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</si>
  <si>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</si>
  <si>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</si>
  <si>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</si>
  <si>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舒朗苑</t>
    <phoneticPr fontId="3" type="noConversion"/>
  </si>
  <si>
    <t>海悦公馆</t>
    <phoneticPr fontId="3" type="noConversion"/>
  </si>
  <si>
    <t>城建宽院国誉府</t>
    <phoneticPr fontId="3" type="noConversion"/>
  </si>
  <si>
    <t>2-8-1-101</t>
  </si>
  <si>
    <t>6003地块</t>
  </si>
  <si>
    <t>2-8-1-102</t>
  </si>
  <si>
    <t>2-8-1-201</t>
  </si>
  <si>
    <t>2-8-1-202</t>
  </si>
  <si>
    <t>2-8-1-301</t>
  </si>
  <si>
    <t>2-8-1-302</t>
  </si>
  <si>
    <t>2-8-1-401</t>
  </si>
  <si>
    <t>2-8-1-402</t>
  </si>
  <si>
    <t>2-8-1-501</t>
  </si>
  <si>
    <t>2-8-1-502</t>
  </si>
  <si>
    <t>2-8-1-601</t>
  </si>
  <si>
    <t>2-8-1-602</t>
  </si>
  <si>
    <t>2-8-1-701</t>
  </si>
  <si>
    <t>2-8-1-702</t>
  </si>
  <si>
    <t>2-8-1-801</t>
  </si>
  <si>
    <t>2-8-1-802</t>
  </si>
  <si>
    <t>2-8-1-901</t>
  </si>
  <si>
    <t>2-8-1-902</t>
  </si>
  <si>
    <t>2-8-1-1001</t>
  </si>
  <si>
    <t>2-8-1-1002</t>
  </si>
  <si>
    <t>2-8-2-101</t>
  </si>
  <si>
    <t>2-8-2-102</t>
  </si>
  <si>
    <t>2-8-2-201</t>
  </si>
  <si>
    <t>2-8-2-202</t>
  </si>
  <si>
    <t>2-8-2-301</t>
  </si>
  <si>
    <t>2-8-2-302</t>
  </si>
  <si>
    <t>2-8-2-401</t>
  </si>
  <si>
    <t>2-8-2-402</t>
  </si>
  <si>
    <t>2-8-2-501</t>
  </si>
  <si>
    <t>2-8-2-502</t>
  </si>
  <si>
    <t>2-8-2-601</t>
  </si>
  <si>
    <t>2-8-2-602</t>
  </si>
  <si>
    <t>2-8-2-701</t>
  </si>
  <si>
    <t>2-8-2-702</t>
  </si>
  <si>
    <t>2-8-2-801</t>
  </si>
  <si>
    <t>2-8-2-802</t>
  </si>
  <si>
    <t>2-8-2-901</t>
  </si>
  <si>
    <t>2-8-2-902</t>
  </si>
  <si>
    <t>2-8-2-1001</t>
  </si>
  <si>
    <t>2-8-2-1002</t>
  </si>
  <si>
    <t>2-10-1-101</t>
  </si>
  <si>
    <t>2-10-1-102</t>
  </si>
  <si>
    <t>2-10-1-201</t>
  </si>
  <si>
    <t>2-10-1-202</t>
  </si>
  <si>
    <t>2-10-1-301</t>
  </si>
  <si>
    <t>2-10-1-302</t>
  </si>
  <si>
    <t>2-10-1-401</t>
  </si>
  <si>
    <t>2-10-1-402</t>
  </si>
  <si>
    <t>2-10-1-501</t>
  </si>
  <si>
    <t>2-10-1-502</t>
  </si>
  <si>
    <t>2-10-1-601</t>
  </si>
  <si>
    <t>2-10-1-602</t>
  </si>
  <si>
    <t>2-10-1-701</t>
  </si>
  <si>
    <t>2-10-1-702</t>
  </si>
  <si>
    <t>2-10-1-801</t>
  </si>
  <si>
    <t>2-10-1-802</t>
  </si>
  <si>
    <t>2-10-1-901</t>
  </si>
  <si>
    <t>2-10-1-902</t>
  </si>
  <si>
    <t>2-10-1-1001</t>
  </si>
  <si>
    <t>2-10-1-1002</t>
  </si>
  <si>
    <t>2-10-1-1101</t>
  </si>
  <si>
    <t>2-10-1-1102</t>
  </si>
  <si>
    <t>2-10-2-101</t>
  </si>
  <si>
    <t>2-10-2-102</t>
  </si>
  <si>
    <t>2-10-2-201</t>
  </si>
  <si>
    <t>2-10-2-202</t>
  </si>
  <si>
    <t>2-10-2-301</t>
  </si>
  <si>
    <t>2-10-2-302</t>
  </si>
  <si>
    <t>2-10-2-401</t>
  </si>
  <si>
    <t>2-10-2-402</t>
  </si>
  <si>
    <t>2-10-2-501</t>
  </si>
  <si>
    <t>2-10-2-502</t>
  </si>
  <si>
    <t>2-10-2-601</t>
  </si>
  <si>
    <t>2-10-2-602</t>
  </si>
  <si>
    <t>2-10-2-701</t>
  </si>
  <si>
    <t>2-10-2-702</t>
  </si>
  <si>
    <t>2-10-2-801</t>
  </si>
  <si>
    <t>2-10-2-802</t>
  </si>
  <si>
    <t>2-10-2-901</t>
  </si>
  <si>
    <t>2-10-2-902</t>
  </si>
  <si>
    <t>2-10-2-1001</t>
  </si>
  <si>
    <t>2-10-2-1002</t>
  </si>
  <si>
    <t>2-10-2-1101</t>
  </si>
  <si>
    <t>2-10-2-1102</t>
  </si>
  <si>
    <t>2-12-1-101</t>
  </si>
  <si>
    <t>2-12-1-102</t>
  </si>
  <si>
    <t>2-12-1-201</t>
  </si>
  <si>
    <t>2-12-1-202</t>
  </si>
  <si>
    <t>2-12-1-301</t>
  </si>
  <si>
    <t>2-12-1-302</t>
  </si>
  <si>
    <t>2-12-1-401</t>
  </si>
  <si>
    <t>2-12-1-402</t>
  </si>
  <si>
    <t>2-12-1-501</t>
  </si>
  <si>
    <t>2-12-1-502</t>
  </si>
  <si>
    <t>2-12-1-601</t>
  </si>
  <si>
    <t>2-12-1-602</t>
  </si>
  <si>
    <t>2-12-1-701</t>
  </si>
  <si>
    <t>2-12-1-702</t>
  </si>
  <si>
    <t>2-12-1-801</t>
  </si>
  <si>
    <t>2-12-1-802</t>
  </si>
  <si>
    <t>2-12-1-901</t>
  </si>
  <si>
    <t>2-12-1-902</t>
  </si>
  <si>
    <t>2-12-1-1001</t>
  </si>
  <si>
    <t>2-12-1-1002</t>
  </si>
  <si>
    <t>2-12-2-101</t>
  </si>
  <si>
    <t>2-12-2-102</t>
  </si>
  <si>
    <t>2-12-2-201</t>
  </si>
  <si>
    <t>2-12-2-202</t>
  </si>
  <si>
    <t>2-12-2-301</t>
  </si>
  <si>
    <t>2-12-2-302</t>
  </si>
  <si>
    <t>2-12-2-401</t>
  </si>
  <si>
    <t>2-12-2-402</t>
  </si>
  <si>
    <t>2-12-2-501</t>
  </si>
  <si>
    <t>2-12-2-502</t>
  </si>
  <si>
    <t>2-12-2-601</t>
  </si>
  <si>
    <t>2-12-2-602</t>
  </si>
  <si>
    <t>2-12-2-701</t>
  </si>
  <si>
    <t>2-12-2-702</t>
  </si>
  <si>
    <t>2-12-2-801</t>
  </si>
  <si>
    <t>2-12-2-802</t>
  </si>
  <si>
    <t>2-12-2-901</t>
  </si>
  <si>
    <t>2-12-2-902</t>
  </si>
  <si>
    <t>2-12-2-1001</t>
  </si>
  <si>
    <t>2-12-2-1002</t>
  </si>
  <si>
    <t>2-14-1-101</t>
  </si>
  <si>
    <t>2-14-1-102</t>
  </si>
  <si>
    <t>2-14-1-201</t>
  </si>
  <si>
    <t>2-14-1-202</t>
  </si>
  <si>
    <t>2-14-1-301</t>
  </si>
  <si>
    <t>2-14-1-302</t>
  </si>
  <si>
    <t>2-14-1-401</t>
  </si>
  <si>
    <t>2-14-1-402</t>
  </si>
  <si>
    <t>2-14-1-501</t>
  </si>
  <si>
    <t>2-14-1-502</t>
  </si>
  <si>
    <t>2-14-1-601</t>
  </si>
  <si>
    <t>2-14-1-602</t>
  </si>
  <si>
    <t>2-14-1-701</t>
  </si>
  <si>
    <t>2-14-1-702</t>
  </si>
  <si>
    <t>2-14-1-801</t>
  </si>
  <si>
    <t>2-14-1-802</t>
  </si>
  <si>
    <t>2-14-1-901</t>
  </si>
  <si>
    <t>2-14-1-902</t>
  </si>
  <si>
    <t>2-14-1-1001</t>
  </si>
  <si>
    <t>2-14-1-1002</t>
  </si>
  <si>
    <t>2-14-1-1101</t>
  </si>
  <si>
    <t>2-14-1-1102</t>
  </si>
  <si>
    <t>2-14-2-101</t>
  </si>
  <si>
    <t>2-14-2-102</t>
  </si>
  <si>
    <t>2-14-2-201</t>
  </si>
  <si>
    <t>2-14-2-202</t>
  </si>
  <si>
    <t>2-14-2-301</t>
  </si>
  <si>
    <t>2-14-2-302</t>
  </si>
  <si>
    <t>2-14-2-401</t>
  </si>
  <si>
    <t>2-14-2-402</t>
  </si>
  <si>
    <t>2-14-2-501</t>
  </si>
  <si>
    <t>2-14-2-502</t>
  </si>
  <si>
    <t>2-14-2-601</t>
  </si>
  <si>
    <t>2-14-2-602</t>
  </si>
  <si>
    <t>2-14-2-701</t>
  </si>
  <si>
    <t>2-14-2-702</t>
  </si>
  <si>
    <t>2-14-2-801</t>
  </si>
  <si>
    <t>2-14-2-802</t>
  </si>
  <si>
    <t>2-14-2-901</t>
  </si>
  <si>
    <t>2-14-2-902</t>
  </si>
  <si>
    <t>2-14-2-1001</t>
  </si>
  <si>
    <t>2-14-2-1002</t>
  </si>
  <si>
    <t>2-14-2-1101</t>
  </si>
  <si>
    <t>2-14-2-1102</t>
  </si>
  <si>
    <t>2-16-1-101</t>
  </si>
  <si>
    <t>2-16-1-102</t>
  </si>
  <si>
    <t>2-16-1-201</t>
  </si>
  <si>
    <t>2-16-1-202</t>
  </si>
  <si>
    <t>2-16-1-301</t>
  </si>
  <si>
    <t>2-16-1-302</t>
  </si>
  <si>
    <t>2-16-1-401</t>
  </si>
  <si>
    <t>2-16-1-402</t>
  </si>
  <si>
    <t>2-16-1-501</t>
  </si>
  <si>
    <t>2-16-1-502</t>
  </si>
  <si>
    <t>2-16-1-601</t>
  </si>
  <si>
    <t>2-16-1-602</t>
  </si>
  <si>
    <t>2-16-1-701</t>
  </si>
  <si>
    <t>2-16-1-702</t>
  </si>
  <si>
    <t>2-16-1-801</t>
  </si>
  <si>
    <t>2-16-1-802</t>
  </si>
  <si>
    <t>2-16-1-901</t>
  </si>
  <si>
    <t>2-16-1-902</t>
  </si>
  <si>
    <t>2-16-1-1001</t>
  </si>
  <si>
    <t>2-16-1-1002</t>
  </si>
  <si>
    <t>2-16-2-101</t>
  </si>
  <si>
    <t>2-16-2-102</t>
  </si>
  <si>
    <t>2-16-2-201</t>
  </si>
  <si>
    <t>2-16-2-202</t>
  </si>
  <si>
    <t>2-16-2-301</t>
  </si>
  <si>
    <t>2-16-2-302</t>
  </si>
  <si>
    <t>2-16-2-401</t>
  </si>
  <si>
    <t>2-16-2-402</t>
  </si>
  <si>
    <t>2-16-2-501</t>
  </si>
  <si>
    <t>2-16-2-502</t>
  </si>
  <si>
    <t>2-16-2-601</t>
  </si>
  <si>
    <t>2-16-2-602</t>
  </si>
  <si>
    <t>2-16-2-701</t>
  </si>
  <si>
    <t>2-16-2-702</t>
  </si>
  <si>
    <t>2-16-2-801</t>
  </si>
  <si>
    <t>2-16-2-802</t>
  </si>
  <si>
    <t>2-16-2-901</t>
  </si>
  <si>
    <t>2-16-2-902</t>
  </si>
  <si>
    <t>2-16-2-1001</t>
  </si>
  <si>
    <t>2-16-2-1002</t>
  </si>
  <si>
    <t>2-18-1-101</t>
  </si>
  <si>
    <t>2-18-1-102</t>
  </si>
  <si>
    <t>2-18-1-201</t>
  </si>
  <si>
    <t>2-18-1-202</t>
  </si>
  <si>
    <t>2-18-1-301</t>
  </si>
  <si>
    <t>2-18-1-302</t>
  </si>
  <si>
    <t>2-18-1-401</t>
  </si>
  <si>
    <t>2-18-1-402</t>
  </si>
  <si>
    <t>2-18-1-501</t>
  </si>
  <si>
    <t>2-18-1-502</t>
  </si>
  <si>
    <t>2-18-1-602</t>
  </si>
  <si>
    <t>2-18-1-701</t>
  </si>
  <si>
    <t>2-18-1-702</t>
  </si>
  <si>
    <t>2-18-1-801</t>
  </si>
  <si>
    <t>2-18-1-802</t>
  </si>
  <si>
    <t>2-18-1-901</t>
  </si>
  <si>
    <t>2-18-1-902</t>
  </si>
  <si>
    <t>2-18-1-1001</t>
  </si>
  <si>
    <t>2-18-1-1002</t>
  </si>
  <si>
    <t>2-18-1-1101</t>
  </si>
  <si>
    <t>2-18-1-1102</t>
  </si>
  <si>
    <t>2-18-2-102</t>
  </si>
  <si>
    <t>2-18-2-201</t>
  </si>
  <si>
    <t>2-18-2-202</t>
  </si>
  <si>
    <t>2-18-2-301</t>
  </si>
  <si>
    <t>2-18-2-302</t>
  </si>
  <si>
    <t>2-18-2-401</t>
  </si>
  <si>
    <t>2-18-2-501</t>
  </si>
  <si>
    <t>2-18-2-502</t>
  </si>
  <si>
    <t>2-18-2-601</t>
  </si>
  <si>
    <t>2-18-2-602</t>
  </si>
  <si>
    <t>2-18-2-701</t>
  </si>
  <si>
    <t>2-18-2-702</t>
  </si>
  <si>
    <t>2-18-2-801</t>
  </si>
  <si>
    <t>2-18-2-802</t>
  </si>
  <si>
    <t>2-18-2-901</t>
  </si>
  <si>
    <t>2-18-2-902</t>
  </si>
  <si>
    <t>2-18-2-1001</t>
  </si>
  <si>
    <t>2-18-2-1002</t>
  </si>
  <si>
    <t>2-18-2-1101</t>
  </si>
  <si>
    <t>2-18-2-1102</t>
  </si>
  <si>
    <t>2-18-3-101</t>
  </si>
  <si>
    <t>2-18-3-102</t>
  </si>
  <si>
    <t>2-18-3-201</t>
  </si>
  <si>
    <t>2-18-3-202</t>
  </si>
  <si>
    <t>2-18-3-301</t>
  </si>
  <si>
    <t>2-18-3-302</t>
  </si>
  <si>
    <t>2-18-3-401</t>
  </si>
  <si>
    <t>2-18-3-402</t>
  </si>
  <si>
    <t>2-18-3-501</t>
  </si>
  <si>
    <t>2-18-3-502</t>
  </si>
  <si>
    <t>2-18-3-601</t>
  </si>
  <si>
    <t>2-18-3-602</t>
  </si>
  <si>
    <t>2-18-3-701</t>
  </si>
  <si>
    <t>2-18-3-702</t>
  </si>
  <si>
    <t>2-18-3-801</t>
  </si>
  <si>
    <t>2-18-3-802</t>
  </si>
  <si>
    <t>2-18-3-901</t>
  </si>
  <si>
    <t>2-18-3-902</t>
  </si>
  <si>
    <t>2-18-3-1001</t>
  </si>
  <si>
    <t>2-18-3-1002</t>
  </si>
  <si>
    <t>2-18-3-1101</t>
  </si>
  <si>
    <t>2-18-3-1102</t>
  </si>
  <si>
    <t>2-18-4-101</t>
  </si>
  <si>
    <t>2-18-4-102</t>
  </si>
  <si>
    <t>2-18-4-201</t>
  </si>
  <si>
    <t>2-18-4-202</t>
  </si>
  <si>
    <t>2-18-4-301</t>
  </si>
  <si>
    <t>2-18-4-302</t>
  </si>
  <si>
    <t>2-18-4-401</t>
  </si>
  <si>
    <t>2-18-4-402</t>
  </si>
  <si>
    <t>2-18-4-501</t>
  </si>
  <si>
    <t>2-18-4-502</t>
  </si>
  <si>
    <t>2-18-4-601</t>
  </si>
  <si>
    <t>2-18-4-602</t>
  </si>
  <si>
    <t>2-18-4-701</t>
  </si>
  <si>
    <t>2-18-4-702</t>
  </si>
  <si>
    <t>2-18-4-801</t>
  </si>
  <si>
    <t>2-18-4-802</t>
  </si>
  <si>
    <t>2-18-4-901</t>
  </si>
  <si>
    <t>2-18-4-902</t>
  </si>
  <si>
    <t>2-18-4-1001</t>
  </si>
  <si>
    <t>2-18-4-1002</t>
  </si>
  <si>
    <t>2-18-4-1101</t>
  </si>
  <si>
    <t>2-18-4-1102</t>
  </si>
  <si>
    <t>2-21-1-101</t>
  </si>
  <si>
    <t>2-21-1-102</t>
  </si>
  <si>
    <t>2-21-1-201</t>
  </si>
  <si>
    <t>2-21-1-202</t>
  </si>
  <si>
    <t>2-21-1-301</t>
  </si>
  <si>
    <t>2-21-1-302</t>
  </si>
  <si>
    <t>2-21-1-401</t>
  </si>
  <si>
    <t>2-21-1-402</t>
  </si>
  <si>
    <t>2-21-1-501</t>
  </si>
  <si>
    <t>2-21-1-502</t>
  </si>
  <si>
    <t>2-21-2-101</t>
  </si>
  <si>
    <t>2-21-2-102</t>
  </si>
  <si>
    <t>2-21-2-201</t>
  </si>
  <si>
    <t>2-21-2-202</t>
  </si>
  <si>
    <t>2-21-2-301</t>
  </si>
  <si>
    <t>2-21-2-302</t>
  </si>
  <si>
    <t>2-21-2-401</t>
  </si>
  <si>
    <t>2-21-2-402</t>
  </si>
  <si>
    <t>2-21-2-501</t>
  </si>
  <si>
    <t>2-21-2-502</t>
  </si>
  <si>
    <t>2-21-2-601</t>
  </si>
  <si>
    <t>2-21-2-602</t>
  </si>
  <si>
    <t>2-21-3-101</t>
  </si>
  <si>
    <t>2-21-3-102</t>
  </si>
  <si>
    <t>2-21-3-201</t>
  </si>
  <si>
    <t>2-21-3-202</t>
  </si>
  <si>
    <t>2-21-3-301</t>
  </si>
  <si>
    <t>2-21-3-302</t>
  </si>
  <si>
    <t>2-21-3-401</t>
  </si>
  <si>
    <t>2-21-3-402</t>
  </si>
  <si>
    <t>2-21-3-501</t>
  </si>
  <si>
    <t>2-21-3-502</t>
  </si>
  <si>
    <t>2-21-3-601</t>
  </si>
  <si>
    <t>2-21-3-602</t>
  </si>
  <si>
    <t>2-21-4-101</t>
  </si>
  <si>
    <t>2-21-4-102</t>
  </si>
  <si>
    <t>2-21-4-201</t>
  </si>
  <si>
    <t>2-21-4-202</t>
  </si>
  <si>
    <t>2-21-4-301</t>
  </si>
  <si>
    <t>2-21-4-302</t>
  </si>
  <si>
    <t>2-21-4-401</t>
  </si>
  <si>
    <t>2-21-4-402</t>
  </si>
  <si>
    <t>2-21-4-501</t>
  </si>
  <si>
    <t>2-21-4-502</t>
  </si>
  <si>
    <t>2-21-4-601</t>
  </si>
  <si>
    <t>2-21-4-602</t>
  </si>
  <si>
    <t>2-22-1-101</t>
  </si>
  <si>
    <t>2-22-1-102</t>
  </si>
  <si>
    <t>2-22-1-201</t>
  </si>
  <si>
    <t>2-22-1-202</t>
  </si>
  <si>
    <t>2-22-1-301</t>
  </si>
  <si>
    <t>2-22-1-302</t>
  </si>
  <si>
    <t>2-22-1-401</t>
  </si>
  <si>
    <t>2-22-1-402</t>
  </si>
  <si>
    <t>2-22-1-501</t>
  </si>
  <si>
    <t>2-22-1-502</t>
  </si>
  <si>
    <t>2-22-1-601</t>
  </si>
  <si>
    <t>2-22-1-602</t>
  </si>
  <si>
    <t>2-22-2-101</t>
  </si>
  <si>
    <t>2-22-2-102</t>
  </si>
  <si>
    <t>2-22-2-201</t>
  </si>
  <si>
    <t>2-22-2-202</t>
  </si>
  <si>
    <t>2-22-2-301</t>
  </si>
  <si>
    <t>2-22-2-302</t>
  </si>
  <si>
    <t>2-22-2-401</t>
  </si>
  <si>
    <t>2-22-2-402</t>
  </si>
  <si>
    <t>2-22-2-501</t>
  </si>
  <si>
    <t>2-22-2-502</t>
  </si>
  <si>
    <t>2-22-2-601</t>
  </si>
  <si>
    <t>2-22-2-602</t>
  </si>
  <si>
    <t>2-22-3-101</t>
  </si>
  <si>
    <t>2-22-3-102</t>
  </si>
  <si>
    <t>2-22-3-201</t>
  </si>
  <si>
    <t>2-22-3-202</t>
  </si>
  <si>
    <t>2-22-3-301</t>
  </si>
  <si>
    <t>2-22-3-302</t>
  </si>
  <si>
    <t>2-22-3-401</t>
  </si>
  <si>
    <t>2-22-3-402</t>
  </si>
  <si>
    <t>2-22-3-501</t>
  </si>
  <si>
    <t>2-22-3-502</t>
  </si>
  <si>
    <t>2-22-3-601</t>
  </si>
  <si>
    <t>2-22-3-602</t>
  </si>
  <si>
    <t>2-22-4-101</t>
  </si>
  <si>
    <t>2-22-4-102</t>
  </si>
  <si>
    <t>2-22-4-201</t>
  </si>
  <si>
    <t>2-22-4-202</t>
  </si>
  <si>
    <t>2-22-4-301</t>
  </si>
  <si>
    <t>2-22-4-302</t>
  </si>
  <si>
    <t>2-22-4-401</t>
  </si>
  <si>
    <t>2-22-4-402</t>
  </si>
  <si>
    <t>2-22-4-501</t>
  </si>
  <si>
    <t>2-22-4-502</t>
  </si>
  <si>
    <t>2-22-4-601</t>
  </si>
  <si>
    <t>2-22-4-602</t>
  </si>
  <si>
    <t>2-22-5-101</t>
  </si>
  <si>
    <t>2-22-5-102</t>
  </si>
  <si>
    <t>2-22-5-201</t>
  </si>
  <si>
    <t>2-22-5-202</t>
  </si>
  <si>
    <t>2-22-5-301</t>
  </si>
  <si>
    <t>2-22-5-302</t>
  </si>
  <si>
    <t>2-22-5-401</t>
  </si>
  <si>
    <t>2-22-5-402</t>
  </si>
  <si>
    <t>2-22-5-501</t>
  </si>
  <si>
    <t>2-22-5-502</t>
  </si>
  <si>
    <t>2-22-5-601</t>
  </si>
  <si>
    <t>2-22-5-602</t>
  </si>
  <si>
    <t>2-22-6-101</t>
  </si>
  <si>
    <t>2-22-6-102</t>
  </si>
  <si>
    <t>2-22-6-201</t>
  </si>
  <si>
    <t>2-22-6-202</t>
  </si>
  <si>
    <t>2-22-6-301</t>
  </si>
  <si>
    <t>2-22-6-302</t>
  </si>
  <si>
    <t>2-22-6-401</t>
  </si>
  <si>
    <t>2-22-6-402</t>
  </si>
  <si>
    <t>2-22-6-501</t>
  </si>
  <si>
    <t>2-22-6-502</t>
  </si>
  <si>
    <t>2-22-6-601</t>
  </si>
  <si>
    <t>2-22-6-602</t>
  </si>
  <si>
    <t>规证楼号</t>
    <phoneticPr fontId="134" type="noConversion"/>
  </si>
  <si>
    <t>现状楼号</t>
    <phoneticPr fontId="134" type="noConversion"/>
  </si>
  <si>
    <t>商业</t>
    <phoneticPr fontId="134" type="noConversion"/>
  </si>
  <si>
    <t>设备</t>
    <phoneticPr fontId="134" type="noConversion"/>
  </si>
  <si>
    <t>2-8#住宅楼</t>
    <phoneticPr fontId="134" type="noConversion"/>
  </si>
  <si>
    <t>——</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</si>
  <si>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</si>
  <si>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</si>
  <si>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</si>
  <si>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</si>
  <si>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</si>
  <si>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</si>
  <si>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</si>
  <si>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</si>
  <si>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</si>
  <si>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合计</t>
    <phoneticPr fontId="134" type="noConversion"/>
  </si>
  <si>
    <t>土地总面积</t>
    <phoneticPr fontId="134" type="noConversion"/>
  </si>
  <si>
    <t>规划总建筑面积</t>
    <phoneticPr fontId="134" type="noConversion"/>
  </si>
  <si>
    <t>分摊土地面积</t>
    <phoneticPr fontId="134" type="noConversion"/>
  </si>
  <si>
    <t>总楼层</t>
    <phoneticPr fontId="134" type="noConversion"/>
  </si>
  <si>
    <t>三期施工证</t>
    <phoneticPr fontId="134" type="noConversion"/>
  </si>
  <si>
    <t>住宅</t>
    <phoneticPr fontId="134" type="noConversion"/>
  </si>
  <si>
    <t>地下设备</t>
    <phoneticPr fontId="134" type="noConversion"/>
  </si>
  <si>
    <t>地下车库</t>
    <phoneticPr fontId="134" type="noConversion"/>
  </si>
  <si>
    <t>地上设备</t>
    <phoneticPr fontId="134" type="noConversion"/>
  </si>
  <si>
    <t>建筑面积</t>
    <phoneticPr fontId="134" type="noConversion"/>
  </si>
  <si>
    <t>工程进度</t>
  </si>
  <si>
    <t>工程进度</t>
    <phoneticPr fontId="134" type="noConversion"/>
  </si>
  <si>
    <t>三期预测报告数据</t>
    <phoneticPr fontId="134" type="noConversion"/>
  </si>
  <si>
    <t>三期预测报告数据</t>
    <phoneticPr fontId="134" type="noConversion"/>
  </si>
  <si>
    <t>普通车位</t>
  </si>
  <si>
    <t>普通车位</t>
    <phoneticPr fontId="134" type="noConversion"/>
  </si>
  <si>
    <t>机械车位</t>
  </si>
  <si>
    <t>机械车位</t>
    <phoneticPr fontId="134" type="noConversion"/>
  </si>
  <si>
    <t>数量</t>
    <phoneticPr fontId="134" type="noConversion"/>
  </si>
  <si>
    <t>建筑面积</t>
    <phoneticPr fontId="134" type="noConversion"/>
  </si>
  <si>
    <t>机械车库</t>
  </si>
  <si>
    <t>基础工程</t>
    <phoneticPr fontId="3" type="noConversion"/>
  </si>
  <si>
    <t>地上建筑工程</t>
    <phoneticPr fontId="3" type="noConversion"/>
  </si>
  <si>
    <t>安装工程</t>
    <phoneticPr fontId="3" type="noConversion"/>
  </si>
  <si>
    <t>精装</t>
    <phoneticPr fontId="3" type="noConversion"/>
  </si>
  <si>
    <t>面积</t>
    <phoneticPr fontId="3" type="noConversion"/>
  </si>
  <si>
    <t>个数</t>
    <phoneticPr fontId="3" type="noConversion"/>
  </si>
  <si>
    <t>普通车位</t>
    <phoneticPr fontId="3" type="noConversion"/>
  </si>
  <si>
    <t>机械车位</t>
    <phoneticPr fontId="3" type="noConversion"/>
  </si>
  <si>
    <r>
      <t>38</t>
    </r>
    <r>
      <rPr>
        <sz val="10"/>
        <color indexed="8"/>
        <rFont val="宋体"/>
        <family val="3"/>
        <charset val="134"/>
      </rPr>
      <t>组</t>
    </r>
    <phoneticPr fontId="3" type="noConversion"/>
  </si>
  <si>
    <t>总建安</t>
    <phoneticPr fontId="3" type="noConversion"/>
  </si>
  <si>
    <t>建安单价</t>
    <phoneticPr fontId="3" type="noConversion"/>
  </si>
  <si>
    <t>面积</t>
  </si>
  <si>
    <t>全部缴纳</t>
  </si>
  <si>
    <t>否</t>
    <phoneticPr fontId="24" type="noConversion"/>
  </si>
  <si>
    <t>是</t>
    <phoneticPr fontId="24" type="noConversion"/>
  </si>
  <si>
    <t>否</t>
    <phoneticPr fontId="24" type="noConversion"/>
  </si>
  <si>
    <t>项目模式</t>
  </si>
  <si>
    <t>收益法</t>
  </si>
  <si>
    <t>成本法</t>
  </si>
  <si>
    <t>假设开发法</t>
  </si>
  <si>
    <t>三期在建</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</si>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</sst>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indexed="9"/>
      <name val="宋体"/>
      <family val="3"/>
      <charset val="134"/>
    </font>
    <font>
      <sz val="11"/>
      <color rgb="FF000000"/>
      <name val="宋体"/>
      <family val="3"/>
      <charset val="134"/>
    </font>
    <font>
      <sz val="11"/>
      <color rgb="FF000000"/>
      <name val="等线"/>
      <charset val="134"/>
    </font>
    <font>
      <sz val="11"/>
      <name val="等线"/>
      <charset val="134"/>
    </font>
    <font>
      <b/>
      <sz val="10"/>
      <color rgb="FF000000"/>
      <name val="华文细黑"/>
      <family val="3"/>
      <charset val="134"/>
    </font>
    <font>
      <sz val="10"/>
      <name val="华文细黑"/>
      <family val="3"/>
      <charset val="134"/>
    </font>
    <font>
      <sz val="12"/>
      <color theme="1"/>
      <name val="宋体"/>
      <family val="2"/>
      <scheme val="minor"/>
    </font>
    <font>
      <sz val="10"/>
      <color rgb="FF000000"/>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0" fillId="22" borderId="0">
      <alignment vertical="top"/>
      <protection locked="0"/>
    </xf>
    <xf numFmtId="191" fontId="270" fillId="23" borderId="0">
      <alignment vertical="top"/>
      <protection locked="0"/>
    </xf>
    <xf numFmtId="191" fontId="271" fillId="0" borderId="0">
      <protection locked="0"/>
    </xf>
    <xf numFmtId="191" fontId="94" fillId="0" borderId="0">
      <alignment vertical="center"/>
    </xf>
    <xf numFmtId="191" fontId="270" fillId="22" borderId="0">
      <alignment vertical="top"/>
      <protection locked="0"/>
    </xf>
    <xf numFmtId="191" fontId="270" fillId="22" borderId="0">
      <alignment vertical="top"/>
      <protection locked="0"/>
    </xf>
    <xf numFmtId="191" fontId="270" fillId="23" borderId="0">
      <alignment vertical="top"/>
      <protection locked="0"/>
    </xf>
    <xf numFmtId="191" fontId="270" fillId="23" borderId="0">
      <alignment vertical="top"/>
      <protection locked="0"/>
    </xf>
    <xf numFmtId="0" fontId="99" fillId="0" borderId="0"/>
    <xf numFmtId="9" fontId="272" fillId="0" borderId="0">
      <alignment vertical="top"/>
      <protection locked="0"/>
    </xf>
    <xf numFmtId="9" fontId="272" fillId="0" borderId="0">
      <alignment vertical="top"/>
      <protection locked="0"/>
    </xf>
    <xf numFmtId="9" fontId="272" fillId="0" borderId="0">
      <alignment vertical="top"/>
      <protection locked="0"/>
    </xf>
    <xf numFmtId="9" fontId="272"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1" fillId="0" borderId="0">
      <protection locked="0"/>
    </xf>
    <xf numFmtId="191" fontId="271" fillId="0" borderId="0">
      <protection locked="0"/>
    </xf>
    <xf numFmtId="191" fontId="271"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1" fillId="0" borderId="0">
      <protection locked="0"/>
    </xf>
    <xf numFmtId="191" fontId="271" fillId="0" borderId="0">
      <protection locked="0"/>
    </xf>
    <xf numFmtId="191" fontId="271" fillId="0" borderId="0">
      <protection locked="0"/>
    </xf>
    <xf numFmtId="191" fontId="271" fillId="0" borderId="0">
      <protection locked="0"/>
    </xf>
    <xf numFmtId="191" fontId="273"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6" fillId="0" borderId="0"/>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49" fontId="274" fillId="10" borderId="13" xfId="50" applyNumberFormat="1" applyFont="1" applyFill="1" applyBorder="1" applyAlignment="1">
      <alignment horizontal="left" vertical="center" wrapText="1"/>
    </xf>
    <xf numFmtId="191" fontId="274" fillId="5" borderId="13" xfId="50" applyNumberFormat="1" applyFont="1" applyFill="1" applyBorder="1" applyAlignment="1">
      <alignment horizontal="left" vertical="center" wrapText="1"/>
    </xf>
    <xf numFmtId="49" fontId="274" fillId="13" borderId="13" xfId="50" applyNumberFormat="1" applyFont="1" applyFill="1" applyBorder="1" applyAlignment="1">
      <alignment horizontal="left" vertical="center" wrapText="1"/>
    </xf>
    <xf numFmtId="0" fontId="269" fillId="0" borderId="0" xfId="50" applyFont="1" applyAlignment="1">
      <alignment horizontal="left" vertical="center"/>
    </xf>
    <xf numFmtId="0" fontId="275" fillId="7" borderId="1" xfId="50" applyNumberFormat="1" applyFont="1" applyFill="1" applyBorder="1" applyAlignment="1">
      <alignment horizontal="left" vertical="center" wrapText="1"/>
    </xf>
    <xf numFmtId="0" fontId="277" fillId="7" borderId="1" xfId="50" applyNumberFormat="1" applyFont="1" applyFill="1" applyBorder="1" applyAlignment="1">
      <alignment horizontal="left" vertical="center"/>
    </xf>
    <xf numFmtId="191" fontId="275" fillId="7" borderId="1" xfId="50" applyNumberFormat="1" applyFont="1" applyFill="1" applyBorder="1" applyAlignment="1">
      <alignment horizontal="left" vertical="center" wrapText="1"/>
    </xf>
    <xf numFmtId="2" fontId="277" fillId="7" borderId="1" xfId="50" applyNumberFormat="1" applyFont="1" applyFill="1" applyBorder="1" applyAlignment="1">
      <alignment horizontal="left" vertical="center"/>
    </xf>
    <xf numFmtId="176" fontId="275" fillId="7" borderId="1" xfId="50" applyNumberFormat="1" applyFont="1" applyFill="1" applyBorder="1" applyAlignment="1">
      <alignment horizontal="left" vertical="center" wrapText="1"/>
    </xf>
    <xf numFmtId="0" fontId="269" fillId="0" borderId="1" xfId="0" applyFont="1" applyFill="1" applyBorder="1" applyAlignment="1">
      <alignment horizontal="left" vertical="center"/>
    </xf>
    <xf numFmtId="58" fontId="277" fillId="7" borderId="1" xfId="50" applyNumberFormat="1" applyFont="1" applyFill="1" applyBorder="1" applyAlignment="1">
      <alignment horizontal="left" vertical="center"/>
    </xf>
    <xf numFmtId="191" fontId="275" fillId="7" borderId="1" xfId="50" applyNumberFormat="1" applyFont="1" applyFill="1" applyBorder="1" applyAlignment="1">
      <alignment horizontal="left" vertical="center"/>
    </xf>
    <xf numFmtId="0" fontId="269" fillId="0" borderId="1" xfId="50" applyFont="1" applyBorder="1" applyAlignment="1">
      <alignment horizontal="left" vertical="center"/>
    </xf>
    <xf numFmtId="0" fontId="269" fillId="0" borderId="1" xfId="0" applyFont="1" applyBorder="1" applyAlignment="1">
      <alignment horizontal="left" vertical="center"/>
    </xf>
    <xf numFmtId="0" fontId="77"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47" fillId="24" borderId="0" xfId="0" applyFont="1" applyFill="1" applyAlignment="1" applyProtection="1">
      <alignment horizontal="left" vertical="center"/>
      <protection locked="0"/>
    </xf>
    <xf numFmtId="0" fontId="51" fillId="9" borderId="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5" xfId="0" applyFont="1" applyFill="1" applyBorder="1" applyAlignment="1">
      <alignment horizontal="left" vertical="center"/>
    </xf>
    <xf numFmtId="0" fontId="269" fillId="0" borderId="3" xfId="0" applyFont="1" applyFill="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259">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142</xdr:row>
      <xdr:rowOff>180822</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194</xdr:row>
      <xdr:rowOff>180407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3-1-E000494&#22823;&#20852;&#21644;&#24742;&#26149;&#39118;-&#38376;&#40594;/&#22823;&#20852;&#21644;&#24742;&#19977;&#26399;&#22312;&#24314;-&#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住宅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0">
          <cell r="G140">
            <v>468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估价对象为北京市房地产，为所有。根据《国有土地使用证》[]，估价对象（分摊）出让国有建设用地使用权面积为17349.99平方米，建筑面积为50816.34平方米。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估价对象为北京市房地产,属开发建设的，该项目尚在开发建设中。根据《国有土地使用证》[]，估价对象（分摊）出让国有建设用地使用权面积为17349.99平方米，规划建筑面积为50816.34平方米。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97382</v>
      </c>
    </row>
    <row r="21" spans="1:2" s="1200" customFormat="1">
      <c r="A21" s="1198" t="s">
        <v>537</v>
      </c>
      <c r="B21" s="1199">
        <f ca="1">'预评函-2'!D7</f>
        <v>19164</v>
      </c>
    </row>
    <row r="22" spans="1:2" s="1200" customFormat="1">
      <c r="A22" s="1198" t="s">
        <v>538</v>
      </c>
      <c r="B22" s="1199" t="str">
        <f ca="1">'预评函-2'!D6</f>
        <v>玖亿柒仟叁佰捌拾贰万元整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97382</v>
      </c>
    </row>
    <row r="31" spans="1:2" s="1200" customFormat="1">
      <c r="A31" s="1198" t="s">
        <v>576</v>
      </c>
      <c r="B31" s="1199">
        <f ca="1">'预评函-2'!D15</f>
        <v>19164</v>
      </c>
    </row>
    <row r="32" spans="1:2" s="1200" customFormat="1">
      <c r="A32" s="1198" t="s">
        <v>543</v>
      </c>
      <c r="B32" s="1199" t="str">
        <f ca="1">'预评函-2'!D14</f>
        <v>玖亿柒仟叁佰捌拾贰万元整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50816.34</v>
      </c>
    </row>
    <row r="44" spans="1:2" s="1200" customFormat="1">
      <c r="A44" s="1198" t="s">
        <v>575</v>
      </c>
      <c r="B44" s="1199" t="str">
        <f>'预评函-3'!C2</f>
        <v>(分摊)土地面积</v>
      </c>
    </row>
    <row r="45" spans="1:2" s="1200" customFormat="1">
      <c r="A45" s="1198" t="s">
        <v>547</v>
      </c>
      <c r="B45" s="1199">
        <f>'预评函-3'!C4</f>
        <v>17349.990000000002</v>
      </c>
    </row>
    <row r="46" spans="1:2" s="1200" customFormat="1">
      <c r="A46" s="1198" t="s">
        <v>573</v>
      </c>
      <c r="B46" s="1199" t="str">
        <f>'预评函-3'!D2</f>
        <v>出让国有建设用地使用权价值</v>
      </c>
    </row>
    <row r="47" spans="1:2" s="1200" customFormat="1">
      <c r="A47" s="1198" t="s">
        <v>548</v>
      </c>
      <c r="B47" s="1199">
        <f ca="1">'预评函-3'!D4</f>
        <v>83359</v>
      </c>
    </row>
    <row r="48" spans="1:2" s="1200" customFormat="1">
      <c r="A48" s="1198" t="s">
        <v>549</v>
      </c>
      <c r="B48" s="1199">
        <f ca="1">'预评函-3'!E4</f>
        <v>16404</v>
      </c>
    </row>
    <row r="49" spans="1:2" s="1200" customFormat="1">
      <c r="A49" s="1198" t="s">
        <v>550</v>
      </c>
      <c r="B49" s="1199" t="str">
        <f ca="1">'预评函-3'!D5</f>
        <v>捌亿叁仟叁佰伍拾玖万元整</v>
      </c>
    </row>
    <row r="50" spans="1:2" s="1200" customFormat="1">
      <c r="A50" s="1198" t="s">
        <v>574</v>
      </c>
      <c r="B50" s="1199" t="str">
        <f>'预评函-3'!F2</f>
        <v>在建建筑物价值</v>
      </c>
    </row>
    <row r="51" spans="1:2" s="1200" customFormat="1">
      <c r="A51" s="1198" t="s">
        <v>551</v>
      </c>
      <c r="B51" s="1199">
        <f ca="1">'预评函-3'!F4</f>
        <v>14023</v>
      </c>
    </row>
    <row r="52" spans="1:2" s="1200" customFormat="1">
      <c r="A52" s="1198" t="s">
        <v>552</v>
      </c>
      <c r="B52" s="1199">
        <f ca="1">'预评函-3'!G4</f>
        <v>2760</v>
      </c>
    </row>
    <row r="53" spans="1:2" s="1200" customFormat="1">
      <c r="A53" s="1198" t="s">
        <v>580</v>
      </c>
      <c r="B53" s="1199" t="str">
        <f ca="1">'预评函-3'!F5</f>
        <v>壹亿肆仟零贰拾叁万元整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975</v>
      </c>
      <c r="C1" s="1538" t="s">
        <v>314</v>
      </c>
      <c r="D1" s="1540" t="s">
        <v>3354</v>
      </c>
      <c r="E1" s="1539" t="s">
        <v>976</v>
      </c>
      <c r="F1" s="1539" t="s">
        <v>977</v>
      </c>
      <c r="G1" s="1539" t="s">
        <v>978</v>
      </c>
      <c r="H1" s="1539" t="s">
        <v>979</v>
      </c>
      <c r="I1" s="1539" t="s">
        <v>980</v>
      </c>
      <c r="J1" s="1539" t="s">
        <v>981</v>
      </c>
      <c r="K1" s="1539" t="s">
        <v>982</v>
      </c>
      <c r="L1" s="1539" t="s">
        <v>983</v>
      </c>
      <c r="M1" s="1539" t="s">
        <v>984</v>
      </c>
      <c r="N1" s="1539" t="s">
        <v>985</v>
      </c>
      <c r="O1" s="1539" t="s">
        <v>986</v>
      </c>
      <c r="P1" s="1540" t="s">
        <v>309</v>
      </c>
      <c r="Q1" s="1540" t="s">
        <v>447</v>
      </c>
      <c r="R1" s="1539" t="s">
        <v>441</v>
      </c>
      <c r="S1" s="1539" t="s">
        <v>987</v>
      </c>
      <c r="T1" s="1541" t="s">
        <v>988</v>
      </c>
      <c r="U1" s="1539" t="s">
        <v>989</v>
      </c>
      <c r="V1" s="1539" t="s">
        <v>990</v>
      </c>
      <c r="W1" s="1539" t="s">
        <v>311</v>
      </c>
    </row>
    <row r="2" spans="1:23">
      <c r="A2" s="1543" t="s">
        <v>19</v>
      </c>
      <c r="B2" s="1543" t="s">
        <v>991</v>
      </c>
      <c r="C2" s="1544" t="s">
        <v>315</v>
      </c>
      <c r="D2" s="1545" t="s">
        <v>992</v>
      </c>
      <c r="E2" s="1545" t="s">
        <v>993</v>
      </c>
      <c r="F2" s="1545" t="s">
        <v>994</v>
      </c>
      <c r="G2" s="1545">
        <v>20</v>
      </c>
      <c r="H2" s="1545" t="s">
        <v>994</v>
      </c>
      <c r="I2" s="1545" t="s">
        <v>3340</v>
      </c>
      <c r="J2" s="1545" t="s">
        <v>995</v>
      </c>
      <c r="K2" s="1545" t="s">
        <v>996</v>
      </c>
      <c r="L2" s="1545" t="s">
        <v>996</v>
      </c>
      <c r="M2" s="1545" t="s">
        <v>996</v>
      </c>
      <c r="N2" s="1545" t="s">
        <v>996</v>
      </c>
      <c r="O2" s="1545" t="s">
        <v>996</v>
      </c>
      <c r="P2" s="1545" t="s">
        <v>996</v>
      </c>
      <c r="Q2" s="1545" t="s">
        <v>996</v>
      </c>
      <c r="R2" s="1545" t="s">
        <v>443</v>
      </c>
      <c r="S2" s="1545" t="s">
        <v>996</v>
      </c>
      <c r="T2" s="1545" t="s">
        <v>997</v>
      </c>
      <c r="U2" s="1545" t="s">
        <v>996</v>
      </c>
      <c r="V2" s="1545" t="s">
        <v>998</v>
      </c>
      <c r="W2" s="1545" t="s">
        <v>996</v>
      </c>
    </row>
    <row r="3" spans="1:23">
      <c r="A3" s="1543" t="s">
        <v>999</v>
      </c>
      <c r="B3" s="1546" t="s">
        <v>448</v>
      </c>
      <c r="C3" s="1547" t="s">
        <v>316</v>
      </c>
      <c r="D3" s="1545" t="s">
        <v>1000</v>
      </c>
      <c r="E3" s="1545" t="s">
        <v>13</v>
      </c>
      <c r="F3" s="1545" t="s">
        <v>1001</v>
      </c>
      <c r="G3" s="1545">
        <v>40</v>
      </c>
      <c r="H3" s="1545" t="s">
        <v>1001</v>
      </c>
      <c r="I3" s="1545" t="s">
        <v>3341</v>
      </c>
      <c r="J3" s="1545" t="s">
        <v>1002</v>
      </c>
      <c r="K3" s="1545" t="s">
        <v>1003</v>
      </c>
      <c r="L3" s="1545" t="s">
        <v>1003</v>
      </c>
      <c r="M3" s="1545" t="s">
        <v>1003</v>
      </c>
      <c r="N3" s="1545" t="s">
        <v>1003</v>
      </c>
      <c r="O3" s="1545" t="s">
        <v>1003</v>
      </c>
      <c r="P3" s="1545" t="s">
        <v>1003</v>
      </c>
      <c r="Q3" s="1545" t="s">
        <v>1003</v>
      </c>
      <c r="R3" s="1545" t="s">
        <v>442</v>
      </c>
      <c r="S3" s="1545" t="s">
        <v>1003</v>
      </c>
      <c r="T3" s="1545" t="s">
        <v>1004</v>
      </c>
      <c r="U3" s="1545" t="s">
        <v>1003</v>
      </c>
      <c r="V3" s="1545" t="s">
        <v>1005</v>
      </c>
      <c r="W3" s="1545" t="s">
        <v>1003</v>
      </c>
    </row>
    <row r="4" spans="1:23">
      <c r="A4" s="1543" t="s">
        <v>1006</v>
      </c>
      <c r="B4" s="1543" t="s">
        <v>1007</v>
      </c>
      <c r="C4" s="1544" t="s">
        <v>317</v>
      </c>
      <c r="D4" s="1545" t="s">
        <v>389</v>
      </c>
      <c r="E4" s="1545" t="s">
        <v>1008</v>
      </c>
      <c r="F4" s="1545" t="s">
        <v>1009</v>
      </c>
      <c r="G4" s="1545">
        <v>50</v>
      </c>
      <c r="H4" s="1545" t="s">
        <v>1009</v>
      </c>
      <c r="I4" s="1545" t="s">
        <v>3342</v>
      </c>
      <c r="K4" s="1545" t="s">
        <v>1010</v>
      </c>
      <c r="L4" s="1545" t="s">
        <v>1010</v>
      </c>
      <c r="M4" s="1545" t="s">
        <v>1010</v>
      </c>
      <c r="N4" s="1545" t="s">
        <v>1010</v>
      </c>
      <c r="O4" s="1545" t="s">
        <v>1010</v>
      </c>
      <c r="P4" s="1545" t="s">
        <v>1010</v>
      </c>
      <c r="Q4" s="1545" t="s">
        <v>1010</v>
      </c>
      <c r="R4" s="1545" t="s">
        <v>444</v>
      </c>
      <c r="S4" s="1545" t="s">
        <v>1010</v>
      </c>
      <c r="T4" s="1545" t="s">
        <v>1011</v>
      </c>
      <c r="U4" s="1545" t="s">
        <v>1010</v>
      </c>
      <c r="W4" s="1545" t="s">
        <v>1010</v>
      </c>
    </row>
    <row r="5" spans="1:23">
      <c r="A5" s="1543" t="s">
        <v>1012</v>
      </c>
      <c r="B5" s="1543" t="s">
        <v>1013</v>
      </c>
      <c r="C5" s="1544" t="s">
        <v>318</v>
      </c>
      <c r="F5" s="1545" t="s">
        <v>1014</v>
      </c>
      <c r="G5" s="1545">
        <v>70</v>
      </c>
      <c r="H5" s="1545" t="s">
        <v>1015</v>
      </c>
      <c r="I5" s="1545" t="s">
        <v>3343</v>
      </c>
      <c r="K5" s="1545" t="s">
        <v>1016</v>
      </c>
      <c r="L5" s="1545" t="s">
        <v>1016</v>
      </c>
      <c r="M5" s="1545" t="s">
        <v>1016</v>
      </c>
      <c r="N5" s="1545" t="s">
        <v>1016</v>
      </c>
      <c r="O5" s="1545" t="s">
        <v>1016</v>
      </c>
      <c r="P5" s="1545" t="s">
        <v>1016</v>
      </c>
      <c r="Q5" s="1545" t="s">
        <v>1016</v>
      </c>
      <c r="R5" s="1545" t="s">
        <v>445</v>
      </c>
      <c r="S5" s="1545" t="s">
        <v>1016</v>
      </c>
      <c r="T5" s="1545" t="s">
        <v>1017</v>
      </c>
      <c r="U5" s="1545" t="s">
        <v>1016</v>
      </c>
      <c r="W5" s="1545" t="s">
        <v>1016</v>
      </c>
    </row>
    <row r="6" spans="1:23">
      <c r="A6" s="1543" t="s">
        <v>1018</v>
      </c>
      <c r="B6" s="1546" t="s">
        <v>449</v>
      </c>
      <c r="C6" s="1549" t="s">
        <v>24</v>
      </c>
      <c r="F6" s="1545" t="s">
        <v>1015</v>
      </c>
      <c r="H6" s="1545" t="s">
        <v>1019</v>
      </c>
      <c r="I6" s="1545" t="s">
        <v>3344</v>
      </c>
      <c r="K6" s="1545" t="s">
        <v>1020</v>
      </c>
      <c r="L6" s="1545" t="s">
        <v>1020</v>
      </c>
      <c r="M6" s="1545" t="s">
        <v>1020</v>
      </c>
      <c r="N6" s="1545" t="s">
        <v>1020</v>
      </c>
      <c r="O6" s="1545" t="s">
        <v>1020</v>
      </c>
      <c r="P6" s="1545" t="s">
        <v>1020</v>
      </c>
      <c r="Q6" s="1545" t="s">
        <v>1020</v>
      </c>
      <c r="R6" s="1545" t="s">
        <v>446</v>
      </c>
      <c r="S6" s="1545" t="s">
        <v>1020</v>
      </c>
      <c r="T6" s="1545"/>
      <c r="U6" s="1545" t="s">
        <v>1020</v>
      </c>
      <c r="W6" s="1545" t="s">
        <v>1020</v>
      </c>
    </row>
    <row r="7" spans="1:23">
      <c r="A7" s="1543" t="s">
        <v>1021</v>
      </c>
      <c r="B7" s="1546" t="s">
        <v>450</v>
      </c>
      <c r="C7" s="1544" t="s">
        <v>25</v>
      </c>
      <c r="F7" s="1545" t="s">
        <v>1022</v>
      </c>
      <c r="H7" s="1545" t="s">
        <v>1023</v>
      </c>
      <c r="I7" s="1545" t="s">
        <v>3345</v>
      </c>
    </row>
    <row r="8" spans="1:23">
      <c r="A8" s="1543" t="s">
        <v>1024</v>
      </c>
      <c r="B8" s="1543" t="s">
        <v>1025</v>
      </c>
      <c r="C8" s="1544" t="s">
        <v>319</v>
      </c>
      <c r="F8" s="1545" t="s">
        <v>1026</v>
      </c>
      <c r="H8" s="1545" t="s">
        <v>2578</v>
      </c>
      <c r="I8" s="1545" t="s">
        <v>3346</v>
      </c>
    </row>
    <row r="9" spans="1:23">
      <c r="A9" s="1543" t="s">
        <v>1027</v>
      </c>
      <c r="B9" s="1543" t="s">
        <v>1028</v>
      </c>
      <c r="C9" s="1544" t="s">
        <v>320</v>
      </c>
      <c r="F9" s="1545" t="s">
        <v>1029</v>
      </c>
      <c r="H9" s="1545"/>
      <c r="I9" s="1548" t="s">
        <v>3347</v>
      </c>
    </row>
    <row r="10" spans="1:23">
      <c r="A10" s="1543" t="s">
        <v>1030</v>
      </c>
      <c r="B10" s="1543" t="s">
        <v>1031</v>
      </c>
      <c r="C10" s="1544" t="s">
        <v>321</v>
      </c>
      <c r="F10" s="1545" t="s">
        <v>2579</v>
      </c>
      <c r="I10" s="1548" t="s">
        <v>3348</v>
      </c>
    </row>
    <row r="11" spans="1:23">
      <c r="A11" s="1543" t="s">
        <v>1032</v>
      </c>
      <c r="B11" s="1543" t="s">
        <v>1033</v>
      </c>
      <c r="C11" s="1544" t="s">
        <v>322</v>
      </c>
      <c r="F11" s="1545" t="s">
        <v>13</v>
      </c>
      <c r="I11" s="1548" t="s">
        <v>3349</v>
      </c>
    </row>
    <row r="12" spans="1:23">
      <c r="A12" s="1543" t="s">
        <v>1034</v>
      </c>
      <c r="B12" s="1543" t="s">
        <v>1035</v>
      </c>
      <c r="C12" s="1544" t="s">
        <v>323</v>
      </c>
      <c r="I12" s="1548" t="s">
        <v>3350</v>
      </c>
    </row>
    <row r="13" spans="1:23">
      <c r="A13" s="1543" t="s">
        <v>1036</v>
      </c>
      <c r="B13" s="1543" t="s">
        <v>1037</v>
      </c>
      <c r="C13" s="1544" t="s">
        <v>324</v>
      </c>
      <c r="I13" s="1548" t="s">
        <v>3351</v>
      </c>
    </row>
    <row r="14" spans="1:23">
      <c r="A14" s="1543" t="s">
        <v>1038</v>
      </c>
      <c r="B14" s="1543" t="s">
        <v>1039</v>
      </c>
      <c r="C14" s="1545" t="s">
        <v>13</v>
      </c>
      <c r="I14" s="1548" t="s">
        <v>3352</v>
      </c>
    </row>
    <row r="15" spans="1:23">
      <c r="A15" s="1543" t="s">
        <v>1040</v>
      </c>
      <c r="B15" s="1543" t="s">
        <v>1041</v>
      </c>
      <c r="C15" s="1544"/>
      <c r="I15" s="1548" t="s">
        <v>3353</v>
      </c>
    </row>
    <row r="16" spans="1:23">
      <c r="A16" s="1543" t="s">
        <v>1042</v>
      </c>
      <c r="B16" s="1543" t="s">
        <v>312</v>
      </c>
      <c r="C16" s="1544"/>
    </row>
    <row r="17" spans="1:3">
      <c r="A17" s="1543" t="s">
        <v>1043</v>
      </c>
      <c r="B17" s="1543" t="s">
        <v>2290</v>
      </c>
      <c r="C17" s="1544"/>
    </row>
    <row r="18" spans="1:3">
      <c r="A18" s="1543" t="s">
        <v>1044</v>
      </c>
      <c r="B18" s="1543" t="s">
        <v>2434</v>
      </c>
      <c r="C18" s="1544"/>
    </row>
    <row r="19" spans="1:3">
      <c r="A19" s="1543" t="s">
        <v>1045</v>
      </c>
      <c r="B19" s="1543" t="s">
        <v>3613</v>
      </c>
      <c r="C19" s="1544"/>
    </row>
    <row r="20" spans="1:3">
      <c r="A20" s="1543" t="s">
        <v>1046</v>
      </c>
      <c r="B20" s="1543" t="s">
        <v>313</v>
      </c>
      <c r="C20" s="1544"/>
    </row>
    <row r="21" spans="1:3">
      <c r="A21" s="1543" t="s">
        <v>1047</v>
      </c>
      <c r="B21" s="1543" t="s">
        <v>313</v>
      </c>
      <c r="C21" s="1544"/>
    </row>
    <row r="22" spans="1:3">
      <c r="A22" s="1543" t="s">
        <v>1048</v>
      </c>
      <c r="B22" s="1543" t="s">
        <v>313</v>
      </c>
      <c r="C22" s="1544"/>
    </row>
    <row r="23" spans="1:3">
      <c r="A23" s="1543" t="s">
        <v>1049</v>
      </c>
      <c r="B23" s="1543" t="s">
        <v>313</v>
      </c>
      <c r="C23" s="1544"/>
    </row>
    <row r="24" spans="1:3">
      <c r="A24" s="1543" t="s">
        <v>1050</v>
      </c>
      <c r="B24" s="1543" t="s">
        <v>313</v>
      </c>
      <c r="C24" s="1544"/>
    </row>
    <row r="25" spans="1:3">
      <c r="A25" s="1543" t="s">
        <v>1051</v>
      </c>
      <c r="B25" s="1543" t="s">
        <v>313</v>
      </c>
      <c r="C25" s="1544"/>
    </row>
    <row r="26" spans="1:3">
      <c r="A26" s="1543" t="s">
        <v>1052</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1" t="s">
        <v>385</v>
      </c>
      <c r="C54" s="1548" t="s">
        <v>583</v>
      </c>
    </row>
    <row r="55" spans="1:4">
      <c r="A55" s="3540"/>
      <c r="B55" s="1551" t="s">
        <v>386</v>
      </c>
      <c r="C55" s="1548" t="s">
        <v>584</v>
      </c>
    </row>
    <row r="56" spans="1:4">
      <c r="A56" s="3540"/>
      <c r="B56" s="1551" t="s">
        <v>387</v>
      </c>
      <c r="C56" s="1548" t="s">
        <v>588</v>
      </c>
    </row>
    <row r="57" spans="1:4">
      <c r="A57" s="354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41" t="s">
        <v>2581</v>
      </c>
      <c r="J2" s="3541"/>
      <c r="K2" s="3541"/>
      <c r="L2" s="3541"/>
      <c r="M2" s="3541"/>
      <c r="N2" s="3541"/>
      <c r="O2" s="3541"/>
      <c r="P2" s="3541"/>
      <c r="Q2" s="3541"/>
      <c r="R2" s="3541"/>
    </row>
    <row r="3" spans="1:18">
      <c r="A3" s="3015" t="s">
        <v>2502</v>
      </c>
      <c r="B3" s="3016">
        <f>项目基本情况!D3</f>
        <v>45216</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8" sqref="D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2165</v>
      </c>
      <c r="B1" s="3550" t="str">
        <f>IF(B10="北京市","北京市",C10)&amp;F10&amp;IF(结果表!G1="在建","出让国有建设用地使用权及在建建筑物",IF(结果表!G1="土地","出让国有建设用地使用权",))&amp;B9&amp;"预评估"</f>
        <v>北京市房地产抵押价值预评估</v>
      </c>
      <c r="C1" s="3551"/>
      <c r="D1" s="3551"/>
      <c r="E1" s="3551"/>
      <c r="F1" s="3551"/>
      <c r="G1" s="3551"/>
      <c r="H1" s="3551"/>
      <c r="I1" s="3552"/>
      <c r="J1" s="2466"/>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2" t="s">
        <v>2166</v>
      </c>
      <c r="B2" s="2366"/>
      <c r="C2" s="2367"/>
      <c r="D2" s="2665"/>
      <c r="E2" s="2657"/>
      <c r="F2" s="2657"/>
      <c r="G2" s="2658"/>
      <c r="H2" s="2658"/>
      <c r="I2" s="2658"/>
      <c r="J2" s="2466"/>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2167</v>
      </c>
      <c r="B3" s="2368"/>
      <c r="C3" s="2369" t="s">
        <v>2168</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9"/>
      <c r="T4" s="1742"/>
      <c r="U4" s="1742"/>
      <c r="V4" s="1742"/>
      <c r="W4" s="1742"/>
      <c r="X4" s="1742"/>
      <c r="Y4" s="1742"/>
      <c r="Z4" s="1742"/>
      <c r="AA4" s="1742"/>
      <c r="AB4" s="1742"/>
    </row>
    <row r="5" spans="1:30" ht="13.5" thickTop="1">
      <c r="A5" s="2374" t="s">
        <v>2170</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2171</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2172</v>
      </c>
      <c r="B7" s="2382"/>
      <c r="C7" s="2380"/>
      <c r="D7" s="2381"/>
      <c r="E7" s="2657"/>
      <c r="F7" s="2659"/>
      <c r="G7" s="2659"/>
      <c r="H7" s="2659"/>
      <c r="I7" s="2659"/>
      <c r="J7" s="2434"/>
      <c r="K7" s="2611"/>
      <c r="L7" s="2608"/>
      <c r="M7" s="2608"/>
      <c r="N7" s="2434"/>
      <c r="O7" s="2445"/>
      <c r="P7" s="2434"/>
      <c r="Q7" s="2434"/>
      <c r="R7" s="2434"/>
    </row>
    <row r="8" spans="1:30">
      <c r="A8" s="2383" t="s">
        <v>2173</v>
      </c>
      <c r="B8" s="2384" t="s">
        <v>3376</v>
      </c>
      <c r="C8" s="2385"/>
      <c r="D8" s="3553" t="s">
        <v>2174</v>
      </c>
      <c r="E8" s="2386" t="s">
        <v>3377</v>
      </c>
      <c r="F8" s="2387"/>
      <c r="G8" s="2658"/>
      <c r="H8" s="2658"/>
      <c r="I8" s="2658"/>
      <c r="J8" s="2434"/>
      <c r="K8" s="2609"/>
      <c r="L8" s="2608"/>
      <c r="M8" s="2608"/>
      <c r="N8" s="2434"/>
      <c r="O8" s="2445"/>
      <c r="P8" s="2434"/>
      <c r="Q8" s="2434"/>
      <c r="R8" s="2434"/>
    </row>
    <row r="9" spans="1:30" ht="13.5" thickBot="1">
      <c r="A9" s="2388" t="s">
        <v>2175</v>
      </c>
      <c r="B9" s="2389" t="s">
        <v>3377</v>
      </c>
      <c r="C9" s="2390"/>
      <c r="D9" s="3554"/>
      <c r="E9" s="2389"/>
      <c r="F9" s="2391"/>
      <c r="G9" s="2660"/>
      <c r="H9" s="2660"/>
      <c r="I9" s="2660"/>
      <c r="J9" s="2434"/>
      <c r="K9" s="2611"/>
      <c r="L9" s="2608"/>
      <c r="M9" s="2608"/>
      <c r="N9" s="2434"/>
      <c r="O9" s="2445"/>
      <c r="P9" s="2434"/>
      <c r="Q9" s="2434"/>
      <c r="R9" s="2434"/>
    </row>
    <row r="10" spans="1:30" ht="13.5" thickTop="1">
      <c r="A10" s="2392" t="s">
        <v>2176</v>
      </c>
      <c r="B10" s="2393" t="s">
        <v>3378</v>
      </c>
      <c r="C10" s="2394"/>
      <c r="D10" s="2377"/>
      <c r="E10" s="2395" t="s">
        <v>2177</v>
      </c>
      <c r="F10" s="2661"/>
      <c r="G10" s="2662"/>
      <c r="H10" s="2663"/>
      <c r="I10" s="2664"/>
      <c r="J10" s="2434"/>
      <c r="K10" s="2611"/>
      <c r="L10" s="2608"/>
      <c r="M10" s="2608"/>
      <c r="N10" s="2434"/>
      <c r="O10" s="2445"/>
      <c r="P10" s="2434"/>
      <c r="Q10" s="2434"/>
      <c r="R10" s="2434"/>
    </row>
    <row r="11" spans="1:30">
      <c r="A11" s="2396" t="s">
        <v>2178</v>
      </c>
      <c r="B11" s="2397" t="s">
        <v>3379</v>
      </c>
      <c r="C11" s="2398"/>
      <c r="D11" s="2399"/>
      <c r="E11" s="2365"/>
      <c r="F11" s="2365"/>
      <c r="G11" s="2365"/>
      <c r="H11" s="2365"/>
      <c r="I11" s="2365"/>
      <c r="J11" s="3056"/>
      <c r="K11" s="3055"/>
      <c r="L11" s="2608"/>
      <c r="M11" s="2608"/>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4" t="s">
        <v>2577</v>
      </c>
      <c r="J12" s="3057"/>
      <c r="K12" s="2608"/>
      <c r="L12" s="2608"/>
      <c r="M12" s="2434"/>
      <c r="N12" s="2445"/>
      <c r="O12" s="2434"/>
      <c r="P12" s="2434"/>
      <c r="Q12" s="2434"/>
      <c r="AD12" s="1742"/>
    </row>
    <row r="13" spans="1:30">
      <c r="A13" s="3418" t="s">
        <v>3335</v>
      </c>
      <c r="B13" s="2402" t="s">
        <v>2187</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2188</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2189</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2190</v>
      </c>
      <c r="B16" s="3560"/>
      <c r="C16" s="3561"/>
      <c r="D16" s="3562"/>
      <c r="E16" s="2408" t="s">
        <v>2191</v>
      </c>
      <c r="F16" s="3563"/>
      <c r="G16" s="3564"/>
      <c r="H16" s="3564"/>
      <c r="I16" s="3565"/>
      <c r="J16" s="2434"/>
      <c r="K16" s="2612"/>
      <c r="L16" s="2446"/>
      <c r="M16" s="2446"/>
      <c r="N16" s="2504"/>
      <c r="O16" s="2446"/>
      <c r="P16" s="2504"/>
      <c r="Q16" s="2434"/>
      <c r="R16" s="2434"/>
    </row>
    <row r="17" spans="1:28">
      <c r="A17" s="313" t="s">
        <v>2192</v>
      </c>
      <c r="B17" s="302" t="s">
        <v>2193</v>
      </c>
      <c r="C17" s="8">
        <f>'数据-汇总表'!E3</f>
        <v>50816.34</v>
      </c>
      <c r="D17" s="2317" t="s">
        <v>2194</v>
      </c>
      <c r="E17" s="3566" t="s">
        <v>2195</v>
      </c>
      <c r="F17" s="3567"/>
      <c r="G17" s="3567"/>
      <c r="H17" s="3567"/>
      <c r="I17" s="3568"/>
      <c r="J17" s="2434"/>
      <c r="K17" s="2613"/>
      <c r="L17" s="2446"/>
      <c r="M17" s="2446"/>
      <c r="N17" s="2504"/>
      <c r="O17" s="2446"/>
      <c r="P17" s="2504"/>
      <c r="Q17" s="2434"/>
      <c r="R17" s="2434"/>
      <c r="S17" s="2434"/>
      <c r="T17" s="2434"/>
      <c r="U17" s="2434"/>
      <c r="V17" s="2434"/>
    </row>
    <row r="18" spans="1:28" ht="24.75" thickBot="1">
      <c r="A18" s="2409" t="s">
        <v>2196</v>
      </c>
      <c r="B18" s="1088" t="s">
        <v>2197</v>
      </c>
      <c r="C18" s="2410">
        <f>'数据-汇总表'!D3</f>
        <v>17349.990000000002</v>
      </c>
      <c r="D18" s="1090" t="s">
        <v>2198</v>
      </c>
      <c r="E18" s="3569" t="s">
        <v>2199</v>
      </c>
      <c r="F18" s="3570"/>
      <c r="G18" s="3570"/>
      <c r="H18" s="3570"/>
      <c r="I18" s="3571"/>
      <c r="J18" s="2434"/>
      <c r="K18" s="2613"/>
      <c r="L18" s="2446"/>
      <c r="M18" s="2446"/>
      <c r="N18" s="2504"/>
      <c r="O18" s="2446"/>
      <c r="P18" s="2504"/>
      <c r="Q18" s="2434"/>
      <c r="R18" s="2434"/>
      <c r="S18" s="2434"/>
      <c r="T18" s="2434"/>
      <c r="U18" s="2434"/>
      <c r="V18" s="2434"/>
    </row>
    <row r="19" spans="1:28" ht="37.5" thickTop="1" thickBot="1">
      <c r="A19" s="327" t="s">
        <v>1053</v>
      </c>
      <c r="B19" s="307" t="s">
        <v>2200</v>
      </c>
      <c r="C19" s="1560"/>
      <c r="D19" s="1561" t="s">
        <v>2201</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2202</v>
      </c>
      <c r="B20" s="3556" t="s">
        <v>2203</v>
      </c>
      <c r="C20" s="3557"/>
      <c r="D20" s="3558" t="s">
        <v>2204</v>
      </c>
      <c r="E20" s="3559"/>
      <c r="F20" s="2642" t="s">
        <v>1054</v>
      </c>
      <c r="G20" s="2659"/>
      <c r="H20" s="2659"/>
      <c r="I20" s="2659"/>
      <c r="J20" s="2434"/>
      <c r="K20" s="3555"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2206</v>
      </c>
      <c r="C21" s="2629" t="s">
        <v>1055</v>
      </c>
      <c r="D21" s="1565" t="s">
        <v>2207</v>
      </c>
      <c r="E21" s="2630" t="s">
        <v>1055</v>
      </c>
      <c r="F21" s="2643"/>
      <c r="G21" s="2659"/>
      <c r="H21" s="2659"/>
      <c r="I21" s="2659"/>
      <c r="J21" s="2434"/>
      <c r="K21" s="355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2208</v>
      </c>
      <c r="C22" s="2629" t="s">
        <v>1056</v>
      </c>
      <c r="D22" s="2658"/>
      <c r="E22" s="2658"/>
      <c r="F22" s="2658"/>
      <c r="G22" s="2659"/>
      <c r="H22" s="2659"/>
      <c r="I22" s="2659"/>
      <c r="J22" s="2434"/>
      <c r="K22" s="355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2209</v>
      </c>
      <c r="B23" s="2497" t="s">
        <v>2210</v>
      </c>
      <c r="C23" s="2633"/>
      <c r="D23" s="2634" t="s">
        <v>2210</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1057</v>
      </c>
      <c r="C24" s="2636"/>
      <c r="D24" s="2632" t="s">
        <v>1057</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1058</v>
      </c>
      <c r="C25" s="2636"/>
      <c r="D25" s="2632" t="s">
        <v>1058</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1059</v>
      </c>
      <c r="C26" s="2640"/>
      <c r="D26" s="2638" t="s">
        <v>1059</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43" t="s">
        <v>2211</v>
      </c>
      <c r="B27" s="320" t="s">
        <v>2212</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43"/>
      <c r="B28" s="302" t="s">
        <v>2213</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43"/>
      <c r="B29" s="302" t="s">
        <v>2214</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44"/>
      <c r="B30" s="302" t="s">
        <v>2215</v>
      </c>
      <c r="C30" s="3545"/>
      <c r="D30" s="3546"/>
      <c r="E30" s="2659"/>
      <c r="F30" s="2659"/>
      <c r="G30" s="2659"/>
      <c r="H30" s="2659"/>
      <c r="I30" s="2659"/>
      <c r="J30" s="2434"/>
      <c r="K30" s="2611"/>
      <c r="L30" s="2608"/>
      <c r="M30" s="2608"/>
      <c r="N30" s="2434"/>
      <c r="O30" s="2445"/>
      <c r="P30" s="2434"/>
      <c r="Q30" s="2434"/>
      <c r="R30" s="2434"/>
      <c r="S30" s="2434"/>
      <c r="T30" s="2434"/>
      <c r="U30" s="2434"/>
      <c r="V30" s="2434"/>
    </row>
    <row r="31" spans="1:28">
      <c r="A31" s="3547" t="s">
        <v>2216</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48"/>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48"/>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2217</v>
      </c>
      <c r="B34" s="2021"/>
      <c r="C34" s="2021"/>
      <c r="D34" s="2021"/>
      <c r="E34" s="2021"/>
      <c r="F34" s="2021"/>
      <c r="G34" s="2021"/>
      <c r="H34" s="2021"/>
      <c r="I34" s="2659"/>
      <c r="J34" s="2434"/>
      <c r="K34" s="2422">
        <f>COUNTIF(B34:H34,"——")</f>
        <v>0</v>
      </c>
      <c r="L34" s="323" t="s">
        <v>2218</v>
      </c>
      <c r="M34" s="323" t="s">
        <v>2219</v>
      </c>
      <c r="N34" s="323" t="s">
        <v>2220</v>
      </c>
      <c r="O34" s="323" t="s">
        <v>2221</v>
      </c>
      <c r="P34" s="323" t="s">
        <v>2222</v>
      </c>
      <c r="Q34" s="323" t="s">
        <v>2223</v>
      </c>
      <c r="R34" s="323" t="s">
        <v>2224</v>
      </c>
      <c r="S34" s="3542" t="s">
        <v>2225</v>
      </c>
      <c r="T34" s="2423" t="str">
        <f>NUMBERSTRING(7-K34,1)&amp;"通"</f>
        <v>七通</v>
      </c>
      <c r="U34" s="2434"/>
      <c r="V34" s="2434"/>
    </row>
    <row r="35" spans="1:30">
      <c r="A35" s="2424"/>
      <c r="B35" s="3549" t="s">
        <v>2226</v>
      </c>
      <c r="C35" s="3549"/>
      <c r="D35" s="3549"/>
      <c r="E35" s="3549"/>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4"/>
      <c r="V35" s="2434"/>
    </row>
    <row r="36" spans="1:30">
      <c r="A36" s="2425"/>
      <c r="B36" s="663" t="s">
        <v>2182</v>
      </c>
      <c r="C36" s="663" t="s">
        <v>2183</v>
      </c>
      <c r="D36" s="663" t="s">
        <v>2181</v>
      </c>
      <c r="E36" s="663" t="s">
        <v>2186</v>
      </c>
      <c r="F36" s="3060" t="s">
        <v>2580</v>
      </c>
      <c r="G36" s="2659"/>
      <c r="H36" s="2659"/>
      <c r="I36" s="2659"/>
      <c r="J36" s="2434"/>
      <c r="K36" s="2611"/>
      <c r="L36" s="2608"/>
      <c r="M36" s="2608"/>
      <c r="N36" s="2434"/>
      <c r="O36" s="2445"/>
      <c r="P36" s="2434"/>
      <c r="Q36" s="2434"/>
      <c r="R36" s="2434"/>
      <c r="S36" s="2434"/>
      <c r="T36" s="2434"/>
      <c r="U36" s="2434"/>
      <c r="V36" s="2434"/>
    </row>
    <row r="37" spans="1:30">
      <c r="A37" s="2625" t="s">
        <v>2227</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2228</v>
      </c>
      <c r="B38" s="2427"/>
      <c r="C38" s="2427"/>
      <c r="D38" s="2427" t="s">
        <v>2938</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2230</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三期清单!N21</f>
        <v>17349.990000000002</v>
      </c>
      <c r="B3" s="11">
        <f>IF(C3="否",G5-AT5,G5)</f>
        <v>50816.34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50816.34</v>
      </c>
      <c r="H5" s="13">
        <f t="shared" ref="H5:AT5" si="0">SUM(H13:H656)</f>
        <v>43061.14</v>
      </c>
      <c r="I5" s="13">
        <f t="shared" si="0"/>
        <v>34383.439999999995</v>
      </c>
      <c r="J5" s="13">
        <f t="shared" si="0"/>
        <v>0</v>
      </c>
      <c r="K5" s="13">
        <f t="shared" si="0"/>
        <v>8677.7000000000007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7755.1999999999989</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7755.1999999999989</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50816.34</v>
      </c>
      <c r="BA5" s="15">
        <f t="shared" si="1"/>
        <v>43061.14</v>
      </c>
      <c r="BB5" s="15">
        <f t="shared" si="1"/>
        <v>34383.439999999995</v>
      </c>
      <c r="BC5" s="15">
        <f t="shared" si="1"/>
        <v>8677.7000000000007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7755.1999999999989</v>
      </c>
      <c r="BM5" s="15">
        <f t="shared" si="1"/>
        <v>0</v>
      </c>
      <c r="BN5" s="15">
        <f t="shared" si="1"/>
        <v>0</v>
      </c>
      <c r="BO5" s="15">
        <f t="shared" si="1"/>
        <v>0</v>
      </c>
      <c r="BP5" s="15">
        <f t="shared" si="1"/>
        <v>0</v>
      </c>
      <c r="BQ5" s="15">
        <f t="shared" si="1"/>
        <v>0</v>
      </c>
      <c r="BR5" s="15">
        <f t="shared" si="1"/>
        <v>7755.1999999999989</v>
      </c>
      <c r="BS5" s="15">
        <f t="shared" si="1"/>
        <v>0</v>
      </c>
      <c r="BT5" s="16">
        <f t="shared" si="1"/>
        <v>0</v>
      </c>
    </row>
    <row r="6" spans="1:72" s="1586" customFormat="1" ht="12.75">
      <c r="A6" s="12" t="s">
        <v>1070</v>
      </c>
      <c r="B6" s="1583"/>
      <c r="C6" s="1583"/>
      <c r="D6" s="1584"/>
      <c r="E6" s="13">
        <f>H6+AC6+AT6</f>
        <v>17349.989999999998</v>
      </c>
      <c r="F6" s="13" t="s">
        <v>0</v>
      </c>
      <c r="G6" s="13" t="s">
        <v>1</v>
      </c>
      <c r="H6" s="17">
        <f>SUMIF(I$12:AB$12,"总值",I6:AB6)</f>
        <v>14702.169999999998</v>
      </c>
      <c r="I6" s="13">
        <f t="shared" ref="I6:AB6" si="2">ROUND($A$3*I5/$B$3,2)</f>
        <v>11739.38</v>
      </c>
      <c r="J6" s="13">
        <f t="shared" si="2"/>
        <v>0</v>
      </c>
      <c r="K6" s="13">
        <f t="shared" si="2"/>
        <v>2962.79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2647.82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2647.82</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17349.990000000002</v>
      </c>
      <c r="AZ6" s="13" t="s">
        <v>2</v>
      </c>
      <c r="BA6" s="13">
        <f>ROUND($AY$6*BA5/$AZ$5,2)</f>
        <v>14702.17</v>
      </c>
      <c r="BB6" s="13">
        <f>ROUND($AY$6*BB5/$AZ$5,2)</f>
        <v>11739.38</v>
      </c>
      <c r="BC6" s="13">
        <f t="shared" ref="BC6:BH6" si="4">ROUND($AY$6*BC5/$AZ$5,2)</f>
        <v>2962.79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2647.82</v>
      </c>
      <c r="BM6" s="13">
        <f t="shared" si="5"/>
        <v>0</v>
      </c>
      <c r="BN6" s="13">
        <f t="shared" si="5"/>
        <v>0</v>
      </c>
      <c r="BO6" s="13">
        <f t="shared" si="5"/>
        <v>0</v>
      </c>
      <c r="BP6" s="13">
        <f t="shared" si="5"/>
        <v>0</v>
      </c>
      <c r="BQ6" s="13">
        <f t="shared" si="5"/>
        <v>0</v>
      </c>
      <c r="BR6" s="13">
        <f t="shared" si="5"/>
        <v>2647.82</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8"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3391</v>
      </c>
      <c r="J9" s="808"/>
      <c r="K9" s="1600" t="s">
        <v>3393</v>
      </c>
      <c r="L9" s="808"/>
      <c r="M9" s="1600"/>
      <c r="N9" s="808"/>
      <c r="O9" s="1600"/>
      <c r="P9" s="808"/>
      <c r="Q9" s="1600"/>
      <c r="R9" s="808"/>
      <c r="S9" s="1600"/>
      <c r="T9" s="808"/>
      <c r="U9" s="1600"/>
      <c r="V9" s="808"/>
      <c r="W9" s="1600"/>
      <c r="X9" s="1601"/>
      <c r="Y9" s="1600"/>
      <c r="Z9" s="808"/>
      <c r="AA9" s="1600"/>
      <c r="AB9" s="808"/>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3392</v>
      </c>
      <c r="J10" s="808"/>
      <c r="K10" s="1606" t="s">
        <v>3336</v>
      </c>
      <c r="L10" s="808"/>
      <c r="M10" s="1606"/>
      <c r="N10" s="808"/>
      <c r="O10" s="1606"/>
      <c r="P10" s="808"/>
      <c r="Q10" s="1606"/>
      <c r="R10" s="808"/>
      <c r="S10" s="1606"/>
      <c r="T10" s="808"/>
      <c r="U10" s="1606"/>
      <c r="V10" s="808"/>
      <c r="W10" s="1606"/>
      <c r="X10" s="808"/>
      <c r="Y10" s="1606"/>
      <c r="Z10" s="808"/>
      <c r="AA10" s="1606"/>
      <c r="AB10" s="808"/>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3390</v>
      </c>
      <c r="E13" s="13">
        <f>IF($C$3="是",ROUND($A$3*G13/$B$3,2),ROUND($A$3*(G13-AT13)/$B$3,2))</f>
        <v>17349.990000000002</v>
      </c>
      <c r="F13" s="29"/>
      <c r="G13" s="30">
        <f>H13+AC13+AT13</f>
        <v>50816.34</v>
      </c>
      <c r="H13" s="17">
        <f>SUMIF(I$12:AB$12,"总值",I13:AB13)</f>
        <v>43061.14</v>
      </c>
      <c r="I13" s="1623">
        <f>三期清单!O35</f>
        <v>34383.439999999995</v>
      </c>
      <c r="J13" s="1623"/>
      <c r="K13" s="1623">
        <f>三期清单!R34</f>
        <v>8677.7000000000007</v>
      </c>
      <c r="L13" s="1623"/>
      <c r="M13" s="1623"/>
      <c r="N13" s="1623"/>
      <c r="O13" s="1623"/>
      <c r="P13" s="1623"/>
      <c r="Q13" s="1623"/>
      <c r="R13" s="1623"/>
      <c r="S13" s="1623"/>
      <c r="T13" s="1623"/>
      <c r="U13" s="1623"/>
      <c r="V13" s="1623"/>
      <c r="W13" s="1623"/>
      <c r="X13" s="1623"/>
      <c r="Y13" s="1623"/>
      <c r="Z13" s="1623"/>
      <c r="AA13" s="1623"/>
      <c r="AB13" s="1623"/>
      <c r="AC13" s="13">
        <f>SUMIF(AD$12:AS$12,"总值",AD13:AS13)</f>
        <v>7755.1999999999989</v>
      </c>
      <c r="AD13" s="1624"/>
      <c r="AE13" s="1624"/>
      <c r="AF13" s="1624"/>
      <c r="AG13" s="1624"/>
      <c r="AH13" s="1624"/>
      <c r="AI13" s="1624"/>
      <c r="AJ13" s="1624"/>
      <c r="AK13" s="1624"/>
      <c r="AL13" s="1624"/>
      <c r="AM13" s="1624"/>
      <c r="AN13" s="1624">
        <f>三期清单!Q34</f>
        <v>7755.1999999999989</v>
      </c>
      <c r="AO13" s="1624"/>
      <c r="AP13" s="1624"/>
      <c r="AQ13" s="1624"/>
      <c r="AR13" s="1624"/>
      <c r="AS13" s="1624"/>
      <c r="AT13" s="1625"/>
      <c r="AU13" s="1626"/>
      <c r="AV13" s="8">
        <f t="shared" ref="AV13:AX17" si="6">A13</f>
        <v>0</v>
      </c>
      <c r="AW13" s="8">
        <f t="shared" si="6"/>
        <v>0</v>
      </c>
      <c r="AX13" s="8">
        <f t="shared" si="6"/>
        <v>0</v>
      </c>
      <c r="AY13" s="1346">
        <f>ROUND($AY$6*AZ13/$AZ$5,2)</f>
        <v>17349.990000000002</v>
      </c>
      <c r="AZ13" s="13">
        <f>BA13+BL13</f>
        <v>50816.34</v>
      </c>
      <c r="BA13" s="13">
        <f>SUM(BB13:BK13)</f>
        <v>43061.14</v>
      </c>
      <c r="BB13" s="13">
        <f>IF($D13="是",I13-J13,0)</f>
        <v>34383.439999999995</v>
      </c>
      <c r="BC13" s="13">
        <f>IF($D13="是",K13-L13,0)</f>
        <v>8677.7000000000007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7755.1999999999989</v>
      </c>
      <c r="BM13" s="13">
        <f>IF($D13="是",AD13-AE13,0)</f>
        <v>0</v>
      </c>
      <c r="BN13" s="13">
        <f>IF($D13="是",AF13-AG13,0)</f>
        <v>0</v>
      </c>
      <c r="BO13" s="13">
        <f>IF($D13="是",AH13-AI13,0)</f>
        <v>0</v>
      </c>
      <c r="BP13" s="13">
        <f>IF($D13="是",AJ13-AK13,0)</f>
        <v>0</v>
      </c>
      <c r="BQ13" s="13">
        <f>IF($D13="是",AL13-AM13,0)</f>
        <v>0</v>
      </c>
      <c r="BR13" s="13">
        <f>IF($D13="是",AN13-AO13,0)</f>
        <v>7755.1999999999989</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581" t="s">
        <v>1129</v>
      </c>
      <c r="B2" s="3581"/>
      <c r="C2" s="3581"/>
      <c r="D2" s="795" t="s">
        <v>1105</v>
      </c>
      <c r="E2" s="1636" t="s">
        <v>1106</v>
      </c>
      <c r="F2" s="2654"/>
      <c r="G2" s="2645"/>
      <c r="H2" s="2646"/>
      <c r="I2" s="2320" t="s">
        <v>1130</v>
      </c>
      <c r="J2" s="2654"/>
      <c r="K2" s="2654"/>
      <c r="L2" s="2654"/>
      <c r="M2" s="2654"/>
      <c r="N2" s="2656"/>
      <c r="O2" s="2654"/>
      <c r="P2" s="2654"/>
    </row>
    <row r="3" spans="1:16" ht="15.75" thickBot="1">
      <c r="A3" s="3582" t="s">
        <v>1103</v>
      </c>
      <c r="B3" s="3582"/>
      <c r="C3" s="3582"/>
      <c r="D3" s="43">
        <f>'数据-基础表'!AY6</f>
        <v>17349.990000000002</v>
      </c>
      <c r="E3" s="43">
        <f>'数据-基础表'!AZ5</f>
        <v>50816.34</v>
      </c>
      <c r="F3" s="2654"/>
      <c r="G3" s="1143"/>
      <c r="H3" s="1024" t="s">
        <v>1104</v>
      </c>
      <c r="I3" s="854">
        <f>ROUND('数据-基础表'!B3/'数据-基础表'!A3,2)</f>
        <v>2.93</v>
      </c>
      <c r="J3" s="2654"/>
      <c r="K3" s="2654"/>
      <c r="L3" s="2654"/>
      <c r="M3" s="2654"/>
      <c r="N3" s="2656"/>
      <c r="O3" s="2654"/>
      <c r="P3" s="2654"/>
    </row>
    <row r="4" spans="1:16" ht="15">
      <c r="A4" s="3583"/>
      <c r="B4" s="3584"/>
      <c r="C4" s="3585"/>
      <c r="D4" s="1638" t="s">
        <v>1105</v>
      </c>
      <c r="E4" s="1639" t="s">
        <v>1106</v>
      </c>
      <c r="F4" s="2654"/>
      <c r="G4" s="2647" t="s">
        <v>1131</v>
      </c>
      <c r="H4" s="1024" t="s">
        <v>1111</v>
      </c>
      <c r="I4" s="854">
        <f>ROUND(SUMIF('数据-基础表'!I9:AS9,"地上",'数据-基础表'!I5:AS5)/'数据-基础表'!A3,2)</f>
        <v>1.98</v>
      </c>
      <c r="J4" s="2654"/>
      <c r="K4" s="2654"/>
      <c r="L4" s="2654"/>
      <c r="M4" s="2654"/>
      <c r="N4" s="2656"/>
      <c r="O4" s="2654"/>
      <c r="P4" s="2654"/>
    </row>
    <row r="5" spans="1:16">
      <c r="A5" s="44" t="s">
        <v>1107</v>
      </c>
      <c r="B5" s="3586" t="s">
        <v>1108</v>
      </c>
      <c r="C5" s="3586"/>
      <c r="D5" s="45">
        <f>ROUND($D$3*E5/$E$3,2)</f>
        <v>11739.38</v>
      </c>
      <c r="E5" s="46">
        <f>SUMIF('数据-基础表'!$11:$11,"住宅",'数据-基础表'!$5:$5)</f>
        <v>34383.439999999995</v>
      </c>
      <c r="F5" s="2654"/>
      <c r="G5" s="1143"/>
      <c r="H5" s="1024" t="s">
        <v>1104</v>
      </c>
      <c r="I5" s="854">
        <f>ROUND(E31/D31,2)</f>
        <v>2.93</v>
      </c>
      <c r="J5" s="2654"/>
      <c r="K5" s="2654"/>
      <c r="L5" s="2654"/>
      <c r="M5" s="2654"/>
      <c r="N5" s="2654"/>
      <c r="O5" s="2654"/>
      <c r="P5" s="2654"/>
    </row>
    <row r="6" spans="1:16" ht="15" thickBot="1">
      <c r="A6" s="1641"/>
      <c r="B6" s="3586" t="s">
        <v>1109</v>
      </c>
      <c r="C6" s="3586"/>
      <c r="D6" s="45">
        <f>ROUND($D$3*E6/$E$3,2)</f>
        <v>5610.61</v>
      </c>
      <c r="E6" s="46">
        <f>E3-E5</f>
        <v>16432.900000000001</v>
      </c>
      <c r="F6" s="2654"/>
      <c r="G6" s="2648" t="s">
        <v>1110</v>
      </c>
      <c r="H6" s="1144" t="s">
        <v>1111</v>
      </c>
      <c r="I6" s="2649">
        <f>ROUND(F31/D31,2)</f>
        <v>1.98</v>
      </c>
      <c r="J6" s="2654"/>
      <c r="K6" s="2654"/>
      <c r="L6" s="2654"/>
      <c r="M6" s="2654"/>
      <c r="N6" s="2654"/>
      <c r="O6" s="2654"/>
      <c r="P6" s="2654"/>
    </row>
    <row r="7" spans="1:16" ht="15.75" thickBot="1">
      <c r="A7" s="3578"/>
      <c r="B7" s="3579"/>
      <c r="C7" s="3580"/>
      <c r="D7" s="1638" t="s">
        <v>1105</v>
      </c>
      <c r="E7" s="1642"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11739.38</v>
      </c>
      <c r="E8" s="48">
        <f>SUMIF('数据-基础表'!BB10:BK10,"地上",'数据-基础表'!BB5:BK5)</f>
        <v>34383.439999999995</v>
      </c>
      <c r="F8" s="2654"/>
      <c r="G8" s="2655"/>
      <c r="H8" s="2655"/>
      <c r="I8" s="2654"/>
      <c r="J8" s="2654"/>
      <c r="K8" s="2654"/>
      <c r="L8" s="2654"/>
      <c r="M8" s="2654"/>
      <c r="N8" s="2654"/>
      <c r="O8" s="2654"/>
      <c r="P8" s="2654"/>
    </row>
    <row r="9" spans="1:16">
      <c r="A9" s="1643"/>
      <c r="B9" s="1644"/>
      <c r="C9" s="45" t="s">
        <v>1117</v>
      </c>
      <c r="D9" s="45">
        <f t="shared" si="0"/>
        <v>0</v>
      </c>
      <c r="E9" s="49">
        <v>0</v>
      </c>
      <c r="F9" s="2654"/>
      <c r="G9" s="2655"/>
      <c r="H9" s="2655"/>
      <c r="I9" s="2654"/>
      <c r="J9" s="2654"/>
      <c r="K9" s="2654"/>
      <c r="L9" s="2654"/>
      <c r="M9" s="2654"/>
      <c r="N9" s="2654"/>
      <c r="O9" s="2654"/>
      <c r="P9" s="2654"/>
    </row>
    <row r="10" spans="1:16">
      <c r="A10" s="1643"/>
      <c r="B10" s="1644"/>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1120</v>
      </c>
      <c r="D13" s="45">
        <f t="shared" si="0"/>
        <v>2962.79</v>
      </c>
      <c r="E13" s="48">
        <f>SUMPRODUCT(('数据-基础表'!BB10:BK10="地下")*('数据-基础表'!BB11:BK11="车库")*('数据-基础表'!BB5:BK5))</f>
        <v>8677.7000000000007</v>
      </c>
      <c r="F13" s="2654"/>
      <c r="G13" s="2655"/>
      <c r="H13" s="2655"/>
      <c r="I13" s="2654"/>
      <c r="J13" s="2654"/>
      <c r="K13" s="2654"/>
      <c r="L13" s="2654"/>
      <c r="M13" s="2654"/>
      <c r="N13" s="2654"/>
      <c r="O13" s="2654"/>
      <c r="P13" s="2654"/>
    </row>
    <row r="14" spans="1:16">
      <c r="A14" s="1643"/>
      <c r="B14" s="1644"/>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1121</v>
      </c>
      <c r="D16" s="47">
        <f>SUM(D8:D15)</f>
        <v>14702.169999999998</v>
      </c>
      <c r="E16" s="50">
        <f>SUM(E8:E15)</f>
        <v>43061.14</v>
      </c>
      <c r="F16" s="2654"/>
      <c r="G16" s="2655"/>
      <c r="H16" s="1645" t="s">
        <v>1133</v>
      </c>
      <c r="I16" s="1646"/>
      <c r="J16" s="1137"/>
      <c r="K16" s="3575" t="s">
        <v>1133</v>
      </c>
      <c r="L16" s="3576"/>
      <c r="M16" s="3576"/>
      <c r="N16" s="3576"/>
      <c r="O16" s="3576"/>
      <c r="P16" s="3577"/>
    </row>
    <row r="17" spans="1:19" ht="15">
      <c r="A17" s="1647" t="s">
        <v>1134</v>
      </c>
      <c r="B17" s="1648" t="s">
        <v>1135</v>
      </c>
      <c r="C17" s="1649" t="s">
        <v>1136</v>
      </c>
      <c r="D17" s="1650" t="s">
        <v>1124</v>
      </c>
      <c r="E17" s="1651" t="s">
        <v>1125</v>
      </c>
      <c r="F17" s="1652"/>
      <c r="G17" s="1653"/>
      <c r="H17" s="1654" t="s">
        <v>1137</v>
      </c>
      <c r="I17" s="1655" t="s">
        <v>1122</v>
      </c>
      <c r="J17" s="1137"/>
      <c r="K17" s="3572" t="s">
        <v>1138</v>
      </c>
      <c r="L17" s="3573"/>
      <c r="M17" s="3574"/>
      <c r="N17" s="3572" t="s">
        <v>1139</v>
      </c>
      <c r="O17" s="3573"/>
      <c r="P17" s="3574"/>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4" t="s">
        <v>1148</v>
      </c>
      <c r="N18" s="1039" t="s">
        <v>1146</v>
      </c>
      <c r="O18" s="1663" t="s">
        <v>1147</v>
      </c>
      <c r="P18" s="854" t="s">
        <v>1148</v>
      </c>
      <c r="R18" s="1024" t="s">
        <v>1149</v>
      </c>
      <c r="S18" s="1024" t="s">
        <v>1150</v>
      </c>
    </row>
    <row r="19" spans="1:19">
      <c r="A19" s="1664"/>
      <c r="B19" s="47" t="s">
        <v>1123</v>
      </c>
      <c r="C19" s="3412" t="s">
        <v>3396</v>
      </c>
      <c r="D19" s="45">
        <f>ROUND($D$3*E19/$E$3,2)</f>
        <v>11739.38</v>
      </c>
      <c r="E19" s="53">
        <f t="shared" ref="E19:E26" si="1">SUM(F19:G19)</f>
        <v>34383.439999999995</v>
      </c>
      <c r="F19" s="2790">
        <f>'数据-基础表'!I13</f>
        <v>34383.439999999995</v>
      </c>
      <c r="G19" s="2791"/>
      <c r="H19" s="669">
        <f>ROUND($D$3*I19/$E$3,2)</f>
        <v>2114.23</v>
      </c>
      <c r="I19" s="48">
        <f t="shared" ref="I19:I26" si="2">IF($I$17="自定义",P19,M19)</f>
        <v>6192.37</v>
      </c>
      <c r="J19" s="1137"/>
      <c r="K19" s="1136">
        <f t="shared" ref="K19:K26" si="3">ROUND(E$28*E19/E$27,2)</f>
        <v>6192.37</v>
      </c>
      <c r="L19" s="1024">
        <f t="shared" ref="L19:L26" si="4">ROUND(IF(COUNTIF(C19,"*住宅*")&gt;0,E$29*E19/E$32,0),2)</f>
        <v>0</v>
      </c>
      <c r="M19" s="1148">
        <f>K19+L19</f>
        <v>6192.37</v>
      </c>
      <c r="N19" s="1665"/>
      <c r="O19" s="1666"/>
      <c r="P19" s="1148">
        <f>N19+O19</f>
        <v>0</v>
      </c>
      <c r="R19" s="1024">
        <f t="shared" ref="R19:S26" si="5">D19+H19</f>
        <v>13853.609999999999</v>
      </c>
      <c r="S19" s="1025">
        <f t="shared" si="5"/>
        <v>40575.81</v>
      </c>
    </row>
    <row r="20" spans="1:19">
      <c r="A20" s="1667"/>
      <c r="B20" s="47" t="s">
        <v>1151</v>
      </c>
      <c r="C20" s="3412" t="s">
        <v>3397</v>
      </c>
      <c r="D20" s="45">
        <f t="shared" ref="D20:D26" si="6">ROUND($D$3*E20/$E$3,2)</f>
        <v>2962.79</v>
      </c>
      <c r="E20" s="53">
        <f t="shared" si="1"/>
        <v>8677.7000000000007</v>
      </c>
      <c r="F20" s="2790"/>
      <c r="G20" s="2791">
        <f>'数据-基础表'!K13</f>
        <v>8677.7000000000007</v>
      </c>
      <c r="H20" s="669">
        <f t="shared" ref="H20:H26" si="7">ROUND($D$3*I20/$E$3,2)</f>
        <v>533.59</v>
      </c>
      <c r="I20" s="48">
        <f t="shared" si="2"/>
        <v>1562.83</v>
      </c>
      <c r="J20" s="1137"/>
      <c r="K20" s="1136">
        <f t="shared" si="3"/>
        <v>1562.83</v>
      </c>
      <c r="L20" s="1024">
        <f t="shared" si="4"/>
        <v>0</v>
      </c>
      <c r="M20" s="1148">
        <f t="shared" ref="M20:M26" si="8">K20+L20</f>
        <v>1562.83</v>
      </c>
      <c r="N20" s="1665"/>
      <c r="O20" s="1666"/>
      <c r="P20" s="1148">
        <f t="shared" ref="P20:P26" si="9">N20+O20</f>
        <v>0</v>
      </c>
      <c r="R20" s="1024">
        <f t="shared" si="5"/>
        <v>3496.38</v>
      </c>
      <c r="S20" s="1025">
        <f t="shared" si="5"/>
        <v>10240.530000000001</v>
      </c>
    </row>
    <row r="21" spans="1:19">
      <c r="A21" s="1667"/>
      <c r="B21" s="47" t="s">
        <v>1151</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1151</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1152</v>
      </c>
      <c r="D27" s="1138">
        <f>SUM(D19:D26)</f>
        <v>14702.169999999998</v>
      </c>
      <c r="E27" s="1139">
        <f>IF(SUM(E19:E26)='数据-基础表'!BA5,SUM(E19:E26),IF(F27="地上面积有误","面积有误","地下面积有误"))</f>
        <v>43061.14</v>
      </c>
      <c r="F27" s="1138">
        <f>IF(SUM(F19:F26)=E8,SUM(F19:F26),"地上面积有误")</f>
        <v>34383.439999999995</v>
      </c>
      <c r="G27" s="1140">
        <f>SUM(G19:G26)</f>
        <v>8677.7000000000007</v>
      </c>
      <c r="H27" s="1141">
        <f>SUM(H19:H26)</f>
        <v>2647.82</v>
      </c>
      <c r="I27" s="1142">
        <f>SUM(I19:I26)</f>
        <v>7755.2</v>
      </c>
      <c r="J27" s="1137"/>
      <c r="K27" s="1145">
        <f>SUM(K19:K26)</f>
        <v>7755.2</v>
      </c>
      <c r="L27" s="1146">
        <f>SUM(L19:L26)</f>
        <v>0</v>
      </c>
      <c r="M27" s="1149">
        <f>SUM(M19:M26)</f>
        <v>7755.2</v>
      </c>
      <c r="N27" s="1145">
        <f t="shared" ref="N27:O27" si="10">SUM(N19:N26)</f>
        <v>0</v>
      </c>
      <c r="O27" s="1146">
        <f t="shared" si="10"/>
        <v>0</v>
      </c>
      <c r="P27" s="1147">
        <f>SUM(P19:P26)</f>
        <v>0</v>
      </c>
      <c r="R27" s="1026">
        <f>IF(SUM(R19:R26)=$D$3,SUM(R19:R26),SUM(R19:R26)&amp;"误差"&amp;ROUND(SUM(R19:R26)-$D$3,2))</f>
        <v>17349.989999999998</v>
      </c>
      <c r="S27" s="1024">
        <f>IF(SUM(S19:S26)=$E$3,SUM(S19:S26),SUM(S19:S26)&amp;"误差"&amp;ROUND(SUM(S19:S26)-E3,2))</f>
        <v>50816.34</v>
      </c>
    </row>
    <row r="28" spans="1:19">
      <c r="A28" s="1667"/>
      <c r="B28" s="47" t="s">
        <v>1153</v>
      </c>
      <c r="C28" s="1036" t="s">
        <v>1154</v>
      </c>
      <c r="D28" s="45">
        <f>ROUND($D$3*E28/$E$3,2)</f>
        <v>2647.82</v>
      </c>
      <c r="E28" s="53">
        <f>SUM(F28:G28)</f>
        <v>7755.1999999999989</v>
      </c>
      <c r="F28" s="56">
        <f>'数据-基础表'!BQ5+'数据-基础表'!BS5</f>
        <v>0</v>
      </c>
      <c r="G28" s="57">
        <f>'数据-基础表'!BR5+'数据-基础表'!BT5</f>
        <v>7755.1999999999989</v>
      </c>
      <c r="H28" s="2654"/>
      <c r="I28" s="2654"/>
      <c r="J28" s="2654"/>
      <c r="K28" s="2654"/>
      <c r="L28" s="2654"/>
      <c r="M28" s="2654"/>
      <c r="N28" s="2654"/>
      <c r="O28" s="2654"/>
      <c r="P28" s="2654"/>
    </row>
    <row r="29" spans="1:19">
      <c r="A29" s="1667"/>
      <c r="B29" s="47" t="s">
        <v>1153</v>
      </c>
      <c r="C29" s="1671"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1152</v>
      </c>
      <c r="D30" s="1138">
        <f>SUM(D28:D29)</f>
        <v>2647.82</v>
      </c>
      <c r="E30" s="1138">
        <f>SUM(E28:E29)</f>
        <v>7755.1999999999989</v>
      </c>
      <c r="F30" s="1138">
        <f>SUM(F28:F29)</f>
        <v>0</v>
      </c>
      <c r="G30" s="1140">
        <f>SUM(G28:G29)</f>
        <v>7755.1999999999989</v>
      </c>
      <c r="H30" s="2654"/>
      <c r="I30" s="2654"/>
      <c r="J30" s="2654"/>
      <c r="K30" s="2654"/>
      <c r="L30" s="2654"/>
      <c r="M30" s="2654"/>
      <c r="N30" s="2654"/>
      <c r="O30" s="2654"/>
      <c r="P30" s="2654"/>
    </row>
    <row r="31" spans="1:19" ht="15.75" thickBot="1">
      <c r="A31" s="1673"/>
      <c r="B31" s="1674"/>
      <c r="C31" s="834" t="s">
        <v>1156</v>
      </c>
      <c r="D31" s="675">
        <f>D27+D30</f>
        <v>17349.989999999998</v>
      </c>
      <c r="E31" s="675">
        <f>E27+E30</f>
        <v>50816.34</v>
      </c>
      <c r="F31" s="676">
        <f>F27+F30</f>
        <v>34383.439999999995</v>
      </c>
      <c r="G31" s="677">
        <f>G27+G30</f>
        <v>16432.900000000001</v>
      </c>
      <c r="H31" s="2654"/>
      <c r="I31" s="2654"/>
      <c r="J31" s="2654"/>
      <c r="K31" s="2654"/>
      <c r="L31" s="2654"/>
      <c r="M31" s="2654"/>
      <c r="N31" s="2654"/>
      <c r="O31" s="2654"/>
      <c r="P31" s="2654"/>
    </row>
    <row r="32" spans="1:19">
      <c r="A32" s="1640"/>
      <c r="B32" s="1640" t="s">
        <v>1157</v>
      </c>
      <c r="C32" s="1640"/>
      <c r="D32" s="1640"/>
      <c r="E32" s="1051">
        <f>SUMIF(C19:C26,"*住宅*",E19:E26)</f>
        <v>34383.439999999995</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3"/>
  <sheetViews>
    <sheetView zoomScaleNormal="100" workbookViewId="0">
      <selection activeCell="J9" sqref="J9"/>
    </sheetView>
  </sheetViews>
  <sheetFormatPr defaultColWidth="9" defaultRowHeight="14.25"/>
  <cols>
    <col min="1" max="1" width="9" style="3483"/>
    <col min="2" max="2" width="11.375" style="3483" customWidth="1"/>
    <col min="3" max="3" width="8.875" style="3483" customWidth="1"/>
    <col min="4" max="6" width="9" style="3483"/>
    <col min="7" max="7" width="12.625" style="3483" customWidth="1"/>
    <col min="8" max="12" width="9" style="3483"/>
    <col min="13" max="13" width="11" style="3483" customWidth="1"/>
    <col min="14" max="16384" width="9" style="3483"/>
  </cols>
  <sheetData>
    <row r="1" spans="1:25">
      <c r="A1" s="3480" t="s">
        <v>3383</v>
      </c>
      <c r="B1" s="3481" t="s">
        <v>3384</v>
      </c>
      <c r="C1" s="3481" t="s">
        <v>3385</v>
      </c>
      <c r="D1" s="3482" t="s">
        <v>3386</v>
      </c>
      <c r="E1" s="3482" t="s">
        <v>3387</v>
      </c>
      <c r="F1" s="3482" t="s">
        <v>3388</v>
      </c>
      <c r="G1" s="3480" t="s">
        <v>3389</v>
      </c>
      <c r="H1" s="3483">
        <f ca="1">结果表!G19</f>
        <v>97382</v>
      </c>
      <c r="I1" s="3483">
        <f ca="1">ROUND(假设开发法!C8/假设开发法!C4*三期清单!H1,0)</f>
        <v>95245</v>
      </c>
    </row>
    <row r="2" spans="1:25">
      <c r="A2" s="3484">
        <v>1</v>
      </c>
      <c r="B2" s="3485" t="s">
        <v>3622</v>
      </c>
      <c r="C2" s="3486"/>
      <c r="D2" s="3485">
        <v>86.91</v>
      </c>
      <c r="E2" s="3487">
        <v>69.25</v>
      </c>
      <c r="F2" s="3488">
        <v>17.66</v>
      </c>
      <c r="G2" s="3486" t="s">
        <v>3623</v>
      </c>
      <c r="H2" s="3483">
        <f ca="1">ROUND(I1*10000/D413,0)</f>
        <v>27701</v>
      </c>
      <c r="I2" s="3483">
        <f ca="1">ROUND(D2*$H$2/10000,0)</f>
        <v>241</v>
      </c>
      <c r="X2" s="3483">
        <v>150</v>
      </c>
      <c r="Y2" s="3483">
        <v>27.66</v>
      </c>
    </row>
    <row r="3" spans="1:25">
      <c r="A3" s="3484">
        <v>2</v>
      </c>
      <c r="B3" s="3485" t="s">
        <v>3624</v>
      </c>
      <c r="C3" s="3486"/>
      <c r="D3" s="3485">
        <v>82.96</v>
      </c>
      <c r="E3" s="3487">
        <v>66.099999999999994</v>
      </c>
      <c r="F3" s="3488">
        <v>16.86</v>
      </c>
      <c r="G3" s="3486" t="s">
        <v>3623</v>
      </c>
      <c r="I3" s="3483">
        <f t="shared" ref="I3:I66" ca="1" si="0">ROUND(D3*$H$2/10000,0)</f>
        <v>230</v>
      </c>
      <c r="M3" s="3464" t="s">
        <v>4054</v>
      </c>
      <c r="N3" s="3464"/>
      <c r="O3" s="3464"/>
      <c r="P3" s="3464"/>
      <c r="Q3" s="3464"/>
      <c r="R3" s="3464"/>
      <c r="S3" s="3464"/>
      <c r="T3" s="3464"/>
      <c r="X3" s="3483">
        <v>151</v>
      </c>
      <c r="Y3" s="3483">
        <v>27.66</v>
      </c>
    </row>
    <row r="4" spans="1:25">
      <c r="A4" s="3484">
        <v>3</v>
      </c>
      <c r="B4" s="3485" t="s">
        <v>3625</v>
      </c>
      <c r="C4" s="3486"/>
      <c r="D4" s="3485">
        <v>86.91</v>
      </c>
      <c r="E4" s="3487">
        <v>69.25</v>
      </c>
      <c r="F4" s="3488">
        <v>17.66</v>
      </c>
      <c r="G4" s="3486" t="s">
        <v>3623</v>
      </c>
      <c r="I4" s="3483">
        <f t="shared" ca="1" si="0"/>
        <v>241</v>
      </c>
      <c r="M4" s="3489" t="s">
        <v>4034</v>
      </c>
      <c r="N4" s="3489" t="s">
        <v>4035</v>
      </c>
      <c r="O4" s="3489" t="s">
        <v>2593</v>
      </c>
      <c r="P4" s="3489" t="s">
        <v>2553</v>
      </c>
      <c r="Q4" s="3489" t="s">
        <v>4036</v>
      </c>
      <c r="R4" s="3489" t="s">
        <v>3395</v>
      </c>
      <c r="S4" s="3489" t="s">
        <v>4037</v>
      </c>
      <c r="T4" s="3464" t="s">
        <v>4053</v>
      </c>
      <c r="X4" s="3483">
        <v>152</v>
      </c>
      <c r="Y4" s="3483">
        <v>27.66</v>
      </c>
    </row>
    <row r="5" spans="1:25">
      <c r="A5" s="3484">
        <v>4</v>
      </c>
      <c r="B5" s="3485" t="s">
        <v>3626</v>
      </c>
      <c r="C5" s="3486"/>
      <c r="D5" s="3485">
        <v>82.96</v>
      </c>
      <c r="E5" s="3487">
        <v>66.099999999999994</v>
      </c>
      <c r="F5" s="3488">
        <v>16.86</v>
      </c>
      <c r="G5" s="3486" t="s">
        <v>3623</v>
      </c>
      <c r="I5" s="3483">
        <f t="shared" ca="1" si="0"/>
        <v>230</v>
      </c>
      <c r="M5" s="3489" t="s">
        <v>4038</v>
      </c>
      <c r="N5" s="3489" t="s">
        <v>4039</v>
      </c>
      <c r="O5" s="3489">
        <f>P5+Q5+R5+S5</f>
        <v>4178.6900000000005</v>
      </c>
      <c r="P5" s="3489">
        <v>3464.88</v>
      </c>
      <c r="Q5" s="3489"/>
      <c r="R5" s="3489"/>
      <c r="S5" s="3489">
        <v>713.81</v>
      </c>
      <c r="T5" s="3464">
        <v>10</v>
      </c>
      <c r="X5" s="3483">
        <v>153</v>
      </c>
      <c r="Y5" s="3483">
        <v>20.57</v>
      </c>
    </row>
    <row r="6" spans="1:25">
      <c r="A6" s="3484">
        <v>5</v>
      </c>
      <c r="B6" s="3485" t="s">
        <v>3627</v>
      </c>
      <c r="C6" s="3486"/>
      <c r="D6" s="3485">
        <v>86.91</v>
      </c>
      <c r="E6" s="3487">
        <v>69.25</v>
      </c>
      <c r="F6" s="3488">
        <v>17.66</v>
      </c>
      <c r="G6" s="3486" t="s">
        <v>3623</v>
      </c>
      <c r="I6" s="3483">
        <f t="shared" ca="1" si="0"/>
        <v>241</v>
      </c>
      <c r="M6" s="3489" t="s">
        <v>4040</v>
      </c>
      <c r="N6" s="3489" t="s">
        <v>4039</v>
      </c>
      <c r="O6" s="3489">
        <f t="shared" ref="O6:O13" si="1">P6+Q6+R6+S6</f>
        <v>4577.1499999999996</v>
      </c>
      <c r="P6" s="3489">
        <v>3887.6</v>
      </c>
      <c r="Q6" s="3489"/>
      <c r="R6" s="3489"/>
      <c r="S6" s="3489">
        <v>689.55</v>
      </c>
      <c r="T6" s="3464">
        <v>11</v>
      </c>
      <c r="X6" s="3483">
        <v>154</v>
      </c>
      <c r="Y6" s="3483">
        <v>26.62</v>
      </c>
    </row>
    <row r="7" spans="1:25">
      <c r="A7" s="3484">
        <v>6</v>
      </c>
      <c r="B7" s="3485" t="s">
        <v>3628</v>
      </c>
      <c r="C7" s="3486"/>
      <c r="D7" s="3485">
        <v>82.96</v>
      </c>
      <c r="E7" s="3487">
        <v>66.099999999999994</v>
      </c>
      <c r="F7" s="3488">
        <v>16.86</v>
      </c>
      <c r="G7" s="3486" t="s">
        <v>3623</v>
      </c>
      <c r="I7" s="3483">
        <f t="shared" ca="1" si="0"/>
        <v>230</v>
      </c>
      <c r="M7" s="3489" t="s">
        <v>4041</v>
      </c>
      <c r="N7" s="3489" t="s">
        <v>4039</v>
      </c>
      <c r="O7" s="3489">
        <f t="shared" si="1"/>
        <v>4000.51</v>
      </c>
      <c r="P7" s="3489">
        <v>3309.76</v>
      </c>
      <c r="Q7" s="3489"/>
      <c r="R7" s="3489"/>
      <c r="S7" s="3489">
        <v>690.75</v>
      </c>
      <c r="T7" s="3464">
        <v>10</v>
      </c>
      <c r="X7" s="3483">
        <v>155</v>
      </c>
      <c r="Y7" s="3483">
        <v>26.62</v>
      </c>
    </row>
    <row r="8" spans="1:25">
      <c r="A8" s="3484">
        <v>7</v>
      </c>
      <c r="B8" s="3485" t="s">
        <v>3629</v>
      </c>
      <c r="C8" s="3486"/>
      <c r="D8" s="3485">
        <v>86.91</v>
      </c>
      <c r="E8" s="3487">
        <v>69.25</v>
      </c>
      <c r="F8" s="3488">
        <v>17.66</v>
      </c>
      <c r="G8" s="3486" t="s">
        <v>3623</v>
      </c>
      <c r="I8" s="3483">
        <f t="shared" ca="1" si="0"/>
        <v>241</v>
      </c>
      <c r="M8" s="3489" t="s">
        <v>4042</v>
      </c>
      <c r="N8" s="3489" t="s">
        <v>4039</v>
      </c>
      <c r="O8" s="3489">
        <f t="shared" si="1"/>
        <v>5069.83</v>
      </c>
      <c r="P8" s="3489">
        <v>4257.97</v>
      </c>
      <c r="Q8" s="3489"/>
      <c r="R8" s="3489"/>
      <c r="S8" s="3489">
        <v>811.86</v>
      </c>
      <c r="T8" s="3464">
        <v>11</v>
      </c>
      <c r="X8" s="3483">
        <v>156</v>
      </c>
      <c r="Y8" s="3483">
        <v>26.62</v>
      </c>
    </row>
    <row r="9" spans="1:25">
      <c r="A9" s="3484">
        <v>8</v>
      </c>
      <c r="B9" s="3485" t="s">
        <v>3630</v>
      </c>
      <c r="C9" s="3486"/>
      <c r="D9" s="3485">
        <v>82.96</v>
      </c>
      <c r="E9" s="3487">
        <v>66.099999999999994</v>
      </c>
      <c r="F9" s="3488">
        <v>16.86</v>
      </c>
      <c r="G9" s="3486" t="s">
        <v>3623</v>
      </c>
      <c r="I9" s="3483">
        <f t="shared" ca="1" si="0"/>
        <v>230</v>
      </c>
      <c r="M9" s="3489" t="s">
        <v>4043</v>
      </c>
      <c r="N9" s="3489" t="s">
        <v>4039</v>
      </c>
      <c r="O9" s="3489">
        <f t="shared" si="1"/>
        <v>4023.61</v>
      </c>
      <c r="P9" s="3489">
        <v>3348.96</v>
      </c>
      <c r="Q9" s="3489"/>
      <c r="R9" s="3489"/>
      <c r="S9" s="3489">
        <v>674.65</v>
      </c>
      <c r="T9" s="3464">
        <v>10</v>
      </c>
      <c r="X9" s="3483">
        <v>157</v>
      </c>
      <c r="Y9" s="3483">
        <v>26.62</v>
      </c>
    </row>
    <row r="10" spans="1:25">
      <c r="A10" s="3484">
        <v>9</v>
      </c>
      <c r="B10" s="3485" t="s">
        <v>3631</v>
      </c>
      <c r="C10" s="3486"/>
      <c r="D10" s="3485">
        <v>86.91</v>
      </c>
      <c r="E10" s="3487">
        <v>69.25</v>
      </c>
      <c r="F10" s="3488">
        <v>17.66</v>
      </c>
      <c r="G10" s="3486" t="s">
        <v>3623</v>
      </c>
      <c r="I10" s="3483">
        <f t="shared" ca="1" si="0"/>
        <v>241</v>
      </c>
      <c r="M10" s="3489" t="s">
        <v>4044</v>
      </c>
      <c r="N10" s="3489" t="s">
        <v>4039</v>
      </c>
      <c r="O10" s="3489">
        <f t="shared" si="1"/>
        <v>8599.619999999999</v>
      </c>
      <c r="P10" s="3489">
        <v>7263.7</v>
      </c>
      <c r="Q10" s="3489"/>
      <c r="R10" s="3489"/>
      <c r="S10" s="3489">
        <v>1335.92</v>
      </c>
      <c r="T10" s="3464">
        <v>11</v>
      </c>
      <c r="X10" s="3483">
        <v>158</v>
      </c>
      <c r="Y10" s="3483">
        <v>26.62</v>
      </c>
    </row>
    <row r="11" spans="1:25">
      <c r="A11" s="3484">
        <v>10</v>
      </c>
      <c r="B11" s="3485" t="s">
        <v>3632</v>
      </c>
      <c r="C11" s="3486"/>
      <c r="D11" s="3485">
        <v>82.96</v>
      </c>
      <c r="E11" s="3487">
        <v>66.099999999999994</v>
      </c>
      <c r="F11" s="3488">
        <v>16.86</v>
      </c>
      <c r="G11" s="3486" t="s">
        <v>3623</v>
      </c>
      <c r="I11" s="3483">
        <f t="shared" ca="1" si="0"/>
        <v>230</v>
      </c>
      <c r="M11" s="3489" t="s">
        <v>4045</v>
      </c>
      <c r="N11" s="3489" t="s">
        <v>4039</v>
      </c>
      <c r="O11" s="3489">
        <f t="shared" si="1"/>
        <v>4663.45</v>
      </c>
      <c r="P11" s="3489">
        <v>3547.68</v>
      </c>
      <c r="Q11" s="3489"/>
      <c r="R11" s="3489"/>
      <c r="S11" s="3489">
        <v>1115.77</v>
      </c>
      <c r="T11" s="3464">
        <v>6</v>
      </c>
      <c r="X11" s="3483">
        <v>159</v>
      </c>
      <c r="Y11" s="3483">
        <v>26.62</v>
      </c>
    </row>
    <row r="12" spans="1:25">
      <c r="A12" s="3484">
        <v>11</v>
      </c>
      <c r="B12" s="3485" t="s">
        <v>3633</v>
      </c>
      <c r="C12" s="3486"/>
      <c r="D12" s="3485">
        <v>86.91</v>
      </c>
      <c r="E12" s="3487">
        <v>69.25</v>
      </c>
      <c r="F12" s="3488">
        <v>17.66</v>
      </c>
      <c r="G12" s="3486" t="s">
        <v>3623</v>
      </c>
      <c r="I12" s="3483">
        <f t="shared" ca="1" si="0"/>
        <v>241</v>
      </c>
      <c r="M12" s="3489" t="s">
        <v>4046</v>
      </c>
      <c r="N12" s="3489" t="s">
        <v>4039</v>
      </c>
      <c r="O12" s="3489">
        <f t="shared" si="1"/>
        <v>7144.18</v>
      </c>
      <c r="P12" s="3489">
        <v>5530.83</v>
      </c>
      <c r="Q12" s="3489"/>
      <c r="R12" s="3489"/>
      <c r="S12" s="3489">
        <v>1613.35</v>
      </c>
      <c r="T12" s="3464">
        <v>6</v>
      </c>
      <c r="X12" s="3483">
        <v>160</v>
      </c>
      <c r="Y12" s="3483">
        <v>26.62</v>
      </c>
    </row>
    <row r="13" spans="1:25">
      <c r="A13" s="3484">
        <v>12</v>
      </c>
      <c r="B13" s="3485" t="s">
        <v>3634</v>
      </c>
      <c r="C13" s="3486"/>
      <c r="D13" s="3485">
        <v>82.96</v>
      </c>
      <c r="E13" s="3487">
        <v>66.099999999999994</v>
      </c>
      <c r="F13" s="3488">
        <v>16.86</v>
      </c>
      <c r="G13" s="3486" t="s">
        <v>3623</v>
      </c>
      <c r="I13" s="3483">
        <f t="shared" ca="1" si="0"/>
        <v>230</v>
      </c>
      <c r="M13" s="3489" t="s">
        <v>4047</v>
      </c>
      <c r="N13" s="3489" t="s">
        <v>4048</v>
      </c>
      <c r="O13" s="3489">
        <f t="shared" si="1"/>
        <v>8280</v>
      </c>
      <c r="P13" s="3489"/>
      <c r="Q13" s="3489"/>
      <c r="R13" s="3489">
        <v>8280</v>
      </c>
      <c r="S13" s="3489"/>
      <c r="T13" s="3464"/>
      <c r="X13" s="3483">
        <v>161</v>
      </c>
      <c r="Y13" s="3483">
        <v>26.62</v>
      </c>
    </row>
    <row r="14" spans="1:25">
      <c r="A14" s="3484">
        <v>13</v>
      </c>
      <c r="B14" s="3485" t="s">
        <v>3635</v>
      </c>
      <c r="C14" s="3486"/>
      <c r="D14" s="3485">
        <v>86.91</v>
      </c>
      <c r="E14" s="3487">
        <v>69.25</v>
      </c>
      <c r="F14" s="3488">
        <v>17.66</v>
      </c>
      <c r="G14" s="3486" t="s">
        <v>3623</v>
      </c>
      <c r="I14" s="3483">
        <f t="shared" ca="1" si="0"/>
        <v>241</v>
      </c>
      <c r="M14" s="3587" t="s">
        <v>4049</v>
      </c>
      <c r="N14" s="3588"/>
      <c r="O14" s="3489">
        <f>SUM(O5:O13)</f>
        <v>50537.04</v>
      </c>
      <c r="P14" s="3489">
        <f>SUM(P5:P13)</f>
        <v>34611.379999999997</v>
      </c>
      <c r="Q14" s="3489">
        <f t="shared" ref="Q14" si="2">SUM(Q5:Q13)</f>
        <v>0</v>
      </c>
      <c r="R14" s="3489">
        <f>SUM(R5:R13)</f>
        <v>8280</v>
      </c>
      <c r="S14" s="3489">
        <f>SUM(S5:S13)</f>
        <v>7645.66</v>
      </c>
      <c r="T14" s="3464"/>
      <c r="X14" s="3483">
        <v>162</v>
      </c>
      <c r="Y14" s="3483">
        <v>26.62</v>
      </c>
    </row>
    <row r="15" spans="1:25">
      <c r="A15" s="3484">
        <v>14</v>
      </c>
      <c r="B15" s="3485" t="s">
        <v>3636</v>
      </c>
      <c r="C15" s="3486"/>
      <c r="D15" s="3485">
        <v>82.96</v>
      </c>
      <c r="E15" s="3487">
        <v>66.099999999999994</v>
      </c>
      <c r="F15" s="3488">
        <v>16.86</v>
      </c>
      <c r="G15" s="3486" t="s">
        <v>3623</v>
      </c>
      <c r="I15" s="3483">
        <f t="shared" ca="1" si="0"/>
        <v>230</v>
      </c>
      <c r="M15" s="3464"/>
      <c r="N15" s="3464"/>
      <c r="O15" s="3464"/>
      <c r="P15" s="3464">
        <f>P14-D413</f>
        <v>227.94000000000233</v>
      </c>
      <c r="Q15" s="3464"/>
      <c r="R15" s="3464"/>
      <c r="S15" s="3464"/>
      <c r="T15" s="3464"/>
      <c r="X15" s="3483">
        <v>163</v>
      </c>
      <c r="Y15" s="3483">
        <v>26.62</v>
      </c>
    </row>
    <row r="16" spans="1:25">
      <c r="A16" s="3484">
        <v>15</v>
      </c>
      <c r="B16" s="3485" t="s">
        <v>3637</v>
      </c>
      <c r="C16" s="3486"/>
      <c r="D16" s="3485">
        <v>86.91</v>
      </c>
      <c r="E16" s="3487">
        <v>69.25</v>
      </c>
      <c r="F16" s="3488">
        <v>17.66</v>
      </c>
      <c r="G16" s="3486" t="s">
        <v>3623</v>
      </c>
      <c r="I16" s="3483">
        <f t="shared" ca="1" si="0"/>
        <v>241</v>
      </c>
      <c r="X16" s="3483">
        <v>164</v>
      </c>
      <c r="Y16" s="3483">
        <v>26.62</v>
      </c>
    </row>
    <row r="17" spans="1:25">
      <c r="A17" s="3484">
        <v>16</v>
      </c>
      <c r="B17" s="3485" t="s">
        <v>3638</v>
      </c>
      <c r="C17" s="3486"/>
      <c r="D17" s="3485">
        <v>82.96</v>
      </c>
      <c r="E17" s="3487">
        <v>66.099999999999994</v>
      </c>
      <c r="F17" s="3488">
        <v>16.86</v>
      </c>
      <c r="G17" s="3486" t="s">
        <v>3623</v>
      </c>
      <c r="I17" s="3483">
        <f t="shared" ca="1" si="0"/>
        <v>230</v>
      </c>
      <c r="X17" s="3483">
        <v>165</v>
      </c>
      <c r="Y17" s="3483">
        <v>26.62</v>
      </c>
    </row>
    <row r="18" spans="1:25">
      <c r="A18" s="3484">
        <v>17</v>
      </c>
      <c r="B18" s="3485" t="s">
        <v>3639</v>
      </c>
      <c r="C18" s="3486"/>
      <c r="D18" s="3485">
        <v>86.91</v>
      </c>
      <c r="E18" s="3487">
        <v>69.25</v>
      </c>
      <c r="F18" s="3488">
        <v>17.66</v>
      </c>
      <c r="G18" s="3486" t="s">
        <v>3623</v>
      </c>
      <c r="I18" s="3483">
        <f t="shared" ca="1" si="0"/>
        <v>241</v>
      </c>
      <c r="M18" s="3483" t="s">
        <v>4050</v>
      </c>
      <c r="N18" s="3483">
        <v>44357.279999999999</v>
      </c>
      <c r="X18" s="3483">
        <v>166</v>
      </c>
      <c r="Y18" s="3483">
        <v>26.62</v>
      </c>
    </row>
    <row r="19" spans="1:25">
      <c r="A19" s="3484">
        <v>18</v>
      </c>
      <c r="B19" s="3485" t="s">
        <v>3640</v>
      </c>
      <c r="C19" s="3486"/>
      <c r="D19" s="3485">
        <v>82.96</v>
      </c>
      <c r="E19" s="3487">
        <v>66.099999999999994</v>
      </c>
      <c r="F19" s="3488">
        <v>16.86</v>
      </c>
      <c r="G19" s="3486" t="s">
        <v>3623</v>
      </c>
      <c r="I19" s="3483">
        <f t="shared" ca="1" si="0"/>
        <v>230</v>
      </c>
      <c r="M19" s="3483" t="s">
        <v>4059</v>
      </c>
      <c r="N19" s="3483">
        <f>N34</f>
        <v>51043.539999999994</v>
      </c>
      <c r="X19" s="3483">
        <v>167</v>
      </c>
      <c r="Y19" s="3483">
        <v>26.62</v>
      </c>
    </row>
    <row r="20" spans="1:25">
      <c r="A20" s="3484">
        <v>19</v>
      </c>
      <c r="B20" s="3485" t="s">
        <v>3641</v>
      </c>
      <c r="C20" s="3486"/>
      <c r="D20" s="3485">
        <v>86.91</v>
      </c>
      <c r="E20" s="3487">
        <v>69.25</v>
      </c>
      <c r="F20" s="3488">
        <v>17.66</v>
      </c>
      <c r="G20" s="3486" t="s">
        <v>3623</v>
      </c>
      <c r="I20" s="3483">
        <f t="shared" ca="1" si="0"/>
        <v>241</v>
      </c>
      <c r="M20" s="3483" t="s">
        <v>4051</v>
      </c>
      <c r="N20" s="3483">
        <v>129917.92</v>
      </c>
      <c r="X20" s="3483">
        <v>168</v>
      </c>
      <c r="Y20" s="3483">
        <v>26.62</v>
      </c>
    </row>
    <row r="21" spans="1:25">
      <c r="A21" s="3484">
        <v>20</v>
      </c>
      <c r="B21" s="3485" t="s">
        <v>3642</v>
      </c>
      <c r="C21" s="3486"/>
      <c r="D21" s="3485">
        <v>82.96</v>
      </c>
      <c r="E21" s="3487">
        <v>66.099999999999994</v>
      </c>
      <c r="F21" s="3488">
        <v>16.86</v>
      </c>
      <c r="G21" s="3486" t="s">
        <v>3623</v>
      </c>
      <c r="I21" s="3483">
        <f t="shared" ca="1" si="0"/>
        <v>230</v>
      </c>
      <c r="M21" s="3483" t="s">
        <v>4052</v>
      </c>
      <c r="N21" s="3483">
        <f>ROUND((N19-O36)/N20*N18,2)</f>
        <v>17349.990000000002</v>
      </c>
      <c r="X21" s="3483">
        <v>169</v>
      </c>
      <c r="Y21" s="3483">
        <v>26.62</v>
      </c>
    </row>
    <row r="22" spans="1:25">
      <c r="A22" s="3484">
        <v>21</v>
      </c>
      <c r="B22" s="3485" t="s">
        <v>3643</v>
      </c>
      <c r="C22" s="3486"/>
      <c r="D22" s="3485">
        <v>89.64</v>
      </c>
      <c r="E22" s="3487">
        <v>71.42</v>
      </c>
      <c r="F22" s="3488">
        <v>18.22</v>
      </c>
      <c r="G22" s="3486" t="s">
        <v>3623</v>
      </c>
      <c r="I22" s="3483">
        <f t="shared" ca="1" si="0"/>
        <v>248</v>
      </c>
      <c r="X22" s="3483">
        <v>170</v>
      </c>
      <c r="Y22" s="3483">
        <v>26.62</v>
      </c>
    </row>
    <row r="23" spans="1:25">
      <c r="A23" s="3484">
        <v>22</v>
      </c>
      <c r="B23" s="3485" t="s">
        <v>3644</v>
      </c>
      <c r="C23" s="3486"/>
      <c r="D23" s="3485">
        <v>86.98</v>
      </c>
      <c r="E23" s="3487">
        <v>69.3</v>
      </c>
      <c r="F23" s="3488">
        <v>17.68</v>
      </c>
      <c r="G23" s="3486" t="s">
        <v>3623</v>
      </c>
      <c r="I23" s="3483">
        <f t="shared" ca="1" si="0"/>
        <v>241</v>
      </c>
      <c r="M23" s="3483" t="s">
        <v>4062</v>
      </c>
      <c r="X23" s="3483">
        <v>171</v>
      </c>
      <c r="Y23" s="3483">
        <v>26.62</v>
      </c>
    </row>
    <row r="24" spans="1:25">
      <c r="A24" s="3484">
        <v>23</v>
      </c>
      <c r="B24" s="3485" t="s">
        <v>3645</v>
      </c>
      <c r="C24" s="3486"/>
      <c r="D24" s="3485">
        <v>89.64</v>
      </c>
      <c r="E24" s="3485">
        <v>71.42</v>
      </c>
      <c r="F24" s="3488">
        <v>18.22</v>
      </c>
      <c r="G24" s="3486" t="s">
        <v>3623</v>
      </c>
      <c r="I24" s="3483">
        <f t="shared" ca="1" si="0"/>
        <v>248</v>
      </c>
      <c r="M24" s="3489" t="s">
        <v>4034</v>
      </c>
      <c r="N24" s="3489" t="s">
        <v>4049</v>
      </c>
      <c r="O24" s="3489" t="s">
        <v>4055</v>
      </c>
      <c r="P24" s="3489" t="s">
        <v>4058</v>
      </c>
      <c r="Q24" s="3489" t="s">
        <v>4056</v>
      </c>
      <c r="R24" s="3489" t="s">
        <v>4057</v>
      </c>
      <c r="S24" s="3493" t="s">
        <v>4053</v>
      </c>
      <c r="T24" s="3483" t="s">
        <v>4061</v>
      </c>
      <c r="X24" s="3483">
        <v>172</v>
      </c>
      <c r="Y24" s="3483">
        <v>26.62</v>
      </c>
    </row>
    <row r="25" spans="1:25">
      <c r="A25" s="3484">
        <v>24</v>
      </c>
      <c r="B25" s="3485" t="s">
        <v>3646</v>
      </c>
      <c r="C25" s="3486"/>
      <c r="D25" s="3485">
        <v>86.98</v>
      </c>
      <c r="E25" s="3487">
        <v>69.3</v>
      </c>
      <c r="F25" s="3488">
        <v>17.68</v>
      </c>
      <c r="G25" s="3486" t="s">
        <v>3623</v>
      </c>
      <c r="I25" s="3483">
        <f t="shared" ca="1" si="0"/>
        <v>241</v>
      </c>
      <c r="M25" s="3489" t="s">
        <v>4038</v>
      </c>
      <c r="N25" s="3489">
        <f>O25+P25+Q25+R25</f>
        <v>4151.8900000000003</v>
      </c>
      <c r="O25" s="3489">
        <v>3464.9</v>
      </c>
      <c r="P25" s="3489"/>
      <c r="Q25" s="3489">
        <v>686.99</v>
      </c>
      <c r="R25" s="3492"/>
      <c r="S25" s="3493">
        <v>10</v>
      </c>
      <c r="T25" s="3483">
        <f>9/10*0.5</f>
        <v>0.45</v>
      </c>
      <c r="X25" s="3483">
        <v>173</v>
      </c>
      <c r="Y25" s="3483">
        <v>26.62</v>
      </c>
    </row>
    <row r="26" spans="1:25">
      <c r="A26" s="3484">
        <v>25</v>
      </c>
      <c r="B26" s="3485" t="s">
        <v>3647</v>
      </c>
      <c r="C26" s="3486"/>
      <c r="D26" s="3485">
        <v>89.64</v>
      </c>
      <c r="E26" s="3487">
        <v>71.42</v>
      </c>
      <c r="F26" s="3488">
        <v>18.22</v>
      </c>
      <c r="G26" s="3486" t="s">
        <v>3623</v>
      </c>
      <c r="I26" s="3483">
        <f t="shared" ca="1" si="0"/>
        <v>248</v>
      </c>
      <c r="M26" s="3489" t="s">
        <v>4040</v>
      </c>
      <c r="N26" s="3489">
        <f t="shared" ref="N26:N33" si="3">O26+P26+Q26+R26</f>
        <v>4590.21</v>
      </c>
      <c r="O26" s="3489">
        <v>3887.62</v>
      </c>
      <c r="P26" s="3489"/>
      <c r="Q26" s="3489">
        <v>702.59</v>
      </c>
      <c r="R26" s="3492"/>
      <c r="S26" s="3493">
        <v>11</v>
      </c>
      <c r="T26" s="3483">
        <f>ROUND(10/11*0.5,2)</f>
        <v>0.45</v>
      </c>
      <c r="X26" s="3483">
        <v>174</v>
      </c>
      <c r="Y26" s="3483">
        <v>26.62</v>
      </c>
    </row>
    <row r="27" spans="1:25">
      <c r="A27" s="3484">
        <v>26</v>
      </c>
      <c r="B27" s="3485" t="s">
        <v>3648</v>
      </c>
      <c r="C27" s="3486"/>
      <c r="D27" s="3485">
        <v>86.98</v>
      </c>
      <c r="E27" s="3487">
        <v>69.3</v>
      </c>
      <c r="F27" s="3488">
        <v>17.68</v>
      </c>
      <c r="G27" s="3486" t="s">
        <v>3623</v>
      </c>
      <c r="I27" s="3483">
        <f t="shared" ca="1" si="0"/>
        <v>241</v>
      </c>
      <c r="M27" s="3489" t="s">
        <v>4041</v>
      </c>
      <c r="N27" s="3489">
        <f t="shared" si="3"/>
        <v>3975.9700000000003</v>
      </c>
      <c r="O27" s="3489">
        <v>3309.8</v>
      </c>
      <c r="P27" s="3489"/>
      <c r="Q27" s="3489">
        <v>666.17</v>
      </c>
      <c r="R27" s="3492"/>
      <c r="S27" s="3493">
        <v>10</v>
      </c>
      <c r="T27" s="3483">
        <v>0.5</v>
      </c>
      <c r="X27" s="3483">
        <v>175</v>
      </c>
      <c r="Y27" s="3483">
        <v>26.62</v>
      </c>
    </row>
    <row r="28" spans="1:25">
      <c r="A28" s="3484">
        <v>27</v>
      </c>
      <c r="B28" s="3485" t="s">
        <v>3649</v>
      </c>
      <c r="C28" s="3486"/>
      <c r="D28" s="3485">
        <v>89.64</v>
      </c>
      <c r="E28" s="3485">
        <v>71.42</v>
      </c>
      <c r="F28" s="3488">
        <v>18.22</v>
      </c>
      <c r="G28" s="3486" t="s">
        <v>3623</v>
      </c>
      <c r="I28" s="3483">
        <f t="shared" ca="1" si="0"/>
        <v>248</v>
      </c>
      <c r="M28" s="3489" t="s">
        <v>4042</v>
      </c>
      <c r="N28" s="3489">
        <f t="shared" si="3"/>
        <v>5074.95</v>
      </c>
      <c r="O28" s="3489">
        <v>4257.88</v>
      </c>
      <c r="P28" s="3489"/>
      <c r="Q28" s="3489">
        <v>817.07</v>
      </c>
      <c r="R28" s="3492"/>
      <c r="S28" s="3493">
        <v>11</v>
      </c>
      <c r="T28" s="3483">
        <v>0.5</v>
      </c>
      <c r="X28" s="3483">
        <v>176</v>
      </c>
      <c r="Y28" s="3483">
        <v>26.62</v>
      </c>
    </row>
    <row r="29" spans="1:25">
      <c r="A29" s="3484">
        <v>28</v>
      </c>
      <c r="B29" s="3485" t="s">
        <v>3650</v>
      </c>
      <c r="C29" s="3486"/>
      <c r="D29" s="3485">
        <v>86.98</v>
      </c>
      <c r="E29" s="3487">
        <v>69.3</v>
      </c>
      <c r="F29" s="3488">
        <v>17.68</v>
      </c>
      <c r="G29" s="3486" t="s">
        <v>3623</v>
      </c>
      <c r="I29" s="3483">
        <f t="shared" ca="1" si="0"/>
        <v>241</v>
      </c>
      <c r="M29" s="3489" t="s">
        <v>4043</v>
      </c>
      <c r="N29" s="3489">
        <f t="shared" si="3"/>
        <v>4027.59</v>
      </c>
      <c r="O29" s="3489">
        <v>3348.9</v>
      </c>
      <c r="P29" s="3489"/>
      <c r="Q29" s="3489">
        <v>678.69</v>
      </c>
      <c r="R29" s="3492"/>
      <c r="S29" s="3493">
        <v>10</v>
      </c>
      <c r="T29" s="3483">
        <v>0.5</v>
      </c>
      <c r="X29" s="3483">
        <v>177</v>
      </c>
      <c r="Y29" s="3483">
        <v>26.62</v>
      </c>
    </row>
    <row r="30" spans="1:25">
      <c r="A30" s="3484">
        <v>29</v>
      </c>
      <c r="B30" s="3485" t="s">
        <v>3651</v>
      </c>
      <c r="C30" s="3486"/>
      <c r="D30" s="3485">
        <v>89.64</v>
      </c>
      <c r="E30" s="3487">
        <v>71.42</v>
      </c>
      <c r="F30" s="3488">
        <v>18.22</v>
      </c>
      <c r="G30" s="3486" t="s">
        <v>3623</v>
      </c>
      <c r="I30" s="3483">
        <f t="shared" ca="1" si="0"/>
        <v>248</v>
      </c>
      <c r="M30" s="3489" t="s">
        <v>4044</v>
      </c>
      <c r="N30" s="3489">
        <f t="shared" si="3"/>
        <v>8672.1299999999992</v>
      </c>
      <c r="O30" s="3489">
        <v>7263.64</v>
      </c>
      <c r="P30" s="3489"/>
      <c r="Q30" s="3489">
        <f>8672.13-O30</f>
        <v>1408.4899999999989</v>
      </c>
      <c r="R30" s="3492"/>
      <c r="S30" s="3493">
        <v>11</v>
      </c>
      <c r="T30" s="3483">
        <v>0.5</v>
      </c>
      <c r="X30" s="3483">
        <v>178</v>
      </c>
      <c r="Y30" s="3483">
        <v>26.62</v>
      </c>
    </row>
    <row r="31" spans="1:25">
      <c r="A31" s="3484">
        <v>30</v>
      </c>
      <c r="B31" s="3485" t="s">
        <v>3652</v>
      </c>
      <c r="C31" s="3486"/>
      <c r="D31" s="3485">
        <v>86.98</v>
      </c>
      <c r="E31" s="3487">
        <v>69.3</v>
      </c>
      <c r="F31" s="3488">
        <v>17.68</v>
      </c>
      <c r="G31" s="3486" t="s">
        <v>3623</v>
      </c>
      <c r="I31" s="3483">
        <f t="shared" ca="1" si="0"/>
        <v>241</v>
      </c>
      <c r="M31" s="3489" t="s">
        <v>4045</v>
      </c>
      <c r="N31" s="3489">
        <f t="shared" si="3"/>
        <v>4687.3500000000004</v>
      </c>
      <c r="O31" s="3489">
        <v>3547.34</v>
      </c>
      <c r="P31" s="3489"/>
      <c r="Q31" s="3489">
        <v>1140.01</v>
      </c>
      <c r="R31" s="3492"/>
      <c r="S31" s="3493">
        <v>6</v>
      </c>
      <c r="T31" s="3483">
        <v>0.5</v>
      </c>
      <c r="X31" s="3483">
        <v>179</v>
      </c>
      <c r="Y31" s="3483">
        <v>26.62</v>
      </c>
    </row>
    <row r="32" spans="1:25">
      <c r="A32" s="3484">
        <v>31</v>
      </c>
      <c r="B32" s="3485" t="s">
        <v>3653</v>
      </c>
      <c r="C32" s="3486"/>
      <c r="D32" s="3485">
        <v>89.64</v>
      </c>
      <c r="E32" s="3485">
        <v>71.42</v>
      </c>
      <c r="F32" s="3488">
        <v>18.22</v>
      </c>
      <c r="G32" s="3486" t="s">
        <v>3623</v>
      </c>
      <c r="I32" s="3483">
        <f t="shared" ca="1" si="0"/>
        <v>248</v>
      </c>
      <c r="M32" s="3489" t="s">
        <v>4046</v>
      </c>
      <c r="N32" s="3489">
        <f t="shared" si="3"/>
        <v>7185.75</v>
      </c>
      <c r="O32" s="3489">
        <v>5530.56</v>
      </c>
      <c r="P32" s="3489"/>
      <c r="Q32" s="3489">
        <f>7185.75-O32</f>
        <v>1655.1899999999996</v>
      </c>
      <c r="R32" s="3492"/>
      <c r="S32" s="3493">
        <v>6</v>
      </c>
      <c r="T32" s="3483">
        <v>0.5</v>
      </c>
      <c r="X32" s="3483">
        <v>180</v>
      </c>
      <c r="Y32" s="3483">
        <v>26.62</v>
      </c>
    </row>
    <row r="33" spans="1:31">
      <c r="A33" s="3484">
        <v>32</v>
      </c>
      <c r="B33" s="3485" t="s">
        <v>3654</v>
      </c>
      <c r="C33" s="3486"/>
      <c r="D33" s="3485">
        <v>86.98</v>
      </c>
      <c r="E33" s="3487">
        <v>69.3</v>
      </c>
      <c r="F33" s="3488">
        <v>17.68</v>
      </c>
      <c r="G33" s="3486" t="s">
        <v>3623</v>
      </c>
      <c r="I33" s="3483">
        <f t="shared" ca="1" si="0"/>
        <v>241</v>
      </c>
      <c r="M33" s="3489" t="s">
        <v>4047</v>
      </c>
      <c r="N33" s="3489">
        <f t="shared" si="3"/>
        <v>8677.7000000000007</v>
      </c>
      <c r="O33" s="3489"/>
      <c r="P33" s="3489"/>
      <c r="Q33" s="3489"/>
      <c r="R33" s="3492">
        <v>8677.7000000000007</v>
      </c>
      <c r="S33" s="3492"/>
      <c r="T33" s="3483">
        <v>0.7</v>
      </c>
      <c r="X33" s="3483">
        <v>181</v>
      </c>
      <c r="Y33" s="3483">
        <v>26.62</v>
      </c>
    </row>
    <row r="34" spans="1:31">
      <c r="A34" s="3484">
        <v>33</v>
      </c>
      <c r="B34" s="3485" t="s">
        <v>3655</v>
      </c>
      <c r="C34" s="3486"/>
      <c r="D34" s="3485">
        <v>89.64</v>
      </c>
      <c r="E34" s="3487">
        <v>71.42</v>
      </c>
      <c r="F34" s="3488">
        <v>18.22</v>
      </c>
      <c r="G34" s="3486" t="s">
        <v>3623</v>
      </c>
      <c r="I34" s="3483">
        <f t="shared" ca="1" si="0"/>
        <v>248</v>
      </c>
      <c r="M34" s="3492" t="s">
        <v>2593</v>
      </c>
      <c r="N34" s="3492">
        <f>SUM(N25:N33)</f>
        <v>51043.539999999994</v>
      </c>
      <c r="O34" s="3492">
        <f t="shared" ref="O34:R34" si="4">SUM(O25:O33)</f>
        <v>34610.639999999999</v>
      </c>
      <c r="P34" s="3492">
        <f t="shared" si="4"/>
        <v>0</v>
      </c>
      <c r="Q34" s="3492">
        <f t="shared" si="4"/>
        <v>7755.1999999999989</v>
      </c>
      <c r="R34" s="3492">
        <f t="shared" si="4"/>
        <v>8677.7000000000007</v>
      </c>
      <c r="S34" s="3492"/>
      <c r="T34" s="3483">
        <f>ROUND((N25*T25+N26*T26+(N27+N28+N29+N30+N31+N32)*0.5+N33*T33)/N34,2)</f>
        <v>0.53</v>
      </c>
      <c r="X34" s="3483">
        <v>182</v>
      </c>
      <c r="Y34" s="3483">
        <v>26.62</v>
      </c>
    </row>
    <row r="35" spans="1:31">
      <c r="A35" s="3484">
        <v>34</v>
      </c>
      <c r="B35" s="3485" t="s">
        <v>3656</v>
      </c>
      <c r="C35" s="3486"/>
      <c r="D35" s="3485">
        <v>86.98</v>
      </c>
      <c r="E35" s="3487">
        <v>69.3</v>
      </c>
      <c r="F35" s="3488">
        <v>17.68</v>
      </c>
      <c r="G35" s="3486" t="s">
        <v>3623</v>
      </c>
      <c r="I35" s="3483">
        <f t="shared" ca="1" si="0"/>
        <v>241</v>
      </c>
      <c r="O35" s="3483">
        <f>D413</f>
        <v>34383.439999999995</v>
      </c>
      <c r="X35" s="3483">
        <v>183</v>
      </c>
      <c r="Y35" s="3483">
        <v>26.62</v>
      </c>
    </row>
    <row r="36" spans="1:31">
      <c r="A36" s="3484">
        <v>35</v>
      </c>
      <c r="B36" s="3485" t="s">
        <v>3657</v>
      </c>
      <c r="C36" s="3486"/>
      <c r="D36" s="3485">
        <v>89.64</v>
      </c>
      <c r="E36" s="3485">
        <v>71.42</v>
      </c>
      <c r="F36" s="3488">
        <v>18.22</v>
      </c>
      <c r="G36" s="3486" t="s">
        <v>3623</v>
      </c>
      <c r="I36" s="3483">
        <f t="shared" ca="1" si="0"/>
        <v>248</v>
      </c>
      <c r="O36" s="3483">
        <f>O34-O35</f>
        <v>227.20000000000437</v>
      </c>
      <c r="X36" s="3483">
        <v>184</v>
      </c>
      <c r="Y36" s="3483">
        <v>26.62</v>
      </c>
    </row>
    <row r="37" spans="1:31">
      <c r="A37" s="3484">
        <v>36</v>
      </c>
      <c r="B37" s="3485" t="s">
        <v>3658</v>
      </c>
      <c r="C37" s="3486"/>
      <c r="D37" s="3485">
        <v>86.98</v>
      </c>
      <c r="E37" s="3487">
        <v>69.3</v>
      </c>
      <c r="F37" s="3488">
        <v>17.68</v>
      </c>
      <c r="G37" s="3486" t="s">
        <v>3623</v>
      </c>
      <c r="I37" s="3483">
        <f t="shared" ca="1" si="0"/>
        <v>241</v>
      </c>
      <c r="X37" s="3483">
        <v>185</v>
      </c>
      <c r="Y37" s="3483">
        <v>26.62</v>
      </c>
    </row>
    <row r="38" spans="1:31">
      <c r="A38" s="3484">
        <v>37</v>
      </c>
      <c r="B38" s="3485" t="s">
        <v>3659</v>
      </c>
      <c r="C38" s="3486"/>
      <c r="D38" s="3485">
        <v>89.64</v>
      </c>
      <c r="E38" s="3487">
        <v>71.42</v>
      </c>
      <c r="F38" s="3488">
        <v>18.22</v>
      </c>
      <c r="G38" s="3486" t="s">
        <v>3623</v>
      </c>
      <c r="I38" s="3483">
        <f t="shared" ca="1" si="0"/>
        <v>248</v>
      </c>
      <c r="M38" s="3483" t="s">
        <v>4063</v>
      </c>
      <c r="X38" s="3483">
        <v>186</v>
      </c>
      <c r="Y38" s="3483">
        <v>26.62</v>
      </c>
    </row>
    <row r="39" spans="1:31">
      <c r="A39" s="3484">
        <v>38</v>
      </c>
      <c r="B39" s="3485" t="s">
        <v>3660</v>
      </c>
      <c r="C39" s="3486"/>
      <c r="D39" s="3485">
        <v>86.98</v>
      </c>
      <c r="E39" s="3487">
        <v>69.3</v>
      </c>
      <c r="F39" s="3488">
        <v>17.68</v>
      </c>
      <c r="G39" s="3486" t="s">
        <v>3623</v>
      </c>
      <c r="I39" s="3483">
        <f t="shared" ca="1" si="0"/>
        <v>241</v>
      </c>
      <c r="N39" s="3483" t="s">
        <v>4068</v>
      </c>
      <c r="O39" s="3483" t="s">
        <v>4069</v>
      </c>
      <c r="X39" s="3483">
        <v>187</v>
      </c>
      <c r="Y39" s="3483">
        <v>26.62</v>
      </c>
    </row>
    <row r="40" spans="1:31">
      <c r="A40" s="3484">
        <v>39</v>
      </c>
      <c r="B40" s="3490" t="s">
        <v>3661</v>
      </c>
      <c r="C40" s="3486"/>
      <c r="D40" s="3485">
        <v>89.64</v>
      </c>
      <c r="E40" s="3485">
        <v>71.42</v>
      </c>
      <c r="F40" s="3488">
        <v>18.22</v>
      </c>
      <c r="G40" s="3486" t="s">
        <v>3623</v>
      </c>
      <c r="I40" s="3483">
        <f t="shared" ca="1" si="0"/>
        <v>248</v>
      </c>
      <c r="M40" s="3483" t="s">
        <v>4065</v>
      </c>
      <c r="N40" s="3483">
        <v>52</v>
      </c>
      <c r="O40" s="3483">
        <v>1415.43</v>
      </c>
      <c r="X40" s="3483">
        <v>188</v>
      </c>
      <c r="Y40" s="3483">
        <v>26.62</v>
      </c>
    </row>
    <row r="41" spans="1:31">
      <c r="A41" s="3484">
        <v>40</v>
      </c>
      <c r="B41" s="3485" t="s">
        <v>3662</v>
      </c>
      <c r="C41" s="3486"/>
      <c r="D41" s="3485">
        <v>86.98</v>
      </c>
      <c r="E41" s="3487">
        <v>69.3</v>
      </c>
      <c r="F41" s="3488">
        <v>17.68</v>
      </c>
      <c r="G41" s="3486" t="s">
        <v>3623</v>
      </c>
      <c r="I41" s="3483">
        <f t="shared" ca="1" si="0"/>
        <v>241</v>
      </c>
      <c r="M41" s="3483" t="s">
        <v>4067</v>
      </c>
      <c r="N41" s="3483">
        <v>38</v>
      </c>
      <c r="O41" s="3483">
        <v>7262.27</v>
      </c>
      <c r="X41" s="3483">
        <v>189</v>
      </c>
      <c r="Y41" s="3483">
        <v>26.62</v>
      </c>
    </row>
    <row r="42" spans="1:31">
      <c r="A42" s="3484">
        <v>41</v>
      </c>
      <c r="B42" s="3485" t="s">
        <v>3663</v>
      </c>
      <c r="C42" s="3486"/>
      <c r="D42" s="3485">
        <v>87.02</v>
      </c>
      <c r="E42" s="3487">
        <v>69.3</v>
      </c>
      <c r="F42" s="3488">
        <v>17.72</v>
      </c>
      <c r="G42" s="3486" t="s">
        <v>3623</v>
      </c>
      <c r="I42" s="3483">
        <f t="shared" ca="1" si="0"/>
        <v>241</v>
      </c>
      <c r="O42" s="3483">
        <f>O40+O41</f>
        <v>8677.7000000000007</v>
      </c>
      <c r="X42" s="3483">
        <v>190</v>
      </c>
      <c r="Y42" s="3483">
        <v>26.62</v>
      </c>
    </row>
    <row r="43" spans="1:31">
      <c r="A43" s="3484">
        <v>42</v>
      </c>
      <c r="B43" s="3485" t="s">
        <v>3664</v>
      </c>
      <c r="C43" s="3486"/>
      <c r="D43" s="3485">
        <v>89.69</v>
      </c>
      <c r="E43" s="3485">
        <v>71.42</v>
      </c>
      <c r="F43" s="3488">
        <v>18.27</v>
      </c>
      <c r="G43" s="3486" t="s">
        <v>3623</v>
      </c>
      <c r="I43" s="3483">
        <f t="shared" ca="1" si="0"/>
        <v>248</v>
      </c>
      <c r="X43" s="3483">
        <v>191</v>
      </c>
      <c r="Y43" s="3483">
        <v>26.62</v>
      </c>
    </row>
    <row r="44" spans="1:31">
      <c r="A44" s="3484">
        <v>43</v>
      </c>
      <c r="B44" s="3485" t="s">
        <v>3665</v>
      </c>
      <c r="C44" s="3486"/>
      <c r="D44" s="3485">
        <v>87.02</v>
      </c>
      <c r="E44" s="3487">
        <v>69.3</v>
      </c>
      <c r="F44" s="3488">
        <v>17.72</v>
      </c>
      <c r="G44" s="3486" t="s">
        <v>3623</v>
      </c>
      <c r="I44" s="3483">
        <f t="shared" ca="1" si="0"/>
        <v>241</v>
      </c>
      <c r="X44" s="3483">
        <v>192</v>
      </c>
      <c r="Y44" s="3483">
        <v>26.62</v>
      </c>
    </row>
    <row r="45" spans="1:31">
      <c r="A45" s="3484">
        <v>44</v>
      </c>
      <c r="B45" s="3485" t="s">
        <v>3666</v>
      </c>
      <c r="C45" s="3486"/>
      <c r="D45" s="3485">
        <v>89.69</v>
      </c>
      <c r="E45" s="3487">
        <v>71.42</v>
      </c>
      <c r="F45" s="3488">
        <v>18.27</v>
      </c>
      <c r="G45" s="3486" t="s">
        <v>3623</v>
      </c>
      <c r="I45" s="3483">
        <f t="shared" ca="1" si="0"/>
        <v>248</v>
      </c>
      <c r="X45" s="3483">
        <v>193</v>
      </c>
      <c r="Y45" s="3483">
        <v>26.62</v>
      </c>
    </row>
    <row r="46" spans="1:31">
      <c r="A46" s="3484">
        <v>45</v>
      </c>
      <c r="B46" s="3485" t="s">
        <v>3667</v>
      </c>
      <c r="C46" s="3486"/>
      <c r="D46" s="3485">
        <v>87.02</v>
      </c>
      <c r="E46" s="3487">
        <v>69.3</v>
      </c>
      <c r="F46" s="3488">
        <v>17.72</v>
      </c>
      <c r="G46" s="3486" t="s">
        <v>3623</v>
      </c>
      <c r="I46" s="3483">
        <f t="shared" ca="1" si="0"/>
        <v>241</v>
      </c>
      <c r="X46" s="3483">
        <v>194</v>
      </c>
      <c r="Y46" s="3483">
        <v>26.62</v>
      </c>
      <c r="AD46" s="3483" t="s">
        <v>4082</v>
      </c>
    </row>
    <row r="47" spans="1:31">
      <c r="A47" s="3484">
        <v>46</v>
      </c>
      <c r="B47" s="3485" t="s">
        <v>3668</v>
      </c>
      <c r="C47" s="3486"/>
      <c r="D47" s="3485">
        <v>89.69</v>
      </c>
      <c r="E47" s="3485">
        <v>71.42</v>
      </c>
      <c r="F47" s="3488">
        <v>18.27</v>
      </c>
      <c r="G47" s="3486" t="s">
        <v>3623</v>
      </c>
      <c r="I47" s="3483">
        <f t="shared" ca="1" si="0"/>
        <v>248</v>
      </c>
      <c r="X47" s="3483">
        <v>195</v>
      </c>
      <c r="Y47" s="3483">
        <v>26.62</v>
      </c>
      <c r="AC47" s="3483" t="s">
        <v>4064</v>
      </c>
      <c r="AD47" s="3483">
        <v>1415.4299999999994</v>
      </c>
      <c r="AE47" s="3483">
        <f>ROUND(AD47/N40,2)</f>
        <v>27.22</v>
      </c>
    </row>
    <row r="48" spans="1:31">
      <c r="A48" s="3484">
        <v>47</v>
      </c>
      <c r="B48" s="3485" t="s">
        <v>3669</v>
      </c>
      <c r="C48" s="3486"/>
      <c r="D48" s="3485">
        <v>87.02</v>
      </c>
      <c r="E48" s="3487">
        <v>69.3</v>
      </c>
      <c r="F48" s="3488">
        <v>17.72</v>
      </c>
      <c r="G48" s="3486" t="s">
        <v>3623</v>
      </c>
      <c r="I48" s="3483">
        <f t="shared" ca="1" si="0"/>
        <v>241</v>
      </c>
      <c r="X48" s="3483">
        <v>196</v>
      </c>
      <c r="Y48" s="3483">
        <v>26.62</v>
      </c>
      <c r="AC48" s="3483" t="s">
        <v>4066</v>
      </c>
      <c r="AD48" s="3483">
        <v>7262.27</v>
      </c>
    </row>
    <row r="49" spans="1:29">
      <c r="A49" s="3484">
        <v>48</v>
      </c>
      <c r="B49" s="3485" t="s">
        <v>3670</v>
      </c>
      <c r="C49" s="3486"/>
      <c r="D49" s="3485">
        <v>89.69</v>
      </c>
      <c r="E49" s="3487">
        <v>71.42</v>
      </c>
      <c r="F49" s="3488">
        <v>18.27</v>
      </c>
      <c r="G49" s="3486" t="s">
        <v>3623</v>
      </c>
      <c r="I49" s="3483">
        <f t="shared" ca="1" si="0"/>
        <v>248</v>
      </c>
      <c r="X49" s="3483">
        <v>197</v>
      </c>
      <c r="Y49" s="3483">
        <v>26.62</v>
      </c>
    </row>
    <row r="50" spans="1:29">
      <c r="A50" s="3484">
        <v>49</v>
      </c>
      <c r="B50" s="3485" t="s">
        <v>3671</v>
      </c>
      <c r="C50" s="3486"/>
      <c r="D50" s="3485">
        <v>87.02</v>
      </c>
      <c r="E50" s="3487">
        <v>69.3</v>
      </c>
      <c r="F50" s="3488">
        <v>17.72</v>
      </c>
      <c r="G50" s="3486" t="s">
        <v>3623</v>
      </c>
      <c r="I50" s="3483">
        <f t="shared" ca="1" si="0"/>
        <v>241</v>
      </c>
      <c r="X50" s="3483">
        <v>198</v>
      </c>
      <c r="Y50" s="3483">
        <v>27.66</v>
      </c>
    </row>
    <row r="51" spans="1:29">
      <c r="A51" s="3484">
        <v>50</v>
      </c>
      <c r="B51" s="3485" t="s">
        <v>3672</v>
      </c>
      <c r="C51" s="3486"/>
      <c r="D51" s="3485">
        <v>89.69</v>
      </c>
      <c r="E51" s="3485">
        <v>71.42</v>
      </c>
      <c r="F51" s="3488">
        <v>18.27</v>
      </c>
      <c r="G51" s="3486" t="s">
        <v>3623</v>
      </c>
      <c r="I51" s="3483">
        <f t="shared" ca="1" si="0"/>
        <v>248</v>
      </c>
      <c r="X51" s="3483">
        <v>199</v>
      </c>
      <c r="Y51" s="3483">
        <v>27.66</v>
      </c>
    </row>
    <row r="52" spans="1:29">
      <c r="A52" s="3484">
        <v>51</v>
      </c>
      <c r="B52" s="3485" t="s">
        <v>3673</v>
      </c>
      <c r="C52" s="3486"/>
      <c r="D52" s="3485">
        <v>87.02</v>
      </c>
      <c r="E52" s="3487">
        <v>69.3</v>
      </c>
      <c r="F52" s="3488">
        <v>17.72</v>
      </c>
      <c r="G52" s="3486" t="s">
        <v>3623</v>
      </c>
      <c r="I52" s="3483">
        <f t="shared" ca="1" si="0"/>
        <v>241</v>
      </c>
      <c r="X52" s="3483">
        <v>200</v>
      </c>
      <c r="Y52" s="3483">
        <v>42.64</v>
      </c>
    </row>
    <row r="53" spans="1:29">
      <c r="A53" s="3484">
        <v>52</v>
      </c>
      <c r="B53" s="3485" t="s">
        <v>3674</v>
      </c>
      <c r="C53" s="3486"/>
      <c r="D53" s="3485">
        <v>89.69</v>
      </c>
      <c r="E53" s="3487">
        <v>71.42</v>
      </c>
      <c r="F53" s="3488">
        <v>18.27</v>
      </c>
      <c r="G53" s="3486" t="s">
        <v>3623</v>
      </c>
      <c r="I53" s="3483">
        <f t="shared" ca="1" si="0"/>
        <v>248</v>
      </c>
      <c r="X53" s="3483">
        <v>201</v>
      </c>
      <c r="Y53" s="3483">
        <v>42.64</v>
      </c>
    </row>
    <row r="54" spans="1:29">
      <c r="A54" s="3484">
        <v>53</v>
      </c>
      <c r="B54" s="3485" t="s">
        <v>3675</v>
      </c>
      <c r="C54" s="3486"/>
      <c r="D54" s="3485">
        <v>87.02</v>
      </c>
      <c r="E54" s="3487">
        <v>69.3</v>
      </c>
      <c r="F54" s="3488">
        <v>17.72</v>
      </c>
      <c r="G54" s="3486" t="s">
        <v>3623</v>
      </c>
      <c r="I54" s="3483">
        <f t="shared" ca="1" si="0"/>
        <v>241</v>
      </c>
      <c r="X54" s="3483">
        <v>219</v>
      </c>
      <c r="Y54" s="3483">
        <v>258.33999999999997</v>
      </c>
      <c r="Z54" s="3483" t="s">
        <v>4070</v>
      </c>
      <c r="AA54" s="3483">
        <f>Y54/$AE$47</f>
        <v>9.4908155767817775</v>
      </c>
      <c r="AB54" s="3483">
        <v>9</v>
      </c>
      <c r="AC54" s="3483">
        <f>AB54*2-1</f>
        <v>17</v>
      </c>
    </row>
    <row r="55" spans="1:29">
      <c r="A55" s="3484">
        <v>54</v>
      </c>
      <c r="B55" s="3485" t="s">
        <v>3676</v>
      </c>
      <c r="C55" s="3486"/>
      <c r="D55" s="3485">
        <v>89.69</v>
      </c>
      <c r="E55" s="3485">
        <v>71.42</v>
      </c>
      <c r="F55" s="3488">
        <v>18.27</v>
      </c>
      <c r="G55" s="3486" t="s">
        <v>3623</v>
      </c>
      <c r="I55" s="3483">
        <f t="shared" ca="1" si="0"/>
        <v>248</v>
      </c>
      <c r="X55" s="3483">
        <v>220</v>
      </c>
      <c r="Y55" s="3483">
        <v>258.33999999999997</v>
      </c>
      <c r="Z55" s="3483" t="s">
        <v>4070</v>
      </c>
      <c r="AA55" s="3483">
        <f t="shared" ref="AA55:AA91" si="5">Y55/$AE$47</f>
        <v>9.4908155767817775</v>
      </c>
      <c r="AB55" s="3483">
        <v>9</v>
      </c>
      <c r="AC55" s="3483">
        <f t="shared" ref="AC55:AC91" si="6">AB55*2-1</f>
        <v>17</v>
      </c>
    </row>
    <row r="56" spans="1:29">
      <c r="A56" s="3484">
        <v>55</v>
      </c>
      <c r="B56" s="3485" t="s">
        <v>3677</v>
      </c>
      <c r="C56" s="3486"/>
      <c r="D56" s="3485">
        <v>87.02</v>
      </c>
      <c r="E56" s="3487">
        <v>69.3</v>
      </c>
      <c r="F56" s="3488">
        <v>17.72</v>
      </c>
      <c r="G56" s="3486" t="s">
        <v>3623</v>
      </c>
      <c r="I56" s="3483">
        <f t="shared" ca="1" si="0"/>
        <v>241</v>
      </c>
      <c r="X56" s="3483">
        <v>221</v>
      </c>
      <c r="Y56" s="3483">
        <v>258.33999999999997</v>
      </c>
      <c r="Z56" s="3483" t="s">
        <v>4070</v>
      </c>
      <c r="AA56" s="3483">
        <f t="shared" si="5"/>
        <v>9.4908155767817775</v>
      </c>
      <c r="AB56" s="3483">
        <v>9</v>
      </c>
      <c r="AC56" s="3483">
        <f t="shared" si="6"/>
        <v>17</v>
      </c>
    </row>
    <row r="57" spans="1:29">
      <c r="A57" s="3484">
        <v>56</v>
      </c>
      <c r="B57" s="3485" t="s">
        <v>3678</v>
      </c>
      <c r="C57" s="3486"/>
      <c r="D57" s="3485">
        <v>89.69</v>
      </c>
      <c r="E57" s="3487">
        <v>71.42</v>
      </c>
      <c r="F57" s="3488">
        <v>18.27</v>
      </c>
      <c r="G57" s="3486" t="s">
        <v>3623</v>
      </c>
      <c r="I57" s="3483">
        <f t="shared" ca="1" si="0"/>
        <v>248</v>
      </c>
      <c r="X57" s="3483">
        <v>222</v>
      </c>
      <c r="Y57" s="3483">
        <v>258.33999999999997</v>
      </c>
      <c r="Z57" s="3483" t="s">
        <v>4070</v>
      </c>
      <c r="AA57" s="3483">
        <f t="shared" si="5"/>
        <v>9.4908155767817775</v>
      </c>
      <c r="AB57" s="3483">
        <v>9</v>
      </c>
      <c r="AC57" s="3483">
        <f t="shared" si="6"/>
        <v>17</v>
      </c>
    </row>
    <row r="58" spans="1:29">
      <c r="A58" s="3484">
        <v>57</v>
      </c>
      <c r="B58" s="3485" t="s">
        <v>3679</v>
      </c>
      <c r="C58" s="3486"/>
      <c r="D58" s="3485">
        <v>87.02</v>
      </c>
      <c r="E58" s="3487">
        <v>69.3</v>
      </c>
      <c r="F58" s="3488">
        <v>17.72</v>
      </c>
      <c r="G58" s="3486" t="s">
        <v>3623</v>
      </c>
      <c r="I58" s="3483">
        <f t="shared" ca="1" si="0"/>
        <v>241</v>
      </c>
      <c r="X58" s="3483">
        <v>223</v>
      </c>
      <c r="Y58" s="3483">
        <v>258.33999999999997</v>
      </c>
      <c r="Z58" s="3483" t="s">
        <v>4070</v>
      </c>
      <c r="AA58" s="3483">
        <f t="shared" si="5"/>
        <v>9.4908155767817775</v>
      </c>
      <c r="AB58" s="3483">
        <v>9</v>
      </c>
      <c r="AC58" s="3483">
        <f t="shared" si="6"/>
        <v>17</v>
      </c>
    </row>
    <row r="59" spans="1:29">
      <c r="A59" s="3484">
        <v>58</v>
      </c>
      <c r="B59" s="3485" t="s">
        <v>3680</v>
      </c>
      <c r="C59" s="3486"/>
      <c r="D59" s="3485">
        <v>89.69</v>
      </c>
      <c r="E59" s="3485">
        <v>71.42</v>
      </c>
      <c r="F59" s="3488">
        <v>18.27</v>
      </c>
      <c r="G59" s="3486" t="s">
        <v>3623</v>
      </c>
      <c r="I59" s="3483">
        <f t="shared" ca="1" si="0"/>
        <v>248</v>
      </c>
      <c r="X59" s="3483">
        <v>224</v>
      </c>
      <c r="Y59" s="3483">
        <v>114.82</v>
      </c>
      <c r="Z59" s="3483" t="s">
        <v>4070</v>
      </c>
      <c r="AA59" s="3483">
        <f t="shared" si="5"/>
        <v>4.2182218956649518</v>
      </c>
      <c r="AB59" s="3483">
        <v>4</v>
      </c>
      <c r="AC59" s="3483">
        <f t="shared" si="6"/>
        <v>7</v>
      </c>
    </row>
    <row r="60" spans="1:29">
      <c r="A60" s="3484">
        <v>59</v>
      </c>
      <c r="B60" s="3485" t="s">
        <v>3681</v>
      </c>
      <c r="C60" s="3486"/>
      <c r="D60" s="3485">
        <v>87.02</v>
      </c>
      <c r="E60" s="3487">
        <v>69.3</v>
      </c>
      <c r="F60" s="3488">
        <v>17.72</v>
      </c>
      <c r="G60" s="3486" t="s">
        <v>3623</v>
      </c>
      <c r="I60" s="3483">
        <f t="shared" ca="1" si="0"/>
        <v>241</v>
      </c>
      <c r="X60" s="3483">
        <v>225</v>
      </c>
      <c r="Y60" s="3483">
        <v>114.82</v>
      </c>
      <c r="Z60" s="3483" t="s">
        <v>4070</v>
      </c>
      <c r="AA60" s="3483">
        <f t="shared" si="5"/>
        <v>4.2182218956649518</v>
      </c>
      <c r="AB60" s="3483">
        <v>4</v>
      </c>
      <c r="AC60" s="3483">
        <f t="shared" si="6"/>
        <v>7</v>
      </c>
    </row>
    <row r="61" spans="1:29">
      <c r="A61" s="3484">
        <v>60</v>
      </c>
      <c r="B61" s="3485" t="s">
        <v>3682</v>
      </c>
      <c r="C61" s="3486"/>
      <c r="D61" s="3485">
        <v>89.69</v>
      </c>
      <c r="E61" s="3487">
        <v>71.42</v>
      </c>
      <c r="F61" s="3488">
        <v>18.27</v>
      </c>
      <c r="G61" s="3486" t="s">
        <v>3623</v>
      </c>
      <c r="I61" s="3483">
        <f t="shared" ca="1" si="0"/>
        <v>248</v>
      </c>
      <c r="X61" s="3483">
        <v>226</v>
      </c>
      <c r="Y61" s="3483">
        <v>172.23</v>
      </c>
      <c r="Z61" s="3483" t="s">
        <v>4070</v>
      </c>
      <c r="AA61" s="3483">
        <f t="shared" si="5"/>
        <v>6.3273328434974285</v>
      </c>
      <c r="AB61" s="3483">
        <v>6</v>
      </c>
      <c r="AC61" s="3483">
        <f t="shared" si="6"/>
        <v>11</v>
      </c>
    </row>
    <row r="62" spans="1:29">
      <c r="A62" s="3484">
        <v>61</v>
      </c>
      <c r="B62" s="3485" t="s">
        <v>3683</v>
      </c>
      <c r="C62" s="3486"/>
      <c r="D62" s="3485">
        <v>87.02</v>
      </c>
      <c r="E62" s="3487">
        <v>69.3</v>
      </c>
      <c r="F62" s="3488">
        <v>17.72</v>
      </c>
      <c r="G62" s="3486" t="s">
        <v>3623</v>
      </c>
      <c r="I62" s="3483">
        <f t="shared" ca="1" si="0"/>
        <v>241</v>
      </c>
      <c r="X62" s="3483">
        <v>227</v>
      </c>
      <c r="Y62" s="3483">
        <v>172.23</v>
      </c>
      <c r="Z62" s="3483" t="s">
        <v>4070</v>
      </c>
      <c r="AA62" s="3483">
        <f t="shared" si="5"/>
        <v>6.3273328434974285</v>
      </c>
      <c r="AB62" s="3483">
        <v>6</v>
      </c>
      <c r="AC62" s="3483">
        <f t="shared" si="6"/>
        <v>11</v>
      </c>
    </row>
    <row r="63" spans="1:29">
      <c r="A63" s="3484">
        <v>62</v>
      </c>
      <c r="B63" s="3485" t="s">
        <v>3684</v>
      </c>
      <c r="C63" s="3486"/>
      <c r="D63" s="3485">
        <v>89.69</v>
      </c>
      <c r="E63" s="3485">
        <v>71.42</v>
      </c>
      <c r="F63" s="3488">
        <v>18.27</v>
      </c>
      <c r="G63" s="3486" t="s">
        <v>3623</v>
      </c>
      <c r="I63" s="3483">
        <f t="shared" ca="1" si="0"/>
        <v>248</v>
      </c>
      <c r="X63" s="3483">
        <v>228</v>
      </c>
      <c r="Y63" s="3483">
        <v>172.23</v>
      </c>
      <c r="Z63" s="3483" t="s">
        <v>4070</v>
      </c>
      <c r="AA63" s="3483">
        <f t="shared" si="5"/>
        <v>6.3273328434974285</v>
      </c>
      <c r="AB63" s="3483">
        <v>6</v>
      </c>
      <c r="AC63" s="3483">
        <f t="shared" si="6"/>
        <v>11</v>
      </c>
    </row>
    <row r="64" spans="1:29">
      <c r="A64" s="3484">
        <v>63</v>
      </c>
      <c r="B64" s="3485" t="s">
        <v>3685</v>
      </c>
      <c r="C64" s="3486"/>
      <c r="D64" s="3485">
        <v>89.69</v>
      </c>
      <c r="E64" s="3485">
        <v>71.42</v>
      </c>
      <c r="F64" s="3488">
        <v>18.27</v>
      </c>
      <c r="G64" s="3486" t="s">
        <v>3623</v>
      </c>
      <c r="I64" s="3483">
        <f t="shared" ca="1" si="0"/>
        <v>248</v>
      </c>
      <c r="X64" s="3483">
        <v>229</v>
      </c>
      <c r="Y64" s="3483">
        <v>86.11</v>
      </c>
      <c r="Z64" s="3483" t="s">
        <v>4070</v>
      </c>
      <c r="AA64" s="3483">
        <f t="shared" si="5"/>
        <v>3.1634827332843498</v>
      </c>
      <c r="AB64" s="3483">
        <v>3</v>
      </c>
      <c r="AC64" s="3483">
        <f t="shared" si="6"/>
        <v>5</v>
      </c>
    </row>
    <row r="65" spans="1:29">
      <c r="A65" s="3484">
        <v>64</v>
      </c>
      <c r="B65" s="3485" t="s">
        <v>3686</v>
      </c>
      <c r="C65" s="3486"/>
      <c r="D65" s="3485">
        <v>87.02</v>
      </c>
      <c r="E65" s="3487">
        <v>69.3</v>
      </c>
      <c r="F65" s="3488">
        <v>17.72</v>
      </c>
      <c r="G65" s="3486" t="s">
        <v>3623</v>
      </c>
      <c r="I65" s="3483">
        <f t="shared" ca="1" si="0"/>
        <v>241</v>
      </c>
      <c r="X65" s="3483">
        <v>230</v>
      </c>
      <c r="Y65" s="3483">
        <v>57.41</v>
      </c>
      <c r="Z65" s="3483" t="s">
        <v>4070</v>
      </c>
      <c r="AA65" s="3483">
        <f t="shared" si="5"/>
        <v>2.1091109478324759</v>
      </c>
      <c r="AB65" s="3483">
        <v>2</v>
      </c>
      <c r="AC65" s="3483">
        <f t="shared" si="6"/>
        <v>3</v>
      </c>
    </row>
    <row r="66" spans="1:29">
      <c r="A66" s="3484">
        <v>65</v>
      </c>
      <c r="B66" s="3485" t="s">
        <v>3687</v>
      </c>
      <c r="C66" s="3486"/>
      <c r="D66" s="3485">
        <v>89.69</v>
      </c>
      <c r="E66" s="3487">
        <v>71.42</v>
      </c>
      <c r="F66" s="3488">
        <v>18.27</v>
      </c>
      <c r="G66" s="3486" t="s">
        <v>3623</v>
      </c>
      <c r="I66" s="3483">
        <f t="shared" ca="1" si="0"/>
        <v>248</v>
      </c>
      <c r="X66" s="3483">
        <v>231</v>
      </c>
      <c r="Y66" s="3483">
        <v>258.33999999999997</v>
      </c>
      <c r="Z66" s="3483" t="s">
        <v>4070</v>
      </c>
      <c r="AA66" s="3483">
        <f t="shared" si="5"/>
        <v>9.4908155767817775</v>
      </c>
      <c r="AB66" s="3483">
        <v>9</v>
      </c>
      <c r="AC66" s="3483">
        <f t="shared" si="6"/>
        <v>17</v>
      </c>
    </row>
    <row r="67" spans="1:29">
      <c r="A67" s="3484">
        <v>66</v>
      </c>
      <c r="B67" s="3485" t="s">
        <v>3688</v>
      </c>
      <c r="C67" s="3486"/>
      <c r="D67" s="3485">
        <v>87.02</v>
      </c>
      <c r="E67" s="3487">
        <v>69.3</v>
      </c>
      <c r="F67" s="3488">
        <v>17.72</v>
      </c>
      <c r="G67" s="3486" t="s">
        <v>3623</v>
      </c>
      <c r="I67" s="3483">
        <f t="shared" ref="I67:I130" ca="1" si="7">ROUND(D67*$H$2/10000,0)</f>
        <v>241</v>
      </c>
      <c r="X67" s="3483">
        <v>232</v>
      </c>
      <c r="Y67" s="3483">
        <v>344.45</v>
      </c>
      <c r="Z67" s="3483" t="s">
        <v>4070</v>
      </c>
      <c r="AA67" s="3483">
        <f t="shared" si="5"/>
        <v>12.654298310066128</v>
      </c>
      <c r="AB67" s="3483">
        <v>12</v>
      </c>
      <c r="AC67" s="3483">
        <f t="shared" si="6"/>
        <v>23</v>
      </c>
    </row>
    <row r="68" spans="1:29">
      <c r="A68" s="3484">
        <v>67</v>
      </c>
      <c r="B68" s="3485" t="s">
        <v>3689</v>
      </c>
      <c r="C68" s="3486"/>
      <c r="D68" s="3485">
        <v>89.69</v>
      </c>
      <c r="E68" s="3485">
        <v>71.42</v>
      </c>
      <c r="F68" s="3488">
        <v>18.27</v>
      </c>
      <c r="G68" s="3486" t="s">
        <v>3623</v>
      </c>
      <c r="I68" s="3483">
        <f t="shared" ca="1" si="7"/>
        <v>248</v>
      </c>
      <c r="X68" s="3483">
        <v>233</v>
      </c>
      <c r="Y68" s="3483">
        <v>114.82</v>
      </c>
      <c r="Z68" s="3483" t="s">
        <v>4070</v>
      </c>
      <c r="AA68" s="3483">
        <f t="shared" si="5"/>
        <v>4.2182218956649518</v>
      </c>
      <c r="AB68" s="3483">
        <v>4</v>
      </c>
      <c r="AC68" s="3483">
        <f t="shared" si="6"/>
        <v>7</v>
      </c>
    </row>
    <row r="69" spans="1:29">
      <c r="A69" s="3484">
        <v>68</v>
      </c>
      <c r="B69" s="3485" t="s">
        <v>3690</v>
      </c>
      <c r="C69" s="3486"/>
      <c r="D69" s="3485">
        <v>87.02</v>
      </c>
      <c r="E69" s="3487">
        <v>69.3</v>
      </c>
      <c r="F69" s="3488">
        <v>17.72</v>
      </c>
      <c r="G69" s="3486" t="s">
        <v>3623</v>
      </c>
      <c r="I69" s="3483">
        <f t="shared" ca="1" si="7"/>
        <v>241</v>
      </c>
      <c r="X69" s="3483">
        <v>234</v>
      </c>
      <c r="Y69" s="3483">
        <v>172.23</v>
      </c>
      <c r="Z69" s="3483" t="s">
        <v>4070</v>
      </c>
      <c r="AA69" s="3483">
        <f t="shared" si="5"/>
        <v>6.3273328434974285</v>
      </c>
      <c r="AB69" s="3483">
        <v>6</v>
      </c>
      <c r="AC69" s="3483">
        <f t="shared" si="6"/>
        <v>11</v>
      </c>
    </row>
    <row r="70" spans="1:29">
      <c r="A70" s="3484">
        <v>69</v>
      </c>
      <c r="B70" s="3485" t="s">
        <v>3691</v>
      </c>
      <c r="C70" s="3486"/>
      <c r="D70" s="3485">
        <v>89.69</v>
      </c>
      <c r="E70" s="3487">
        <v>71.42</v>
      </c>
      <c r="F70" s="3488">
        <v>18.27</v>
      </c>
      <c r="G70" s="3486" t="s">
        <v>3623</v>
      </c>
      <c r="I70" s="3483">
        <f t="shared" ca="1" si="7"/>
        <v>248</v>
      </c>
      <c r="X70" s="3483">
        <v>235</v>
      </c>
      <c r="Y70" s="3483">
        <v>172.23</v>
      </c>
      <c r="Z70" s="3483" t="s">
        <v>4070</v>
      </c>
      <c r="AA70" s="3483">
        <f t="shared" si="5"/>
        <v>6.3273328434974285</v>
      </c>
      <c r="AB70" s="3483">
        <v>6</v>
      </c>
      <c r="AC70" s="3483">
        <f t="shared" si="6"/>
        <v>11</v>
      </c>
    </row>
    <row r="71" spans="1:29">
      <c r="A71" s="3484">
        <v>70</v>
      </c>
      <c r="B71" s="3485" t="s">
        <v>3692</v>
      </c>
      <c r="C71" s="3486"/>
      <c r="D71" s="3485">
        <v>87.02</v>
      </c>
      <c r="E71" s="3487">
        <v>69.3</v>
      </c>
      <c r="F71" s="3488">
        <v>17.72</v>
      </c>
      <c r="G71" s="3486" t="s">
        <v>3623</v>
      </c>
      <c r="I71" s="3483">
        <f t="shared" ca="1" si="7"/>
        <v>241</v>
      </c>
      <c r="X71" s="3483">
        <v>236</v>
      </c>
      <c r="Y71" s="3483">
        <v>172.23</v>
      </c>
      <c r="Z71" s="3483" t="s">
        <v>4070</v>
      </c>
      <c r="AA71" s="3483">
        <f t="shared" si="5"/>
        <v>6.3273328434974285</v>
      </c>
      <c r="AB71" s="3483">
        <v>6</v>
      </c>
      <c r="AC71" s="3483">
        <f t="shared" si="6"/>
        <v>11</v>
      </c>
    </row>
    <row r="72" spans="1:29">
      <c r="A72" s="3484">
        <v>71</v>
      </c>
      <c r="B72" s="3485" t="s">
        <v>3693</v>
      </c>
      <c r="C72" s="3486"/>
      <c r="D72" s="3485">
        <v>89.69</v>
      </c>
      <c r="E72" s="3485">
        <v>71.42</v>
      </c>
      <c r="F72" s="3488">
        <v>18.27</v>
      </c>
      <c r="G72" s="3486" t="s">
        <v>3623</v>
      </c>
      <c r="I72" s="3483">
        <f t="shared" ca="1" si="7"/>
        <v>248</v>
      </c>
      <c r="X72" s="3483">
        <v>237</v>
      </c>
      <c r="Y72" s="3483">
        <v>114.82</v>
      </c>
      <c r="Z72" s="3483" t="s">
        <v>4070</v>
      </c>
      <c r="AA72" s="3483">
        <f t="shared" si="5"/>
        <v>4.2182218956649518</v>
      </c>
      <c r="AB72" s="3483">
        <v>4</v>
      </c>
      <c r="AC72" s="3483">
        <f t="shared" si="6"/>
        <v>7</v>
      </c>
    </row>
    <row r="73" spans="1:29">
      <c r="A73" s="3484">
        <v>72</v>
      </c>
      <c r="B73" s="3485" t="s">
        <v>3694</v>
      </c>
      <c r="C73" s="3486"/>
      <c r="D73" s="3485">
        <v>87.02</v>
      </c>
      <c r="E73" s="3487">
        <v>69.3</v>
      </c>
      <c r="F73" s="3488">
        <v>17.72</v>
      </c>
      <c r="G73" s="3486" t="s">
        <v>3623</v>
      </c>
      <c r="I73" s="3483">
        <f t="shared" ca="1" si="7"/>
        <v>241</v>
      </c>
      <c r="X73" s="3483">
        <v>238</v>
      </c>
      <c r="Y73" s="3483">
        <v>114.82</v>
      </c>
      <c r="Z73" s="3483" t="s">
        <v>4070</v>
      </c>
      <c r="AA73" s="3483">
        <f t="shared" si="5"/>
        <v>4.2182218956649518</v>
      </c>
      <c r="AB73" s="3483">
        <v>4</v>
      </c>
      <c r="AC73" s="3483">
        <f t="shared" si="6"/>
        <v>7</v>
      </c>
    </row>
    <row r="74" spans="1:29">
      <c r="A74" s="3484">
        <v>73</v>
      </c>
      <c r="B74" s="3485" t="s">
        <v>3695</v>
      </c>
      <c r="C74" s="3486"/>
      <c r="D74" s="3485">
        <v>89.69</v>
      </c>
      <c r="E74" s="3487">
        <v>71.42</v>
      </c>
      <c r="F74" s="3488">
        <v>18.27</v>
      </c>
      <c r="G74" s="3486" t="s">
        <v>3623</v>
      </c>
      <c r="I74" s="3483">
        <f t="shared" ca="1" si="7"/>
        <v>248</v>
      </c>
      <c r="X74" s="3483">
        <v>239</v>
      </c>
      <c r="Y74" s="3483">
        <v>172.23</v>
      </c>
      <c r="Z74" s="3483" t="s">
        <v>4070</v>
      </c>
      <c r="AA74" s="3483">
        <f t="shared" si="5"/>
        <v>6.3273328434974285</v>
      </c>
      <c r="AB74" s="3483">
        <v>6</v>
      </c>
      <c r="AC74" s="3483">
        <f t="shared" si="6"/>
        <v>11</v>
      </c>
    </row>
    <row r="75" spans="1:29">
      <c r="A75" s="3484">
        <v>74</v>
      </c>
      <c r="B75" s="3485" t="s">
        <v>3696</v>
      </c>
      <c r="C75" s="3486"/>
      <c r="D75" s="3485">
        <v>87.02</v>
      </c>
      <c r="E75" s="3487">
        <v>69.3</v>
      </c>
      <c r="F75" s="3488">
        <v>17.72</v>
      </c>
      <c r="G75" s="3486" t="s">
        <v>3623</v>
      </c>
      <c r="I75" s="3483">
        <f t="shared" ca="1" si="7"/>
        <v>241</v>
      </c>
      <c r="X75" s="3483">
        <v>240</v>
      </c>
      <c r="Y75" s="3483">
        <v>172.23</v>
      </c>
      <c r="Z75" s="3483" t="s">
        <v>4070</v>
      </c>
      <c r="AA75" s="3483">
        <f t="shared" si="5"/>
        <v>6.3273328434974285</v>
      </c>
      <c r="AB75" s="3483">
        <v>6</v>
      </c>
      <c r="AC75" s="3483">
        <f t="shared" si="6"/>
        <v>11</v>
      </c>
    </row>
    <row r="76" spans="1:29">
      <c r="A76" s="3484">
        <v>75</v>
      </c>
      <c r="B76" s="3485" t="s">
        <v>3697</v>
      </c>
      <c r="C76" s="3486"/>
      <c r="D76" s="3485">
        <v>89.69</v>
      </c>
      <c r="E76" s="3485">
        <v>71.42</v>
      </c>
      <c r="F76" s="3488">
        <v>18.27</v>
      </c>
      <c r="G76" s="3486" t="s">
        <v>3623</v>
      </c>
      <c r="I76" s="3483">
        <f t="shared" ca="1" si="7"/>
        <v>248</v>
      </c>
      <c r="X76" s="3483">
        <v>241</v>
      </c>
      <c r="Y76" s="3483">
        <v>172.23</v>
      </c>
      <c r="Z76" s="3483" t="s">
        <v>4070</v>
      </c>
      <c r="AA76" s="3483">
        <f t="shared" si="5"/>
        <v>6.3273328434974285</v>
      </c>
      <c r="AB76" s="3483">
        <v>6</v>
      </c>
      <c r="AC76" s="3483">
        <f t="shared" si="6"/>
        <v>11</v>
      </c>
    </row>
    <row r="77" spans="1:29">
      <c r="A77" s="3484">
        <v>76</v>
      </c>
      <c r="B77" s="3485" t="s">
        <v>3698</v>
      </c>
      <c r="C77" s="3486"/>
      <c r="D77" s="3485">
        <v>87.02</v>
      </c>
      <c r="E77" s="3487">
        <v>69.3</v>
      </c>
      <c r="F77" s="3488">
        <v>17.72</v>
      </c>
      <c r="G77" s="3486" t="s">
        <v>3623</v>
      </c>
      <c r="I77" s="3483">
        <f t="shared" ca="1" si="7"/>
        <v>241</v>
      </c>
      <c r="X77" s="3483">
        <v>242</v>
      </c>
      <c r="Y77" s="3483">
        <v>258.33999999999997</v>
      </c>
      <c r="Z77" s="3483" t="s">
        <v>4070</v>
      </c>
      <c r="AA77" s="3483">
        <f t="shared" si="5"/>
        <v>9.4908155767817775</v>
      </c>
      <c r="AB77" s="3483">
        <v>9</v>
      </c>
      <c r="AC77" s="3483">
        <f t="shared" si="6"/>
        <v>17</v>
      </c>
    </row>
    <row r="78" spans="1:29">
      <c r="A78" s="3484">
        <v>77</v>
      </c>
      <c r="B78" s="3485" t="s">
        <v>3699</v>
      </c>
      <c r="C78" s="3486"/>
      <c r="D78" s="3485">
        <v>89.69</v>
      </c>
      <c r="E78" s="3487">
        <v>71.42</v>
      </c>
      <c r="F78" s="3488">
        <v>18.27</v>
      </c>
      <c r="G78" s="3486" t="s">
        <v>3623</v>
      </c>
      <c r="I78" s="3483">
        <f t="shared" ca="1" si="7"/>
        <v>248</v>
      </c>
      <c r="X78" s="3483">
        <v>243</v>
      </c>
      <c r="Y78" s="3483">
        <v>258.33999999999997</v>
      </c>
      <c r="Z78" s="3483" t="s">
        <v>4070</v>
      </c>
      <c r="AA78" s="3483">
        <f t="shared" si="5"/>
        <v>9.4908155767817775</v>
      </c>
      <c r="AB78" s="3483">
        <v>9</v>
      </c>
      <c r="AC78" s="3483">
        <f t="shared" si="6"/>
        <v>17</v>
      </c>
    </row>
    <row r="79" spans="1:29">
      <c r="A79" s="3484">
        <v>78</v>
      </c>
      <c r="B79" s="3485" t="s">
        <v>3700</v>
      </c>
      <c r="C79" s="3486"/>
      <c r="D79" s="3485">
        <v>87.02</v>
      </c>
      <c r="E79" s="3487">
        <v>69.3</v>
      </c>
      <c r="F79" s="3488">
        <v>17.72</v>
      </c>
      <c r="G79" s="3486" t="s">
        <v>3623</v>
      </c>
      <c r="I79" s="3483">
        <f t="shared" ca="1" si="7"/>
        <v>241</v>
      </c>
      <c r="X79" s="3483">
        <v>244</v>
      </c>
      <c r="Y79" s="3483">
        <v>258.33999999999997</v>
      </c>
      <c r="Z79" s="3483" t="s">
        <v>4070</v>
      </c>
      <c r="AA79" s="3483">
        <f t="shared" si="5"/>
        <v>9.4908155767817775</v>
      </c>
      <c r="AB79" s="3483">
        <v>9</v>
      </c>
      <c r="AC79" s="3483">
        <f t="shared" si="6"/>
        <v>17</v>
      </c>
    </row>
    <row r="80" spans="1:29">
      <c r="A80" s="3484">
        <v>79</v>
      </c>
      <c r="B80" s="3485" t="s">
        <v>3701</v>
      </c>
      <c r="C80" s="3486"/>
      <c r="D80" s="3485">
        <v>89.69</v>
      </c>
      <c r="E80" s="3485">
        <v>71.42</v>
      </c>
      <c r="F80" s="3488">
        <v>18.27</v>
      </c>
      <c r="G80" s="3486" t="s">
        <v>3623</v>
      </c>
      <c r="I80" s="3483">
        <f t="shared" ca="1" si="7"/>
        <v>248</v>
      </c>
      <c r="X80" s="3483">
        <v>245</v>
      </c>
      <c r="Y80" s="3483">
        <v>172.23</v>
      </c>
      <c r="Z80" s="3483" t="s">
        <v>4070</v>
      </c>
      <c r="AA80" s="3483">
        <f t="shared" si="5"/>
        <v>6.3273328434974285</v>
      </c>
      <c r="AB80" s="3483">
        <v>6</v>
      </c>
      <c r="AC80" s="3483">
        <f t="shared" si="6"/>
        <v>11</v>
      </c>
    </row>
    <row r="81" spans="1:29">
      <c r="A81" s="3484">
        <v>80</v>
      </c>
      <c r="B81" s="3485" t="s">
        <v>3702</v>
      </c>
      <c r="C81" s="3486"/>
      <c r="D81" s="3485">
        <v>87.02</v>
      </c>
      <c r="E81" s="3487">
        <v>69.3</v>
      </c>
      <c r="F81" s="3488">
        <v>17.72</v>
      </c>
      <c r="G81" s="3486" t="s">
        <v>3623</v>
      </c>
      <c r="I81" s="3483">
        <f t="shared" ca="1" si="7"/>
        <v>241</v>
      </c>
      <c r="X81" s="3483">
        <v>246</v>
      </c>
      <c r="Y81" s="3483">
        <v>258.33999999999997</v>
      </c>
      <c r="Z81" s="3483" t="s">
        <v>4070</v>
      </c>
      <c r="AA81" s="3483">
        <f t="shared" si="5"/>
        <v>9.4908155767817775</v>
      </c>
      <c r="AB81" s="3483">
        <v>9</v>
      </c>
      <c r="AC81" s="3483">
        <f t="shared" si="6"/>
        <v>17</v>
      </c>
    </row>
    <row r="82" spans="1:29">
      <c r="A82" s="3484">
        <v>81</v>
      </c>
      <c r="B82" s="3485" t="s">
        <v>3703</v>
      </c>
      <c r="C82" s="3486"/>
      <c r="D82" s="3485">
        <v>89.69</v>
      </c>
      <c r="E82" s="3487">
        <v>71.42</v>
      </c>
      <c r="F82" s="3488">
        <v>18.27</v>
      </c>
      <c r="G82" s="3486" t="s">
        <v>3623</v>
      </c>
      <c r="I82" s="3483">
        <f t="shared" ca="1" si="7"/>
        <v>248</v>
      </c>
      <c r="X82" s="3483">
        <v>247</v>
      </c>
      <c r="Y82" s="3483">
        <v>258.33999999999997</v>
      </c>
      <c r="Z82" s="3483" t="s">
        <v>4070</v>
      </c>
      <c r="AA82" s="3483">
        <f t="shared" si="5"/>
        <v>9.4908155767817775</v>
      </c>
      <c r="AB82" s="3483">
        <v>9</v>
      </c>
      <c r="AC82" s="3483">
        <f t="shared" si="6"/>
        <v>17</v>
      </c>
    </row>
    <row r="83" spans="1:29">
      <c r="A83" s="3484">
        <v>82</v>
      </c>
      <c r="B83" s="3485" t="s">
        <v>3704</v>
      </c>
      <c r="C83" s="3486"/>
      <c r="D83" s="3485">
        <v>87.02</v>
      </c>
      <c r="E83" s="3487">
        <v>69.3</v>
      </c>
      <c r="F83" s="3488">
        <v>17.72</v>
      </c>
      <c r="G83" s="3486" t="s">
        <v>3623</v>
      </c>
      <c r="I83" s="3483">
        <f t="shared" ca="1" si="7"/>
        <v>241</v>
      </c>
      <c r="X83" s="3483">
        <v>248</v>
      </c>
      <c r="Y83" s="3483">
        <v>258.33999999999997</v>
      </c>
      <c r="Z83" s="3483" t="s">
        <v>4070</v>
      </c>
      <c r="AA83" s="3483">
        <f t="shared" si="5"/>
        <v>9.4908155767817775</v>
      </c>
      <c r="AB83" s="3483">
        <v>9</v>
      </c>
      <c r="AC83" s="3483">
        <f t="shared" si="6"/>
        <v>17</v>
      </c>
    </row>
    <row r="84" spans="1:29">
      <c r="A84" s="3484">
        <v>83</v>
      </c>
      <c r="B84" s="3485" t="s">
        <v>3705</v>
      </c>
      <c r="C84" s="3486"/>
      <c r="D84" s="3485">
        <v>89.69</v>
      </c>
      <c r="E84" s="3485">
        <v>71.42</v>
      </c>
      <c r="F84" s="3488">
        <v>18.27</v>
      </c>
      <c r="G84" s="3486" t="s">
        <v>3623</v>
      </c>
      <c r="I84" s="3483">
        <f t="shared" ca="1" si="7"/>
        <v>248</v>
      </c>
      <c r="X84" s="3483">
        <v>249</v>
      </c>
      <c r="Y84" s="3483">
        <v>57.41</v>
      </c>
      <c r="Z84" s="3483" t="s">
        <v>4070</v>
      </c>
      <c r="AA84" s="3483">
        <f t="shared" si="5"/>
        <v>2.1091109478324759</v>
      </c>
      <c r="AB84" s="3483">
        <v>2</v>
      </c>
      <c r="AC84" s="3483">
        <f t="shared" si="6"/>
        <v>3</v>
      </c>
    </row>
    <row r="85" spans="1:29">
      <c r="A85" s="3484">
        <v>84</v>
      </c>
      <c r="B85" s="3485" t="s">
        <v>3706</v>
      </c>
      <c r="C85" s="3486"/>
      <c r="D85" s="3485">
        <v>87.02</v>
      </c>
      <c r="E85" s="3487">
        <v>69.3</v>
      </c>
      <c r="F85" s="3488">
        <v>17.72</v>
      </c>
      <c r="G85" s="3486" t="s">
        <v>3623</v>
      </c>
      <c r="I85" s="3483">
        <f t="shared" ca="1" si="7"/>
        <v>241</v>
      </c>
      <c r="X85" s="3483">
        <v>250</v>
      </c>
      <c r="Y85" s="3483">
        <v>57.41</v>
      </c>
      <c r="Z85" s="3483" t="s">
        <v>4070</v>
      </c>
      <c r="AA85" s="3483">
        <f t="shared" si="5"/>
        <v>2.1091109478324759</v>
      </c>
      <c r="AB85" s="3483">
        <v>2</v>
      </c>
      <c r="AC85" s="3483">
        <f t="shared" si="6"/>
        <v>3</v>
      </c>
    </row>
    <row r="86" spans="1:29">
      <c r="A86" s="3484">
        <v>85</v>
      </c>
      <c r="B86" s="3485" t="s">
        <v>3707</v>
      </c>
      <c r="C86" s="3486"/>
      <c r="D86" s="3485">
        <v>82.93</v>
      </c>
      <c r="E86" s="3487">
        <v>66.39</v>
      </c>
      <c r="F86" s="3488">
        <v>16.54</v>
      </c>
      <c r="G86" s="3486" t="s">
        <v>3623</v>
      </c>
      <c r="I86" s="3483">
        <f t="shared" ca="1" si="7"/>
        <v>230</v>
      </c>
      <c r="X86" s="3483">
        <v>251</v>
      </c>
      <c r="Y86" s="3483">
        <v>258.33999999999997</v>
      </c>
      <c r="Z86" s="3483" t="s">
        <v>4070</v>
      </c>
      <c r="AA86" s="3483">
        <f t="shared" si="5"/>
        <v>9.4908155767817775</v>
      </c>
      <c r="AB86" s="3483">
        <v>9</v>
      </c>
      <c r="AC86" s="3483">
        <f t="shared" si="6"/>
        <v>17</v>
      </c>
    </row>
    <row r="87" spans="1:29">
      <c r="A87" s="3484">
        <v>86</v>
      </c>
      <c r="B87" s="3485" t="s">
        <v>3708</v>
      </c>
      <c r="C87" s="3486"/>
      <c r="D87" s="3485">
        <v>82.56</v>
      </c>
      <c r="E87" s="3487">
        <v>66.099999999999994</v>
      </c>
      <c r="F87" s="3488">
        <v>16.46</v>
      </c>
      <c r="G87" s="3486" t="s">
        <v>3623</v>
      </c>
      <c r="I87" s="3483">
        <f t="shared" ca="1" si="7"/>
        <v>229</v>
      </c>
      <c r="X87" s="3483">
        <v>252</v>
      </c>
      <c r="Y87" s="3483">
        <v>258.33999999999997</v>
      </c>
      <c r="Z87" s="3483" t="s">
        <v>4070</v>
      </c>
      <c r="AA87" s="3483">
        <f t="shared" si="5"/>
        <v>9.4908155767817775</v>
      </c>
      <c r="AB87" s="3483">
        <v>9</v>
      </c>
      <c r="AC87" s="3483">
        <f t="shared" si="6"/>
        <v>17</v>
      </c>
    </row>
    <row r="88" spans="1:29">
      <c r="A88" s="3484">
        <v>87</v>
      </c>
      <c r="B88" s="3485" t="s">
        <v>3709</v>
      </c>
      <c r="C88" s="3486"/>
      <c r="D88" s="3485">
        <v>82.93</v>
      </c>
      <c r="E88" s="3487">
        <v>66.39</v>
      </c>
      <c r="F88" s="3488">
        <v>16.54</v>
      </c>
      <c r="G88" s="3486" t="s">
        <v>3623</v>
      </c>
      <c r="I88" s="3483">
        <f t="shared" ca="1" si="7"/>
        <v>230</v>
      </c>
      <c r="X88" s="3483">
        <v>253</v>
      </c>
      <c r="Y88" s="3483">
        <v>258.33999999999997</v>
      </c>
      <c r="Z88" s="3483" t="s">
        <v>4070</v>
      </c>
      <c r="AA88" s="3483">
        <f t="shared" si="5"/>
        <v>9.4908155767817775</v>
      </c>
      <c r="AB88" s="3483">
        <v>9</v>
      </c>
      <c r="AC88" s="3483">
        <f t="shared" si="6"/>
        <v>17</v>
      </c>
    </row>
    <row r="89" spans="1:29">
      <c r="A89" s="3484">
        <v>88</v>
      </c>
      <c r="B89" s="3485" t="s">
        <v>3710</v>
      </c>
      <c r="C89" s="3486"/>
      <c r="D89" s="3485">
        <v>82.56</v>
      </c>
      <c r="E89" s="3487">
        <v>66.099999999999994</v>
      </c>
      <c r="F89" s="3488">
        <v>16.46</v>
      </c>
      <c r="G89" s="3486" t="s">
        <v>3623</v>
      </c>
      <c r="I89" s="3483">
        <f t="shared" ca="1" si="7"/>
        <v>229</v>
      </c>
      <c r="X89" s="3483">
        <v>254</v>
      </c>
      <c r="Y89" s="3483">
        <v>258.33999999999997</v>
      </c>
      <c r="Z89" s="3483" t="s">
        <v>4070</v>
      </c>
      <c r="AA89" s="3483">
        <f t="shared" si="5"/>
        <v>9.4908155767817775</v>
      </c>
      <c r="AB89" s="3483">
        <v>9</v>
      </c>
      <c r="AC89" s="3483">
        <f t="shared" si="6"/>
        <v>17</v>
      </c>
    </row>
    <row r="90" spans="1:29">
      <c r="A90" s="3484">
        <v>89</v>
      </c>
      <c r="B90" s="3485" t="s">
        <v>3711</v>
      </c>
      <c r="C90" s="3486"/>
      <c r="D90" s="3485">
        <v>82.93</v>
      </c>
      <c r="E90" s="3487">
        <v>66.39</v>
      </c>
      <c r="F90" s="3488">
        <v>16.54</v>
      </c>
      <c r="G90" s="3486" t="s">
        <v>3623</v>
      </c>
      <c r="I90" s="3483">
        <f t="shared" ca="1" si="7"/>
        <v>230</v>
      </c>
      <c r="X90" s="3483">
        <v>265</v>
      </c>
      <c r="Y90" s="3483">
        <v>57.41</v>
      </c>
      <c r="Z90" s="3483" t="s">
        <v>4070</v>
      </c>
      <c r="AA90" s="3483">
        <f t="shared" si="5"/>
        <v>2.1091109478324759</v>
      </c>
      <c r="AB90" s="3483">
        <v>2</v>
      </c>
      <c r="AC90" s="3483">
        <f t="shared" si="6"/>
        <v>3</v>
      </c>
    </row>
    <row r="91" spans="1:29">
      <c r="A91" s="3484">
        <v>90</v>
      </c>
      <c r="B91" s="3485" t="s">
        <v>3712</v>
      </c>
      <c r="C91" s="3486"/>
      <c r="D91" s="3485">
        <v>82.56</v>
      </c>
      <c r="E91" s="3487">
        <v>66.099999999999994</v>
      </c>
      <c r="F91" s="3488">
        <v>16.46</v>
      </c>
      <c r="G91" s="3486" t="s">
        <v>3623</v>
      </c>
      <c r="I91" s="3483">
        <f t="shared" ca="1" si="7"/>
        <v>229</v>
      </c>
      <c r="X91" s="3483">
        <v>266</v>
      </c>
      <c r="Y91" s="3483">
        <v>172.23</v>
      </c>
      <c r="Z91" s="3483" t="s">
        <v>4070</v>
      </c>
      <c r="AA91" s="3483">
        <f t="shared" si="5"/>
        <v>6.3273328434974285</v>
      </c>
      <c r="AB91" s="3483">
        <v>6</v>
      </c>
      <c r="AC91" s="3483">
        <f t="shared" si="6"/>
        <v>11</v>
      </c>
    </row>
    <row r="92" spans="1:29">
      <c r="A92" s="3484">
        <v>91</v>
      </c>
      <c r="B92" s="3485" t="s">
        <v>3713</v>
      </c>
      <c r="C92" s="3486"/>
      <c r="D92" s="3485">
        <v>82.93</v>
      </c>
      <c r="E92" s="3487">
        <v>66.39</v>
      </c>
      <c r="F92" s="3488">
        <v>16.54</v>
      </c>
      <c r="G92" s="3486" t="s">
        <v>3623</v>
      </c>
      <c r="I92" s="3483">
        <f t="shared" ca="1" si="7"/>
        <v>230</v>
      </c>
      <c r="Y92" s="3483">
        <v>8677.6999999999971</v>
      </c>
      <c r="AC92" s="3483">
        <f>SUM(AC54:AC91)</f>
        <v>468</v>
      </c>
    </row>
    <row r="93" spans="1:29">
      <c r="A93" s="3484">
        <v>92</v>
      </c>
      <c r="B93" s="3485" t="s">
        <v>3714</v>
      </c>
      <c r="C93" s="3486"/>
      <c r="D93" s="3485">
        <v>82.56</v>
      </c>
      <c r="E93" s="3487">
        <v>66.099999999999994</v>
      </c>
      <c r="F93" s="3488">
        <v>16.46</v>
      </c>
      <c r="G93" s="3486" t="s">
        <v>3623</v>
      </c>
      <c r="I93" s="3483">
        <f t="shared" ca="1" si="7"/>
        <v>229</v>
      </c>
    </row>
    <row r="94" spans="1:29">
      <c r="A94" s="3484">
        <v>93</v>
      </c>
      <c r="B94" s="3485" t="s">
        <v>3715</v>
      </c>
      <c r="C94" s="3486"/>
      <c r="D94" s="3485">
        <v>82.93</v>
      </c>
      <c r="E94" s="3487">
        <v>66.39</v>
      </c>
      <c r="F94" s="3488">
        <v>16.54</v>
      </c>
      <c r="G94" s="3486" t="s">
        <v>3623</v>
      </c>
      <c r="I94" s="3483">
        <f t="shared" ca="1" si="7"/>
        <v>230</v>
      </c>
    </row>
    <row r="95" spans="1:29">
      <c r="A95" s="3484">
        <v>94</v>
      </c>
      <c r="B95" s="3485" t="s">
        <v>3716</v>
      </c>
      <c r="C95" s="3486"/>
      <c r="D95" s="3485">
        <v>82.56</v>
      </c>
      <c r="E95" s="3487">
        <v>66.099999999999994</v>
      </c>
      <c r="F95" s="3488">
        <v>16.46</v>
      </c>
      <c r="G95" s="3486" t="s">
        <v>3623</v>
      </c>
      <c r="I95" s="3483">
        <f t="shared" ca="1" si="7"/>
        <v>229</v>
      </c>
    </row>
    <row r="96" spans="1:29">
      <c r="A96" s="3484">
        <v>95</v>
      </c>
      <c r="B96" s="3485" t="s">
        <v>3717</v>
      </c>
      <c r="C96" s="3486"/>
      <c r="D96" s="3485">
        <v>82.93</v>
      </c>
      <c r="E96" s="3487">
        <v>66.39</v>
      </c>
      <c r="F96" s="3488">
        <v>16.54</v>
      </c>
      <c r="G96" s="3486" t="s">
        <v>3623</v>
      </c>
      <c r="I96" s="3483">
        <f t="shared" ca="1" si="7"/>
        <v>230</v>
      </c>
    </row>
    <row r="97" spans="1:9">
      <c r="A97" s="3484">
        <v>96</v>
      </c>
      <c r="B97" s="3485" t="s">
        <v>3718</v>
      </c>
      <c r="C97" s="3486"/>
      <c r="D97" s="3485">
        <v>82.56</v>
      </c>
      <c r="E97" s="3487">
        <v>66.099999999999994</v>
      </c>
      <c r="F97" s="3488">
        <v>16.46</v>
      </c>
      <c r="G97" s="3486" t="s">
        <v>3623</v>
      </c>
      <c r="I97" s="3483">
        <f t="shared" ca="1" si="7"/>
        <v>229</v>
      </c>
    </row>
    <row r="98" spans="1:9">
      <c r="A98" s="3484">
        <v>97</v>
      </c>
      <c r="B98" s="3485" t="s">
        <v>3719</v>
      </c>
      <c r="C98" s="3486"/>
      <c r="D98" s="3485">
        <v>82.93</v>
      </c>
      <c r="E98" s="3487">
        <v>66.39</v>
      </c>
      <c r="F98" s="3488">
        <v>16.54</v>
      </c>
      <c r="G98" s="3486" t="s">
        <v>3623</v>
      </c>
      <c r="I98" s="3483">
        <f t="shared" ca="1" si="7"/>
        <v>230</v>
      </c>
    </row>
    <row r="99" spans="1:9">
      <c r="A99" s="3484">
        <v>98</v>
      </c>
      <c r="B99" s="3485" t="s">
        <v>3720</v>
      </c>
      <c r="C99" s="3486"/>
      <c r="D99" s="3485">
        <v>82.56</v>
      </c>
      <c r="E99" s="3487">
        <v>66.099999999999994</v>
      </c>
      <c r="F99" s="3488">
        <v>16.46</v>
      </c>
      <c r="G99" s="3486" t="s">
        <v>3623</v>
      </c>
      <c r="I99" s="3483">
        <f t="shared" ca="1" si="7"/>
        <v>229</v>
      </c>
    </row>
    <row r="100" spans="1:9">
      <c r="A100" s="3484">
        <v>99</v>
      </c>
      <c r="B100" s="3485" t="s">
        <v>3721</v>
      </c>
      <c r="C100" s="3486"/>
      <c r="D100" s="3485">
        <v>82.93</v>
      </c>
      <c r="E100" s="3487">
        <v>66.39</v>
      </c>
      <c r="F100" s="3488">
        <v>16.54</v>
      </c>
      <c r="G100" s="3486" t="s">
        <v>3623</v>
      </c>
      <c r="I100" s="3483">
        <f t="shared" ca="1" si="7"/>
        <v>230</v>
      </c>
    </row>
    <row r="101" spans="1:9">
      <c r="A101" s="3484">
        <v>100</v>
      </c>
      <c r="B101" s="3485" t="s">
        <v>3722</v>
      </c>
      <c r="C101" s="3486"/>
      <c r="D101" s="3485">
        <v>82.56</v>
      </c>
      <c r="E101" s="3487">
        <v>66.099999999999994</v>
      </c>
      <c r="F101" s="3488">
        <v>16.46</v>
      </c>
      <c r="G101" s="3486" t="s">
        <v>3623</v>
      </c>
      <c r="I101" s="3483">
        <f t="shared" ca="1" si="7"/>
        <v>229</v>
      </c>
    </row>
    <row r="102" spans="1:9">
      <c r="A102" s="3484">
        <v>101</v>
      </c>
      <c r="B102" s="3485" t="s">
        <v>3723</v>
      </c>
      <c r="C102" s="3486"/>
      <c r="D102" s="3485">
        <v>82.93</v>
      </c>
      <c r="E102" s="3487">
        <v>66.39</v>
      </c>
      <c r="F102" s="3488">
        <v>16.54</v>
      </c>
      <c r="G102" s="3486" t="s">
        <v>3623</v>
      </c>
      <c r="I102" s="3483">
        <f t="shared" ca="1" si="7"/>
        <v>230</v>
      </c>
    </row>
    <row r="103" spans="1:9">
      <c r="A103" s="3484">
        <v>102</v>
      </c>
      <c r="B103" s="3485" t="s">
        <v>3724</v>
      </c>
      <c r="C103" s="3486"/>
      <c r="D103" s="3485">
        <v>82.56</v>
      </c>
      <c r="E103" s="3487">
        <v>66.099999999999994</v>
      </c>
      <c r="F103" s="3488">
        <v>16.46</v>
      </c>
      <c r="G103" s="3486" t="s">
        <v>3623</v>
      </c>
      <c r="I103" s="3483">
        <f t="shared" ca="1" si="7"/>
        <v>229</v>
      </c>
    </row>
    <row r="104" spans="1:9">
      <c r="A104" s="3484">
        <v>103</v>
      </c>
      <c r="B104" s="3485" t="s">
        <v>3725</v>
      </c>
      <c r="C104" s="3486"/>
      <c r="D104" s="3485">
        <v>82.93</v>
      </c>
      <c r="E104" s="3487">
        <v>66.39</v>
      </c>
      <c r="F104" s="3488">
        <v>16.54</v>
      </c>
      <c r="G104" s="3486" t="s">
        <v>3623</v>
      </c>
      <c r="I104" s="3483">
        <f t="shared" ca="1" si="7"/>
        <v>230</v>
      </c>
    </row>
    <row r="105" spans="1:9">
      <c r="A105" s="3484">
        <v>104</v>
      </c>
      <c r="B105" s="3485" t="s">
        <v>3726</v>
      </c>
      <c r="C105" s="3486"/>
      <c r="D105" s="3485">
        <v>82.56</v>
      </c>
      <c r="E105" s="3487">
        <v>66.099999999999994</v>
      </c>
      <c r="F105" s="3488">
        <v>16.46</v>
      </c>
      <c r="G105" s="3486" t="s">
        <v>3623</v>
      </c>
      <c r="I105" s="3483">
        <f t="shared" ca="1" si="7"/>
        <v>229</v>
      </c>
    </row>
    <row r="106" spans="1:9">
      <c r="A106" s="3484">
        <v>105</v>
      </c>
      <c r="B106" s="3485" t="s">
        <v>3727</v>
      </c>
      <c r="C106" s="3486"/>
      <c r="D106" s="3485">
        <v>82.56</v>
      </c>
      <c r="E106" s="3487">
        <v>66.099999999999994</v>
      </c>
      <c r="F106" s="3488">
        <v>16.46</v>
      </c>
      <c r="G106" s="3486" t="s">
        <v>3623</v>
      </c>
      <c r="I106" s="3483">
        <f t="shared" ca="1" si="7"/>
        <v>229</v>
      </c>
    </row>
    <row r="107" spans="1:9">
      <c r="A107" s="3484">
        <v>106</v>
      </c>
      <c r="B107" s="3485" t="s">
        <v>3728</v>
      </c>
      <c r="C107" s="3486"/>
      <c r="D107" s="3485">
        <v>82.93</v>
      </c>
      <c r="E107" s="3487">
        <v>66.39</v>
      </c>
      <c r="F107" s="3488">
        <v>16.54</v>
      </c>
      <c r="G107" s="3486" t="s">
        <v>3623</v>
      </c>
      <c r="I107" s="3483">
        <f t="shared" ca="1" si="7"/>
        <v>230</v>
      </c>
    </row>
    <row r="108" spans="1:9">
      <c r="A108" s="3484">
        <v>107</v>
      </c>
      <c r="B108" s="3485" t="s">
        <v>3729</v>
      </c>
      <c r="C108" s="3486"/>
      <c r="D108" s="3485">
        <v>82.56</v>
      </c>
      <c r="E108" s="3487">
        <v>66.099999999999994</v>
      </c>
      <c r="F108" s="3488">
        <v>16.46</v>
      </c>
      <c r="G108" s="3486" t="s">
        <v>3623</v>
      </c>
      <c r="I108" s="3483">
        <f t="shared" ca="1" si="7"/>
        <v>229</v>
      </c>
    </row>
    <row r="109" spans="1:9">
      <c r="A109" s="3484">
        <v>108</v>
      </c>
      <c r="B109" s="3485" t="s">
        <v>3730</v>
      </c>
      <c r="C109" s="3486"/>
      <c r="D109" s="3485">
        <v>82.93</v>
      </c>
      <c r="E109" s="3487">
        <v>66.39</v>
      </c>
      <c r="F109" s="3488">
        <v>16.54</v>
      </c>
      <c r="G109" s="3486" t="s">
        <v>3623</v>
      </c>
      <c r="I109" s="3483">
        <f t="shared" ca="1" si="7"/>
        <v>230</v>
      </c>
    </row>
    <row r="110" spans="1:9">
      <c r="A110" s="3484">
        <v>109</v>
      </c>
      <c r="B110" s="3485" t="s">
        <v>3731</v>
      </c>
      <c r="C110" s="3486"/>
      <c r="D110" s="3485">
        <v>82.56</v>
      </c>
      <c r="E110" s="3487">
        <v>66.099999999999994</v>
      </c>
      <c r="F110" s="3488">
        <v>16.46</v>
      </c>
      <c r="G110" s="3486" t="s">
        <v>3623</v>
      </c>
      <c r="I110" s="3483">
        <f t="shared" ca="1" si="7"/>
        <v>229</v>
      </c>
    </row>
    <row r="111" spans="1:9">
      <c r="A111" s="3484">
        <v>110</v>
      </c>
      <c r="B111" s="3485" t="s">
        <v>3732</v>
      </c>
      <c r="C111" s="3486"/>
      <c r="D111" s="3485">
        <v>82.93</v>
      </c>
      <c r="E111" s="3487">
        <v>66.39</v>
      </c>
      <c r="F111" s="3488">
        <v>16.54</v>
      </c>
      <c r="G111" s="3486" t="s">
        <v>3623</v>
      </c>
      <c r="I111" s="3483">
        <f t="shared" ca="1" si="7"/>
        <v>230</v>
      </c>
    </row>
    <row r="112" spans="1:9">
      <c r="A112" s="3484">
        <v>111</v>
      </c>
      <c r="B112" s="3485" t="s">
        <v>3733</v>
      </c>
      <c r="C112" s="3486"/>
      <c r="D112" s="3485">
        <v>82.56</v>
      </c>
      <c r="E112" s="3487">
        <v>66.099999999999994</v>
      </c>
      <c r="F112" s="3488">
        <v>16.46</v>
      </c>
      <c r="G112" s="3486" t="s">
        <v>3623</v>
      </c>
      <c r="I112" s="3483">
        <f t="shared" ca="1" si="7"/>
        <v>229</v>
      </c>
    </row>
    <row r="113" spans="1:9">
      <c r="A113" s="3484">
        <v>112</v>
      </c>
      <c r="B113" s="3485" t="s">
        <v>3734</v>
      </c>
      <c r="C113" s="3486"/>
      <c r="D113" s="3485">
        <v>82.93</v>
      </c>
      <c r="E113" s="3487">
        <v>66.39</v>
      </c>
      <c r="F113" s="3488">
        <v>16.54</v>
      </c>
      <c r="G113" s="3486" t="s">
        <v>3623</v>
      </c>
      <c r="I113" s="3483">
        <f t="shared" ca="1" si="7"/>
        <v>230</v>
      </c>
    </row>
    <row r="114" spans="1:9">
      <c r="A114" s="3484">
        <v>113</v>
      </c>
      <c r="B114" s="3485" t="s">
        <v>3735</v>
      </c>
      <c r="C114" s="3486"/>
      <c r="D114" s="3485">
        <v>82.56</v>
      </c>
      <c r="E114" s="3487">
        <v>66.099999999999994</v>
      </c>
      <c r="F114" s="3488">
        <v>16.46</v>
      </c>
      <c r="G114" s="3486" t="s">
        <v>3623</v>
      </c>
      <c r="I114" s="3483">
        <f t="shared" ca="1" si="7"/>
        <v>229</v>
      </c>
    </row>
    <row r="115" spans="1:9">
      <c r="A115" s="3484">
        <v>114</v>
      </c>
      <c r="B115" s="3485" t="s">
        <v>3736</v>
      </c>
      <c r="C115" s="3486"/>
      <c r="D115" s="3485">
        <v>82.93</v>
      </c>
      <c r="E115" s="3487">
        <v>66.39</v>
      </c>
      <c r="F115" s="3488">
        <v>16.54</v>
      </c>
      <c r="G115" s="3486" t="s">
        <v>3623</v>
      </c>
      <c r="I115" s="3483">
        <f t="shared" ca="1" si="7"/>
        <v>230</v>
      </c>
    </row>
    <row r="116" spans="1:9">
      <c r="A116" s="3484">
        <v>115</v>
      </c>
      <c r="B116" s="3485" t="s">
        <v>3737</v>
      </c>
      <c r="C116" s="3486"/>
      <c r="D116" s="3485">
        <v>82.56</v>
      </c>
      <c r="E116" s="3487">
        <v>66.099999999999994</v>
      </c>
      <c r="F116" s="3488">
        <v>16.46</v>
      </c>
      <c r="G116" s="3486" t="s">
        <v>3623</v>
      </c>
      <c r="I116" s="3483">
        <f t="shared" ca="1" si="7"/>
        <v>229</v>
      </c>
    </row>
    <row r="117" spans="1:9">
      <c r="A117" s="3484">
        <v>116</v>
      </c>
      <c r="B117" s="3485" t="s">
        <v>3738</v>
      </c>
      <c r="C117" s="3486"/>
      <c r="D117" s="3485">
        <v>82.93</v>
      </c>
      <c r="E117" s="3487">
        <v>66.39</v>
      </c>
      <c r="F117" s="3488">
        <v>16.54</v>
      </c>
      <c r="G117" s="3486" t="s">
        <v>3623</v>
      </c>
      <c r="I117" s="3483">
        <f t="shared" ca="1" si="7"/>
        <v>230</v>
      </c>
    </row>
    <row r="118" spans="1:9">
      <c r="A118" s="3484">
        <v>117</v>
      </c>
      <c r="B118" s="3485" t="s">
        <v>3739</v>
      </c>
      <c r="C118" s="3486"/>
      <c r="D118" s="3485">
        <v>82.56</v>
      </c>
      <c r="E118" s="3487">
        <v>66.099999999999994</v>
      </c>
      <c r="F118" s="3488">
        <v>16.46</v>
      </c>
      <c r="G118" s="3486" t="s">
        <v>3623</v>
      </c>
      <c r="I118" s="3483">
        <f t="shared" ca="1" si="7"/>
        <v>229</v>
      </c>
    </row>
    <row r="119" spans="1:9">
      <c r="A119" s="3484">
        <v>118</v>
      </c>
      <c r="B119" s="3485" t="s">
        <v>3740</v>
      </c>
      <c r="C119" s="3486"/>
      <c r="D119" s="3485">
        <v>82.93</v>
      </c>
      <c r="E119" s="3487">
        <v>66.39</v>
      </c>
      <c r="F119" s="3488">
        <v>16.54</v>
      </c>
      <c r="G119" s="3486" t="s">
        <v>3623</v>
      </c>
      <c r="I119" s="3483">
        <f t="shared" ca="1" si="7"/>
        <v>230</v>
      </c>
    </row>
    <row r="120" spans="1:9">
      <c r="A120" s="3484">
        <v>119</v>
      </c>
      <c r="B120" s="3485" t="s">
        <v>3741</v>
      </c>
      <c r="C120" s="3486"/>
      <c r="D120" s="3485">
        <v>82.56</v>
      </c>
      <c r="E120" s="3487">
        <v>66.099999999999994</v>
      </c>
      <c r="F120" s="3488">
        <v>16.46</v>
      </c>
      <c r="G120" s="3486" t="s">
        <v>3623</v>
      </c>
      <c r="I120" s="3483">
        <f t="shared" ca="1" si="7"/>
        <v>229</v>
      </c>
    </row>
    <row r="121" spans="1:9">
      <c r="A121" s="3484">
        <v>120</v>
      </c>
      <c r="B121" s="3485" t="s">
        <v>3742</v>
      </c>
      <c r="C121" s="3486"/>
      <c r="D121" s="3485">
        <v>82.93</v>
      </c>
      <c r="E121" s="3487">
        <v>66.39</v>
      </c>
      <c r="F121" s="3488">
        <v>16.54</v>
      </c>
      <c r="G121" s="3486" t="s">
        <v>3623</v>
      </c>
      <c r="I121" s="3483">
        <f t="shared" ca="1" si="7"/>
        <v>230</v>
      </c>
    </row>
    <row r="122" spans="1:9">
      <c r="A122" s="3484">
        <v>121</v>
      </c>
      <c r="B122" s="3485" t="s">
        <v>3743</v>
      </c>
      <c r="C122" s="3486"/>
      <c r="D122" s="3485">
        <v>82.56</v>
      </c>
      <c r="E122" s="3487">
        <v>66.099999999999994</v>
      </c>
      <c r="F122" s="3488">
        <v>16.46</v>
      </c>
      <c r="G122" s="3486" t="s">
        <v>3623</v>
      </c>
      <c r="I122" s="3483">
        <f t="shared" ca="1" si="7"/>
        <v>229</v>
      </c>
    </row>
    <row r="123" spans="1:9">
      <c r="A123" s="3484">
        <v>122</v>
      </c>
      <c r="B123" s="3485" t="s">
        <v>3744</v>
      </c>
      <c r="C123" s="3486"/>
      <c r="D123" s="3485">
        <v>82.93</v>
      </c>
      <c r="E123" s="3487">
        <v>66.39</v>
      </c>
      <c r="F123" s="3488">
        <v>16.54</v>
      </c>
      <c r="G123" s="3486" t="s">
        <v>3623</v>
      </c>
      <c r="I123" s="3483">
        <f t="shared" ca="1" si="7"/>
        <v>230</v>
      </c>
    </row>
    <row r="124" spans="1:9">
      <c r="A124" s="3484">
        <v>123</v>
      </c>
      <c r="B124" s="3490" t="s">
        <v>3745</v>
      </c>
      <c r="C124" s="3486"/>
      <c r="D124" s="3485">
        <v>82.56</v>
      </c>
      <c r="E124" s="3487">
        <v>66.099999999999994</v>
      </c>
      <c r="F124" s="3488">
        <v>16.46</v>
      </c>
      <c r="G124" s="3486" t="s">
        <v>3623</v>
      </c>
      <c r="I124" s="3483">
        <f t="shared" ca="1" si="7"/>
        <v>229</v>
      </c>
    </row>
    <row r="125" spans="1:9">
      <c r="A125" s="3484">
        <v>124</v>
      </c>
      <c r="B125" s="3485" t="s">
        <v>3746</v>
      </c>
      <c r="C125" s="3486"/>
      <c r="D125" s="3485">
        <v>82.93</v>
      </c>
      <c r="E125" s="3487">
        <v>66.39</v>
      </c>
      <c r="F125" s="3488">
        <v>16.54</v>
      </c>
      <c r="G125" s="3486" t="s">
        <v>3623</v>
      </c>
      <c r="I125" s="3483">
        <f t="shared" ca="1" si="7"/>
        <v>230</v>
      </c>
    </row>
    <row r="126" spans="1:9">
      <c r="A126" s="3484">
        <v>125</v>
      </c>
      <c r="B126" s="3485" t="s">
        <v>3747</v>
      </c>
      <c r="C126" s="3486"/>
      <c r="D126" s="3485">
        <v>84.14</v>
      </c>
      <c r="E126" s="3487">
        <v>69.290000000000006</v>
      </c>
      <c r="F126" s="3488">
        <v>14.85</v>
      </c>
      <c r="G126" s="3486" t="s">
        <v>3623</v>
      </c>
      <c r="I126" s="3483">
        <f t="shared" ca="1" si="7"/>
        <v>233</v>
      </c>
    </row>
    <row r="127" spans="1:9">
      <c r="A127" s="3484">
        <v>126</v>
      </c>
      <c r="B127" s="3485" t="s">
        <v>3748</v>
      </c>
      <c r="C127" s="3486"/>
      <c r="D127" s="3487">
        <v>109.4</v>
      </c>
      <c r="E127" s="3485">
        <v>90.09</v>
      </c>
      <c r="F127" s="3488">
        <v>19.309999999999999</v>
      </c>
      <c r="G127" s="3486" t="s">
        <v>3623</v>
      </c>
      <c r="I127" s="3483">
        <f t="shared" ca="1" si="7"/>
        <v>303</v>
      </c>
    </row>
    <row r="128" spans="1:9">
      <c r="A128" s="3484">
        <v>127</v>
      </c>
      <c r="B128" s="3485" t="s">
        <v>3749</v>
      </c>
      <c r="C128" s="3486"/>
      <c r="D128" s="3485">
        <v>84.14</v>
      </c>
      <c r="E128" s="3487">
        <v>69.290000000000006</v>
      </c>
      <c r="F128" s="3488">
        <v>14.85</v>
      </c>
      <c r="G128" s="3486" t="s">
        <v>3623</v>
      </c>
      <c r="I128" s="3483">
        <f t="shared" ca="1" si="7"/>
        <v>233</v>
      </c>
    </row>
    <row r="129" spans="1:9">
      <c r="A129" s="3484">
        <v>128</v>
      </c>
      <c r="B129" s="3485" t="s">
        <v>3750</v>
      </c>
      <c r="C129" s="3486"/>
      <c r="D129" s="3487">
        <v>109.4</v>
      </c>
      <c r="E129" s="3487">
        <v>90.09</v>
      </c>
      <c r="F129" s="3488">
        <v>19.309999999999999</v>
      </c>
      <c r="G129" s="3486" t="s">
        <v>3623</v>
      </c>
      <c r="I129" s="3483">
        <f t="shared" ca="1" si="7"/>
        <v>303</v>
      </c>
    </row>
    <row r="130" spans="1:9">
      <c r="A130" s="3484">
        <v>129</v>
      </c>
      <c r="B130" s="3485" t="s">
        <v>3751</v>
      </c>
      <c r="C130" s="3486"/>
      <c r="D130" s="3485">
        <v>84.14</v>
      </c>
      <c r="E130" s="3487">
        <v>69.290000000000006</v>
      </c>
      <c r="F130" s="3488">
        <v>14.85</v>
      </c>
      <c r="G130" s="3486" t="s">
        <v>3623</v>
      </c>
      <c r="I130" s="3483">
        <f t="shared" ca="1" si="7"/>
        <v>233</v>
      </c>
    </row>
    <row r="131" spans="1:9">
      <c r="A131" s="3484">
        <v>130</v>
      </c>
      <c r="B131" s="3485" t="s">
        <v>3752</v>
      </c>
      <c r="C131" s="3486"/>
      <c r="D131" s="3487">
        <v>109.4</v>
      </c>
      <c r="E131" s="3485">
        <v>90.09</v>
      </c>
      <c r="F131" s="3488">
        <v>19.309999999999999</v>
      </c>
      <c r="G131" s="3486" t="s">
        <v>3623</v>
      </c>
      <c r="I131" s="3483">
        <f t="shared" ref="I131:I194" ca="1" si="8">ROUND(D131*$H$2/10000,0)</f>
        <v>303</v>
      </c>
    </row>
    <row r="132" spans="1:9">
      <c r="A132" s="3484">
        <v>131</v>
      </c>
      <c r="B132" s="3485" t="s">
        <v>3753</v>
      </c>
      <c r="C132" s="3486"/>
      <c r="D132" s="3485">
        <v>84.14</v>
      </c>
      <c r="E132" s="3487">
        <v>69.290000000000006</v>
      </c>
      <c r="F132" s="3488">
        <v>14.85</v>
      </c>
      <c r="G132" s="3486" t="s">
        <v>3623</v>
      </c>
      <c r="I132" s="3483">
        <f t="shared" ca="1" si="8"/>
        <v>233</v>
      </c>
    </row>
    <row r="133" spans="1:9">
      <c r="A133" s="3484">
        <v>132</v>
      </c>
      <c r="B133" s="3485" t="s">
        <v>3754</v>
      </c>
      <c r="C133" s="3486"/>
      <c r="D133" s="3487">
        <v>109.4</v>
      </c>
      <c r="E133" s="3487">
        <v>90.09</v>
      </c>
      <c r="F133" s="3488">
        <v>19.309999999999999</v>
      </c>
      <c r="G133" s="3486" t="s">
        <v>3623</v>
      </c>
      <c r="I133" s="3483">
        <f t="shared" ca="1" si="8"/>
        <v>303</v>
      </c>
    </row>
    <row r="134" spans="1:9">
      <c r="A134" s="3484">
        <v>133</v>
      </c>
      <c r="B134" s="3485" t="s">
        <v>3755</v>
      </c>
      <c r="C134" s="3486"/>
      <c r="D134" s="3485">
        <v>84.14</v>
      </c>
      <c r="E134" s="3487">
        <v>69.290000000000006</v>
      </c>
      <c r="F134" s="3488">
        <v>14.85</v>
      </c>
      <c r="G134" s="3486" t="s">
        <v>3623</v>
      </c>
      <c r="I134" s="3483">
        <f t="shared" ca="1" si="8"/>
        <v>233</v>
      </c>
    </row>
    <row r="135" spans="1:9">
      <c r="A135" s="3484">
        <v>134</v>
      </c>
      <c r="B135" s="3485" t="s">
        <v>3756</v>
      </c>
      <c r="C135" s="3486"/>
      <c r="D135" s="3487">
        <v>109.4</v>
      </c>
      <c r="E135" s="3485">
        <v>90.09</v>
      </c>
      <c r="F135" s="3488">
        <v>19.309999999999999</v>
      </c>
      <c r="G135" s="3486" t="s">
        <v>3623</v>
      </c>
      <c r="I135" s="3483">
        <f t="shared" ca="1" si="8"/>
        <v>303</v>
      </c>
    </row>
    <row r="136" spans="1:9">
      <c r="A136" s="3484">
        <v>135</v>
      </c>
      <c r="B136" s="3485" t="s">
        <v>3757</v>
      </c>
      <c r="C136" s="3486"/>
      <c r="D136" s="3485">
        <v>84.14</v>
      </c>
      <c r="E136" s="3487">
        <v>69.290000000000006</v>
      </c>
      <c r="F136" s="3488">
        <v>14.85</v>
      </c>
      <c r="G136" s="3486" t="s">
        <v>3623</v>
      </c>
      <c r="I136" s="3483">
        <f t="shared" ca="1" si="8"/>
        <v>233</v>
      </c>
    </row>
    <row r="137" spans="1:9">
      <c r="A137" s="3484">
        <v>136</v>
      </c>
      <c r="B137" s="3485" t="s">
        <v>3758</v>
      </c>
      <c r="C137" s="3486"/>
      <c r="D137" s="3487">
        <v>109.4</v>
      </c>
      <c r="E137" s="3487">
        <v>90.09</v>
      </c>
      <c r="F137" s="3488">
        <v>19.309999999999999</v>
      </c>
      <c r="G137" s="3486" t="s">
        <v>3623</v>
      </c>
      <c r="I137" s="3483">
        <f t="shared" ca="1" si="8"/>
        <v>303</v>
      </c>
    </row>
    <row r="138" spans="1:9">
      <c r="A138" s="3484">
        <v>137</v>
      </c>
      <c r="B138" s="3485" t="s">
        <v>3759</v>
      </c>
      <c r="C138" s="3486"/>
      <c r="D138" s="3485">
        <v>84.14</v>
      </c>
      <c r="E138" s="3487">
        <v>69.290000000000006</v>
      </c>
      <c r="F138" s="3488">
        <v>14.85</v>
      </c>
      <c r="G138" s="3486" t="s">
        <v>3623</v>
      </c>
      <c r="I138" s="3483">
        <f t="shared" ca="1" si="8"/>
        <v>233</v>
      </c>
    </row>
    <row r="139" spans="1:9">
      <c r="A139" s="3484">
        <v>138</v>
      </c>
      <c r="B139" s="3485" t="s">
        <v>3760</v>
      </c>
      <c r="C139" s="3486"/>
      <c r="D139" s="3487">
        <v>109.4</v>
      </c>
      <c r="E139" s="3485">
        <v>90.09</v>
      </c>
      <c r="F139" s="3488">
        <v>19.309999999999999</v>
      </c>
      <c r="G139" s="3486" t="s">
        <v>3623</v>
      </c>
      <c r="I139" s="3483">
        <f t="shared" ca="1" si="8"/>
        <v>303</v>
      </c>
    </row>
    <row r="140" spans="1:9">
      <c r="A140" s="3484">
        <v>139</v>
      </c>
      <c r="B140" s="3485" t="s">
        <v>3761</v>
      </c>
      <c r="C140" s="3486"/>
      <c r="D140" s="3485">
        <v>84.14</v>
      </c>
      <c r="E140" s="3487">
        <v>69.290000000000006</v>
      </c>
      <c r="F140" s="3488">
        <v>14.85</v>
      </c>
      <c r="G140" s="3486" t="s">
        <v>3623</v>
      </c>
      <c r="I140" s="3483">
        <f t="shared" ca="1" si="8"/>
        <v>233</v>
      </c>
    </row>
    <row r="141" spans="1:9">
      <c r="A141" s="3484">
        <v>140</v>
      </c>
      <c r="B141" s="3485" t="s">
        <v>3762</v>
      </c>
      <c r="C141" s="3486"/>
      <c r="D141" s="3487">
        <v>109.4</v>
      </c>
      <c r="E141" s="3487">
        <v>90.09</v>
      </c>
      <c r="F141" s="3488">
        <v>19.309999999999999</v>
      </c>
      <c r="G141" s="3486" t="s">
        <v>3623</v>
      </c>
      <c r="I141" s="3483">
        <f t="shared" ca="1" si="8"/>
        <v>303</v>
      </c>
    </row>
    <row r="142" spans="1:9">
      <c r="A142" s="3484">
        <v>141</v>
      </c>
      <c r="B142" s="3485" t="s">
        <v>3763</v>
      </c>
      <c r="C142" s="3486"/>
      <c r="D142" s="3485">
        <v>84.14</v>
      </c>
      <c r="E142" s="3487">
        <v>69.290000000000006</v>
      </c>
      <c r="F142" s="3488">
        <v>14.85</v>
      </c>
      <c r="G142" s="3486" t="s">
        <v>3623</v>
      </c>
      <c r="I142" s="3483">
        <f t="shared" ca="1" si="8"/>
        <v>233</v>
      </c>
    </row>
    <row r="143" spans="1:9">
      <c r="A143" s="3484">
        <v>142</v>
      </c>
      <c r="B143" s="3485" t="s">
        <v>3764</v>
      </c>
      <c r="C143" s="3486"/>
      <c r="D143" s="3487">
        <v>109.4</v>
      </c>
      <c r="E143" s="3485">
        <v>90.09</v>
      </c>
      <c r="F143" s="3488">
        <v>19.309999999999999</v>
      </c>
      <c r="G143" s="3486" t="s">
        <v>3623</v>
      </c>
      <c r="I143" s="3483">
        <f t="shared" ca="1" si="8"/>
        <v>303</v>
      </c>
    </row>
    <row r="144" spans="1:9">
      <c r="A144" s="3484">
        <v>143</v>
      </c>
      <c r="B144" s="3485" t="s">
        <v>3765</v>
      </c>
      <c r="C144" s="3486"/>
      <c r="D144" s="3485">
        <v>84.14</v>
      </c>
      <c r="E144" s="3487">
        <v>69.290000000000006</v>
      </c>
      <c r="F144" s="3488">
        <v>14.85</v>
      </c>
      <c r="G144" s="3486" t="s">
        <v>3623</v>
      </c>
      <c r="I144" s="3483">
        <f t="shared" ca="1" si="8"/>
        <v>233</v>
      </c>
    </row>
    <row r="145" spans="1:9">
      <c r="A145" s="3484">
        <v>144</v>
      </c>
      <c r="B145" s="3485" t="s">
        <v>3766</v>
      </c>
      <c r="C145" s="3486"/>
      <c r="D145" s="3487">
        <v>109.4</v>
      </c>
      <c r="E145" s="3487">
        <v>90.09</v>
      </c>
      <c r="F145" s="3488">
        <v>19.309999999999999</v>
      </c>
      <c r="G145" s="3486" t="s">
        <v>3623</v>
      </c>
      <c r="I145" s="3483">
        <f t="shared" ca="1" si="8"/>
        <v>303</v>
      </c>
    </row>
    <row r="146" spans="1:9">
      <c r="A146" s="3484">
        <v>145</v>
      </c>
      <c r="B146" s="3485" t="s">
        <v>3767</v>
      </c>
      <c r="C146" s="3486"/>
      <c r="D146" s="3485">
        <v>84.14</v>
      </c>
      <c r="E146" s="3487">
        <v>69.290000000000006</v>
      </c>
      <c r="F146" s="3488">
        <v>14.85</v>
      </c>
      <c r="G146" s="3486" t="s">
        <v>3623</v>
      </c>
      <c r="I146" s="3483">
        <f t="shared" ca="1" si="8"/>
        <v>233</v>
      </c>
    </row>
    <row r="147" spans="1:9">
      <c r="A147" s="3484">
        <v>146</v>
      </c>
      <c r="B147" s="3485" t="s">
        <v>3768</v>
      </c>
      <c r="C147" s="3486"/>
      <c r="D147" s="3487">
        <v>109.4</v>
      </c>
      <c r="E147" s="3485">
        <v>90.09</v>
      </c>
      <c r="F147" s="3488">
        <v>19.309999999999999</v>
      </c>
      <c r="G147" s="3486" t="s">
        <v>3623</v>
      </c>
      <c r="I147" s="3483">
        <f t="shared" ca="1" si="8"/>
        <v>303</v>
      </c>
    </row>
    <row r="148" spans="1:9">
      <c r="A148" s="3484">
        <v>147</v>
      </c>
      <c r="B148" s="3485" t="s">
        <v>3769</v>
      </c>
      <c r="C148" s="3486"/>
      <c r="D148" s="3487">
        <v>109.4</v>
      </c>
      <c r="E148" s="3485">
        <v>90.09</v>
      </c>
      <c r="F148" s="3488">
        <v>19.309999999999999</v>
      </c>
      <c r="G148" s="3486" t="s">
        <v>3623</v>
      </c>
      <c r="I148" s="3483">
        <f t="shared" ca="1" si="8"/>
        <v>303</v>
      </c>
    </row>
    <row r="149" spans="1:9">
      <c r="A149" s="3484">
        <v>148</v>
      </c>
      <c r="B149" s="3485" t="s">
        <v>3770</v>
      </c>
      <c r="C149" s="3486"/>
      <c r="D149" s="3485">
        <v>84.14</v>
      </c>
      <c r="E149" s="3487">
        <v>69.290000000000006</v>
      </c>
      <c r="F149" s="3488">
        <v>14.85</v>
      </c>
      <c r="G149" s="3486" t="s">
        <v>3623</v>
      </c>
      <c r="I149" s="3483">
        <f t="shared" ca="1" si="8"/>
        <v>233</v>
      </c>
    </row>
    <row r="150" spans="1:9">
      <c r="A150" s="3484">
        <v>149</v>
      </c>
      <c r="B150" s="3485" t="s">
        <v>3771</v>
      </c>
      <c r="C150" s="3486"/>
      <c r="D150" s="3487">
        <v>109.4</v>
      </c>
      <c r="E150" s="3487">
        <v>90.09</v>
      </c>
      <c r="F150" s="3488">
        <v>19.309999999999999</v>
      </c>
      <c r="G150" s="3486" t="s">
        <v>3623</v>
      </c>
      <c r="I150" s="3483">
        <f t="shared" ca="1" si="8"/>
        <v>303</v>
      </c>
    </row>
    <row r="151" spans="1:9">
      <c r="A151" s="3484">
        <v>150</v>
      </c>
      <c r="B151" s="3485" t="s">
        <v>3772</v>
      </c>
      <c r="C151" s="3486"/>
      <c r="D151" s="3485">
        <v>84.14</v>
      </c>
      <c r="E151" s="3487">
        <v>69.290000000000006</v>
      </c>
      <c r="F151" s="3488">
        <v>14.85</v>
      </c>
      <c r="G151" s="3486" t="s">
        <v>3623</v>
      </c>
      <c r="I151" s="3483">
        <f t="shared" ca="1" si="8"/>
        <v>233</v>
      </c>
    </row>
    <row r="152" spans="1:9">
      <c r="A152" s="3484">
        <v>151</v>
      </c>
      <c r="B152" s="3485" t="s">
        <v>3773</v>
      </c>
      <c r="C152" s="3486"/>
      <c r="D152" s="3487">
        <v>109.4</v>
      </c>
      <c r="E152" s="3485">
        <v>90.09</v>
      </c>
      <c r="F152" s="3488">
        <v>19.309999999999999</v>
      </c>
      <c r="G152" s="3486" t="s">
        <v>3623</v>
      </c>
      <c r="I152" s="3483">
        <f t="shared" ca="1" si="8"/>
        <v>303</v>
      </c>
    </row>
    <row r="153" spans="1:9">
      <c r="A153" s="3484">
        <v>152</v>
      </c>
      <c r="B153" s="3485" t="s">
        <v>3774</v>
      </c>
      <c r="C153" s="3486"/>
      <c r="D153" s="3485">
        <v>84.14</v>
      </c>
      <c r="E153" s="3487">
        <v>69.290000000000006</v>
      </c>
      <c r="F153" s="3488">
        <v>14.85</v>
      </c>
      <c r="G153" s="3486" t="s">
        <v>3623</v>
      </c>
      <c r="I153" s="3483">
        <f t="shared" ca="1" si="8"/>
        <v>233</v>
      </c>
    </row>
    <row r="154" spans="1:9">
      <c r="A154" s="3484">
        <v>153</v>
      </c>
      <c r="B154" s="3485" t="s">
        <v>3775</v>
      </c>
      <c r="C154" s="3486"/>
      <c r="D154" s="3487">
        <v>109.4</v>
      </c>
      <c r="E154" s="3487">
        <v>90.09</v>
      </c>
      <c r="F154" s="3488">
        <v>19.309999999999999</v>
      </c>
      <c r="G154" s="3486" t="s">
        <v>3623</v>
      </c>
      <c r="I154" s="3483">
        <f t="shared" ca="1" si="8"/>
        <v>303</v>
      </c>
    </row>
    <row r="155" spans="1:9">
      <c r="A155" s="3484">
        <v>154</v>
      </c>
      <c r="B155" s="3485" t="s">
        <v>3776</v>
      </c>
      <c r="C155" s="3486"/>
      <c r="D155" s="3485">
        <v>84.14</v>
      </c>
      <c r="E155" s="3487">
        <v>69.290000000000006</v>
      </c>
      <c r="F155" s="3488">
        <v>14.85</v>
      </c>
      <c r="G155" s="3486" t="s">
        <v>3623</v>
      </c>
      <c r="I155" s="3483">
        <f t="shared" ca="1" si="8"/>
        <v>233</v>
      </c>
    </row>
    <row r="156" spans="1:9">
      <c r="A156" s="3484">
        <v>155</v>
      </c>
      <c r="B156" s="3485" t="s">
        <v>3777</v>
      </c>
      <c r="C156" s="3486"/>
      <c r="D156" s="3487">
        <v>109.4</v>
      </c>
      <c r="E156" s="3485">
        <v>90.09</v>
      </c>
      <c r="F156" s="3488">
        <v>19.309999999999999</v>
      </c>
      <c r="G156" s="3486" t="s">
        <v>3623</v>
      </c>
      <c r="I156" s="3483">
        <f t="shared" ca="1" si="8"/>
        <v>303</v>
      </c>
    </row>
    <row r="157" spans="1:9">
      <c r="A157" s="3484">
        <v>156</v>
      </c>
      <c r="B157" s="3485" t="s">
        <v>3778</v>
      </c>
      <c r="C157" s="3486"/>
      <c r="D157" s="3485">
        <v>84.14</v>
      </c>
      <c r="E157" s="3487">
        <v>69.290000000000006</v>
      </c>
      <c r="F157" s="3488">
        <v>14.85</v>
      </c>
      <c r="G157" s="3486" t="s">
        <v>3623</v>
      </c>
      <c r="I157" s="3483">
        <f t="shared" ca="1" si="8"/>
        <v>233</v>
      </c>
    </row>
    <row r="158" spans="1:9">
      <c r="A158" s="3484">
        <v>157</v>
      </c>
      <c r="B158" s="3485" t="s">
        <v>3779</v>
      </c>
      <c r="C158" s="3486"/>
      <c r="D158" s="3487">
        <v>109.4</v>
      </c>
      <c r="E158" s="3487">
        <v>90.09</v>
      </c>
      <c r="F158" s="3488">
        <v>19.309999999999999</v>
      </c>
      <c r="G158" s="3486" t="s">
        <v>3623</v>
      </c>
      <c r="I158" s="3483">
        <f t="shared" ca="1" si="8"/>
        <v>303</v>
      </c>
    </row>
    <row r="159" spans="1:9">
      <c r="A159" s="3484">
        <v>158</v>
      </c>
      <c r="B159" s="3485" t="s">
        <v>3780</v>
      </c>
      <c r="C159" s="3486"/>
      <c r="D159" s="3485">
        <v>84.14</v>
      </c>
      <c r="E159" s="3487">
        <v>69.290000000000006</v>
      </c>
      <c r="F159" s="3488">
        <v>14.85</v>
      </c>
      <c r="G159" s="3486" t="s">
        <v>3623</v>
      </c>
      <c r="I159" s="3483">
        <f t="shared" ca="1" si="8"/>
        <v>233</v>
      </c>
    </row>
    <row r="160" spans="1:9">
      <c r="A160" s="3484">
        <v>159</v>
      </c>
      <c r="B160" s="3485" t="s">
        <v>3781</v>
      </c>
      <c r="C160" s="3486"/>
      <c r="D160" s="3487">
        <v>109.4</v>
      </c>
      <c r="E160" s="3485">
        <v>90.09</v>
      </c>
      <c r="F160" s="3488">
        <v>19.309999999999999</v>
      </c>
      <c r="G160" s="3486" t="s">
        <v>3623</v>
      </c>
      <c r="I160" s="3483">
        <f t="shared" ca="1" si="8"/>
        <v>303</v>
      </c>
    </row>
    <row r="161" spans="1:9">
      <c r="A161" s="3484">
        <v>160</v>
      </c>
      <c r="B161" s="3485" t="s">
        <v>3782</v>
      </c>
      <c r="C161" s="3486"/>
      <c r="D161" s="3485">
        <v>84.14</v>
      </c>
      <c r="E161" s="3487">
        <v>69.290000000000006</v>
      </c>
      <c r="F161" s="3488">
        <v>14.85</v>
      </c>
      <c r="G161" s="3486" t="s">
        <v>3623</v>
      </c>
      <c r="I161" s="3483">
        <f t="shared" ca="1" si="8"/>
        <v>233</v>
      </c>
    </row>
    <row r="162" spans="1:9">
      <c r="A162" s="3484">
        <v>161</v>
      </c>
      <c r="B162" s="3485" t="s">
        <v>3783</v>
      </c>
      <c r="C162" s="3486"/>
      <c r="D162" s="3487">
        <v>109.4</v>
      </c>
      <c r="E162" s="3487">
        <v>90.09</v>
      </c>
      <c r="F162" s="3488">
        <v>19.309999999999999</v>
      </c>
      <c r="G162" s="3486" t="s">
        <v>3623</v>
      </c>
      <c r="I162" s="3483">
        <f t="shared" ca="1" si="8"/>
        <v>303</v>
      </c>
    </row>
    <row r="163" spans="1:9">
      <c r="A163" s="3484">
        <v>162</v>
      </c>
      <c r="B163" s="3485" t="s">
        <v>3784</v>
      </c>
      <c r="C163" s="3486"/>
      <c r="D163" s="3485">
        <v>84.14</v>
      </c>
      <c r="E163" s="3487">
        <v>69.290000000000006</v>
      </c>
      <c r="F163" s="3488">
        <v>14.85</v>
      </c>
      <c r="G163" s="3486" t="s">
        <v>3623</v>
      </c>
      <c r="I163" s="3483">
        <f t="shared" ca="1" si="8"/>
        <v>233</v>
      </c>
    </row>
    <row r="164" spans="1:9">
      <c r="A164" s="3484">
        <v>163</v>
      </c>
      <c r="B164" s="3485" t="s">
        <v>3785</v>
      </c>
      <c r="C164" s="3486"/>
      <c r="D164" s="3487">
        <v>109.4</v>
      </c>
      <c r="E164" s="3485">
        <v>90.09</v>
      </c>
      <c r="F164" s="3488">
        <v>19.309999999999999</v>
      </c>
      <c r="G164" s="3486" t="s">
        <v>3623</v>
      </c>
      <c r="I164" s="3483">
        <f t="shared" ca="1" si="8"/>
        <v>303</v>
      </c>
    </row>
    <row r="165" spans="1:9">
      <c r="A165" s="3484">
        <v>164</v>
      </c>
      <c r="B165" s="3485" t="s">
        <v>3786</v>
      </c>
      <c r="C165" s="3486"/>
      <c r="D165" s="3485">
        <v>84.14</v>
      </c>
      <c r="E165" s="3487">
        <v>69.290000000000006</v>
      </c>
      <c r="F165" s="3488">
        <v>14.85</v>
      </c>
      <c r="G165" s="3486" t="s">
        <v>3623</v>
      </c>
      <c r="I165" s="3483">
        <f t="shared" ca="1" si="8"/>
        <v>233</v>
      </c>
    </row>
    <row r="166" spans="1:9">
      <c r="A166" s="3484">
        <v>165</v>
      </c>
      <c r="B166" s="3485" t="s">
        <v>3787</v>
      </c>
      <c r="C166" s="3486"/>
      <c r="D166" s="3487">
        <v>109.4</v>
      </c>
      <c r="E166" s="3487">
        <v>90.09</v>
      </c>
      <c r="F166" s="3488">
        <v>19.309999999999999</v>
      </c>
      <c r="G166" s="3486" t="s">
        <v>3623</v>
      </c>
      <c r="I166" s="3483">
        <f t="shared" ca="1" si="8"/>
        <v>303</v>
      </c>
    </row>
    <row r="167" spans="1:9">
      <c r="A167" s="3484">
        <v>166</v>
      </c>
      <c r="B167" s="3485" t="s">
        <v>3788</v>
      </c>
      <c r="C167" s="3486"/>
      <c r="D167" s="3485">
        <v>84.14</v>
      </c>
      <c r="E167" s="3487">
        <v>69.290000000000006</v>
      </c>
      <c r="F167" s="3488">
        <v>14.85</v>
      </c>
      <c r="G167" s="3486" t="s">
        <v>3623</v>
      </c>
      <c r="I167" s="3483">
        <f t="shared" ca="1" si="8"/>
        <v>233</v>
      </c>
    </row>
    <row r="168" spans="1:9">
      <c r="A168" s="3484">
        <v>167</v>
      </c>
      <c r="B168" s="3485" t="s">
        <v>3789</v>
      </c>
      <c r="C168" s="3486"/>
      <c r="D168" s="3487">
        <v>109.4</v>
      </c>
      <c r="E168" s="3485">
        <v>90.09</v>
      </c>
      <c r="F168" s="3488">
        <v>19.309999999999999</v>
      </c>
      <c r="G168" s="3486" t="s">
        <v>3623</v>
      </c>
      <c r="I168" s="3483">
        <f t="shared" ca="1" si="8"/>
        <v>303</v>
      </c>
    </row>
    <row r="169" spans="1:9">
      <c r="A169" s="3484">
        <v>168</v>
      </c>
      <c r="B169" s="3485" t="s">
        <v>3790</v>
      </c>
      <c r="C169" s="3486"/>
      <c r="D169" s="3485">
        <v>84.14</v>
      </c>
      <c r="E169" s="3487">
        <v>69.290000000000006</v>
      </c>
      <c r="F169" s="3488">
        <v>14.85</v>
      </c>
      <c r="G169" s="3486" t="s">
        <v>3623</v>
      </c>
      <c r="I169" s="3483">
        <f t="shared" ca="1" si="8"/>
        <v>233</v>
      </c>
    </row>
    <row r="170" spans="1:9">
      <c r="A170" s="3484">
        <v>169</v>
      </c>
      <c r="B170" s="3485" t="s">
        <v>3791</v>
      </c>
      <c r="C170" s="3486"/>
      <c r="D170" s="3485">
        <v>83.01</v>
      </c>
      <c r="E170" s="3487">
        <v>66.39</v>
      </c>
      <c r="F170" s="3488">
        <v>16.62</v>
      </c>
      <c r="G170" s="3486" t="s">
        <v>3623</v>
      </c>
      <c r="I170" s="3483">
        <f t="shared" ca="1" si="8"/>
        <v>230</v>
      </c>
    </row>
    <row r="171" spans="1:9">
      <c r="A171" s="3484">
        <v>170</v>
      </c>
      <c r="B171" s="3485" t="s">
        <v>3792</v>
      </c>
      <c r="C171" s="3486"/>
      <c r="D171" s="3485">
        <v>82.65</v>
      </c>
      <c r="E171" s="3487">
        <v>66.099999999999994</v>
      </c>
      <c r="F171" s="3488">
        <v>16.55</v>
      </c>
      <c r="G171" s="3486" t="s">
        <v>3623</v>
      </c>
      <c r="I171" s="3483">
        <f t="shared" ca="1" si="8"/>
        <v>229</v>
      </c>
    </row>
    <row r="172" spans="1:9">
      <c r="A172" s="3484">
        <v>171</v>
      </c>
      <c r="B172" s="3485" t="s">
        <v>3793</v>
      </c>
      <c r="C172" s="3486"/>
      <c r="D172" s="3485">
        <v>83.01</v>
      </c>
      <c r="E172" s="3487">
        <v>66.39</v>
      </c>
      <c r="F172" s="3488">
        <v>16.62</v>
      </c>
      <c r="G172" s="3486" t="s">
        <v>3623</v>
      </c>
      <c r="I172" s="3483">
        <f t="shared" ca="1" si="8"/>
        <v>230</v>
      </c>
    </row>
    <row r="173" spans="1:9">
      <c r="A173" s="3484">
        <v>172</v>
      </c>
      <c r="B173" s="3485" t="s">
        <v>3794</v>
      </c>
      <c r="C173" s="3486"/>
      <c r="D173" s="3485">
        <v>82.65</v>
      </c>
      <c r="E173" s="3487">
        <v>66.099999999999994</v>
      </c>
      <c r="F173" s="3488">
        <v>16.55</v>
      </c>
      <c r="G173" s="3486" t="s">
        <v>3623</v>
      </c>
      <c r="I173" s="3483">
        <f t="shared" ca="1" si="8"/>
        <v>229</v>
      </c>
    </row>
    <row r="174" spans="1:9">
      <c r="A174" s="3484">
        <v>173</v>
      </c>
      <c r="B174" s="3485" t="s">
        <v>3795</v>
      </c>
      <c r="C174" s="3486"/>
      <c r="D174" s="3485">
        <v>83.01</v>
      </c>
      <c r="E174" s="3487">
        <v>66.39</v>
      </c>
      <c r="F174" s="3488">
        <v>16.62</v>
      </c>
      <c r="G174" s="3486" t="s">
        <v>3623</v>
      </c>
      <c r="I174" s="3483">
        <f t="shared" ca="1" si="8"/>
        <v>230</v>
      </c>
    </row>
    <row r="175" spans="1:9">
      <c r="A175" s="3484">
        <v>174</v>
      </c>
      <c r="B175" s="3485" t="s">
        <v>3796</v>
      </c>
      <c r="C175" s="3486"/>
      <c r="D175" s="3485">
        <v>82.65</v>
      </c>
      <c r="E175" s="3487">
        <v>66.099999999999994</v>
      </c>
      <c r="F175" s="3488">
        <v>16.55</v>
      </c>
      <c r="G175" s="3486" t="s">
        <v>3623</v>
      </c>
      <c r="I175" s="3483">
        <f t="shared" ca="1" si="8"/>
        <v>229</v>
      </c>
    </row>
    <row r="176" spans="1:9">
      <c r="A176" s="3484">
        <v>175</v>
      </c>
      <c r="B176" s="3485" t="s">
        <v>3797</v>
      </c>
      <c r="C176" s="3486"/>
      <c r="D176" s="3485">
        <v>83.01</v>
      </c>
      <c r="E176" s="3487">
        <v>66.39</v>
      </c>
      <c r="F176" s="3488">
        <v>16.62</v>
      </c>
      <c r="G176" s="3486" t="s">
        <v>3623</v>
      </c>
      <c r="I176" s="3483">
        <f t="shared" ca="1" si="8"/>
        <v>230</v>
      </c>
    </row>
    <row r="177" spans="1:9">
      <c r="A177" s="3484">
        <v>176</v>
      </c>
      <c r="B177" s="3485" t="s">
        <v>3798</v>
      </c>
      <c r="C177" s="3486"/>
      <c r="D177" s="3485">
        <v>82.65</v>
      </c>
      <c r="E177" s="3487">
        <v>66.099999999999994</v>
      </c>
      <c r="F177" s="3488">
        <v>16.55</v>
      </c>
      <c r="G177" s="3486" t="s">
        <v>3623</v>
      </c>
      <c r="I177" s="3483">
        <f t="shared" ca="1" si="8"/>
        <v>229</v>
      </c>
    </row>
    <row r="178" spans="1:9">
      <c r="A178" s="3484">
        <v>177</v>
      </c>
      <c r="B178" s="3485" t="s">
        <v>3799</v>
      </c>
      <c r="C178" s="3486"/>
      <c r="D178" s="3485">
        <v>83.01</v>
      </c>
      <c r="E178" s="3487">
        <v>66.39</v>
      </c>
      <c r="F178" s="3488">
        <v>16.62</v>
      </c>
      <c r="G178" s="3486" t="s">
        <v>3623</v>
      </c>
      <c r="I178" s="3483">
        <f t="shared" ca="1" si="8"/>
        <v>230</v>
      </c>
    </row>
    <row r="179" spans="1:9">
      <c r="A179" s="3484">
        <v>178</v>
      </c>
      <c r="B179" s="3485" t="s">
        <v>3800</v>
      </c>
      <c r="C179" s="3486"/>
      <c r="D179" s="3485">
        <v>82.65</v>
      </c>
      <c r="E179" s="3487">
        <v>66.099999999999994</v>
      </c>
      <c r="F179" s="3488">
        <v>16.55</v>
      </c>
      <c r="G179" s="3486" t="s">
        <v>3623</v>
      </c>
      <c r="I179" s="3483">
        <f t="shared" ca="1" si="8"/>
        <v>229</v>
      </c>
    </row>
    <row r="180" spans="1:9">
      <c r="A180" s="3484">
        <v>179</v>
      </c>
      <c r="B180" s="3485" t="s">
        <v>3801</v>
      </c>
      <c r="C180" s="3486"/>
      <c r="D180" s="3485">
        <v>83.01</v>
      </c>
      <c r="E180" s="3487">
        <v>66.39</v>
      </c>
      <c r="F180" s="3488">
        <v>16.62</v>
      </c>
      <c r="G180" s="3486" t="s">
        <v>3623</v>
      </c>
      <c r="I180" s="3483">
        <f t="shared" ca="1" si="8"/>
        <v>230</v>
      </c>
    </row>
    <row r="181" spans="1:9">
      <c r="A181" s="3484">
        <v>180</v>
      </c>
      <c r="B181" s="3485" t="s">
        <v>3802</v>
      </c>
      <c r="C181" s="3486"/>
      <c r="D181" s="3485">
        <v>82.65</v>
      </c>
      <c r="E181" s="3487">
        <v>66.099999999999994</v>
      </c>
      <c r="F181" s="3488">
        <v>16.55</v>
      </c>
      <c r="G181" s="3486" t="s">
        <v>3623</v>
      </c>
      <c r="I181" s="3483">
        <f t="shared" ca="1" si="8"/>
        <v>229</v>
      </c>
    </row>
    <row r="182" spans="1:9">
      <c r="A182" s="3484">
        <v>181</v>
      </c>
      <c r="B182" s="3485" t="s">
        <v>3803</v>
      </c>
      <c r="C182" s="3486"/>
      <c r="D182" s="3485">
        <v>83.01</v>
      </c>
      <c r="E182" s="3487">
        <v>66.39</v>
      </c>
      <c r="F182" s="3488">
        <v>16.62</v>
      </c>
      <c r="G182" s="3486" t="s">
        <v>3623</v>
      </c>
      <c r="I182" s="3483">
        <f t="shared" ca="1" si="8"/>
        <v>230</v>
      </c>
    </row>
    <row r="183" spans="1:9">
      <c r="A183" s="3484">
        <v>182</v>
      </c>
      <c r="B183" s="3485" t="s">
        <v>3804</v>
      </c>
      <c r="C183" s="3486"/>
      <c r="D183" s="3485">
        <v>82.65</v>
      </c>
      <c r="E183" s="3487">
        <v>66.099999999999994</v>
      </c>
      <c r="F183" s="3488">
        <v>16.55</v>
      </c>
      <c r="G183" s="3486" t="s">
        <v>3623</v>
      </c>
      <c r="I183" s="3483">
        <f t="shared" ca="1" si="8"/>
        <v>229</v>
      </c>
    </row>
    <row r="184" spans="1:9">
      <c r="A184" s="3484">
        <v>183</v>
      </c>
      <c r="B184" s="3485" t="s">
        <v>3805</v>
      </c>
      <c r="C184" s="3486"/>
      <c r="D184" s="3485">
        <v>83.01</v>
      </c>
      <c r="E184" s="3487">
        <v>66.39</v>
      </c>
      <c r="F184" s="3488">
        <v>16.62</v>
      </c>
      <c r="G184" s="3486" t="s">
        <v>3623</v>
      </c>
      <c r="I184" s="3483">
        <f t="shared" ca="1" si="8"/>
        <v>230</v>
      </c>
    </row>
    <row r="185" spans="1:9">
      <c r="A185" s="3484">
        <v>184</v>
      </c>
      <c r="B185" s="3485" t="s">
        <v>3806</v>
      </c>
      <c r="C185" s="3486"/>
      <c r="D185" s="3485">
        <v>82.65</v>
      </c>
      <c r="E185" s="3487">
        <v>66.099999999999994</v>
      </c>
      <c r="F185" s="3488">
        <v>16.55</v>
      </c>
      <c r="G185" s="3486" t="s">
        <v>3623</v>
      </c>
      <c r="I185" s="3483">
        <f t="shared" ca="1" si="8"/>
        <v>229</v>
      </c>
    </row>
    <row r="186" spans="1:9">
      <c r="A186" s="3484">
        <v>185</v>
      </c>
      <c r="B186" s="3485" t="s">
        <v>3807</v>
      </c>
      <c r="C186" s="3486"/>
      <c r="D186" s="3485">
        <v>83.01</v>
      </c>
      <c r="E186" s="3487">
        <v>66.39</v>
      </c>
      <c r="F186" s="3488">
        <v>16.62</v>
      </c>
      <c r="G186" s="3486" t="s">
        <v>3623</v>
      </c>
      <c r="I186" s="3483">
        <f t="shared" ca="1" si="8"/>
        <v>230</v>
      </c>
    </row>
    <row r="187" spans="1:9">
      <c r="A187" s="3484">
        <v>186</v>
      </c>
      <c r="B187" s="3485" t="s">
        <v>3808</v>
      </c>
      <c r="C187" s="3486"/>
      <c r="D187" s="3485">
        <v>82.65</v>
      </c>
      <c r="E187" s="3487">
        <v>66.099999999999994</v>
      </c>
      <c r="F187" s="3488">
        <v>16.55</v>
      </c>
      <c r="G187" s="3486" t="s">
        <v>3623</v>
      </c>
      <c r="I187" s="3483">
        <f t="shared" ca="1" si="8"/>
        <v>229</v>
      </c>
    </row>
    <row r="188" spans="1:9">
      <c r="A188" s="3484">
        <v>187</v>
      </c>
      <c r="B188" s="3485" t="s">
        <v>3809</v>
      </c>
      <c r="C188" s="3486"/>
      <c r="D188" s="3485">
        <v>83.01</v>
      </c>
      <c r="E188" s="3487">
        <v>66.39</v>
      </c>
      <c r="F188" s="3488">
        <v>16.62</v>
      </c>
      <c r="G188" s="3486" t="s">
        <v>3623</v>
      </c>
      <c r="I188" s="3483">
        <f t="shared" ca="1" si="8"/>
        <v>230</v>
      </c>
    </row>
    <row r="189" spans="1:9">
      <c r="A189" s="3484">
        <v>188</v>
      </c>
      <c r="B189" s="3485" t="s">
        <v>3810</v>
      </c>
      <c r="C189" s="3486"/>
      <c r="D189" s="3485">
        <v>82.65</v>
      </c>
      <c r="E189" s="3487">
        <v>66.099999999999994</v>
      </c>
      <c r="F189" s="3488">
        <v>16.55</v>
      </c>
      <c r="G189" s="3486" t="s">
        <v>3623</v>
      </c>
      <c r="I189" s="3483">
        <f t="shared" ca="1" si="8"/>
        <v>229</v>
      </c>
    </row>
    <row r="190" spans="1:9">
      <c r="A190" s="3484">
        <v>189</v>
      </c>
      <c r="B190" s="3485" t="s">
        <v>3811</v>
      </c>
      <c r="C190" s="3486"/>
      <c r="D190" s="3485">
        <v>82.65</v>
      </c>
      <c r="E190" s="3487">
        <v>66.099999999999994</v>
      </c>
      <c r="F190" s="3488">
        <v>16.55</v>
      </c>
      <c r="G190" s="3486" t="s">
        <v>3623</v>
      </c>
      <c r="I190" s="3483">
        <f t="shared" ca="1" si="8"/>
        <v>229</v>
      </c>
    </row>
    <row r="191" spans="1:9">
      <c r="A191" s="3484">
        <v>190</v>
      </c>
      <c r="B191" s="3485" t="s">
        <v>3812</v>
      </c>
      <c r="C191" s="3486"/>
      <c r="D191" s="3485">
        <v>86.58</v>
      </c>
      <c r="E191" s="3487">
        <v>69.25</v>
      </c>
      <c r="F191" s="3488">
        <v>17.329999999999998</v>
      </c>
      <c r="G191" s="3486" t="s">
        <v>3623</v>
      </c>
      <c r="I191" s="3483">
        <f t="shared" ca="1" si="8"/>
        <v>240</v>
      </c>
    </row>
    <row r="192" spans="1:9">
      <c r="A192" s="3484">
        <v>191</v>
      </c>
      <c r="B192" s="3485" t="s">
        <v>3813</v>
      </c>
      <c r="C192" s="3486"/>
      <c r="D192" s="3485">
        <v>82.65</v>
      </c>
      <c r="E192" s="3487">
        <v>66.099999999999994</v>
      </c>
      <c r="F192" s="3488">
        <v>16.55</v>
      </c>
      <c r="G192" s="3486" t="s">
        <v>3623</v>
      </c>
      <c r="I192" s="3483">
        <f t="shared" ca="1" si="8"/>
        <v>229</v>
      </c>
    </row>
    <row r="193" spans="1:9">
      <c r="A193" s="3484">
        <v>192</v>
      </c>
      <c r="B193" s="3485" t="s">
        <v>3814</v>
      </c>
      <c r="C193" s="3486"/>
      <c r="D193" s="3485">
        <v>86.58</v>
      </c>
      <c r="E193" s="3485">
        <v>69.25</v>
      </c>
      <c r="F193" s="3488">
        <v>17.329999999999998</v>
      </c>
      <c r="G193" s="3486" t="s">
        <v>3623</v>
      </c>
      <c r="I193" s="3483">
        <f t="shared" ca="1" si="8"/>
        <v>240</v>
      </c>
    </row>
    <row r="194" spans="1:9">
      <c r="A194" s="3484">
        <v>193</v>
      </c>
      <c r="B194" s="3485" t="s">
        <v>3815</v>
      </c>
      <c r="C194" s="3486"/>
      <c r="D194" s="3485">
        <v>82.65</v>
      </c>
      <c r="E194" s="3487">
        <v>66.099999999999994</v>
      </c>
      <c r="F194" s="3488">
        <v>16.55</v>
      </c>
      <c r="G194" s="3486" t="s">
        <v>3623</v>
      </c>
      <c r="I194" s="3483">
        <f t="shared" ca="1" si="8"/>
        <v>229</v>
      </c>
    </row>
    <row r="195" spans="1:9">
      <c r="A195" s="3484">
        <v>194</v>
      </c>
      <c r="B195" s="3485" t="s">
        <v>3816</v>
      </c>
      <c r="C195" s="3486"/>
      <c r="D195" s="3485">
        <v>86.58</v>
      </c>
      <c r="E195" s="3487">
        <v>69.25</v>
      </c>
      <c r="F195" s="3488">
        <v>17.329999999999998</v>
      </c>
      <c r="G195" s="3486" t="s">
        <v>3623</v>
      </c>
      <c r="I195" s="3483">
        <f t="shared" ref="I195:I258" ca="1" si="9">ROUND(D195*$H$2/10000,0)</f>
        <v>240</v>
      </c>
    </row>
    <row r="196" spans="1:9">
      <c r="A196" s="3484">
        <v>195</v>
      </c>
      <c r="B196" s="3485" t="s">
        <v>3817</v>
      </c>
      <c r="C196" s="3486"/>
      <c r="D196" s="3485">
        <v>82.65</v>
      </c>
      <c r="E196" s="3487">
        <v>66.099999999999994</v>
      </c>
      <c r="F196" s="3488">
        <v>16.55</v>
      </c>
      <c r="G196" s="3486" t="s">
        <v>3623</v>
      </c>
      <c r="I196" s="3483">
        <f t="shared" ca="1" si="9"/>
        <v>229</v>
      </c>
    </row>
    <row r="197" spans="1:9">
      <c r="A197" s="3484">
        <v>196</v>
      </c>
      <c r="B197" s="3485" t="s">
        <v>3818</v>
      </c>
      <c r="C197" s="3486"/>
      <c r="D197" s="3485">
        <v>86.58</v>
      </c>
      <c r="E197" s="3485">
        <v>69.25</v>
      </c>
      <c r="F197" s="3488">
        <v>17.329999999999998</v>
      </c>
      <c r="G197" s="3486" t="s">
        <v>3623</v>
      </c>
      <c r="I197" s="3483">
        <f t="shared" ca="1" si="9"/>
        <v>240</v>
      </c>
    </row>
    <row r="198" spans="1:9">
      <c r="A198" s="3484">
        <v>197</v>
      </c>
      <c r="B198" s="3485" t="s">
        <v>3819</v>
      </c>
      <c r="C198" s="3486"/>
      <c r="D198" s="3485">
        <v>82.65</v>
      </c>
      <c r="E198" s="3487">
        <v>66.099999999999994</v>
      </c>
      <c r="F198" s="3488">
        <v>16.55</v>
      </c>
      <c r="G198" s="3486" t="s">
        <v>3623</v>
      </c>
      <c r="I198" s="3483">
        <f t="shared" ca="1" si="9"/>
        <v>229</v>
      </c>
    </row>
    <row r="199" spans="1:9">
      <c r="A199" s="3484">
        <v>198</v>
      </c>
      <c r="B199" s="3485" t="s">
        <v>3820</v>
      </c>
      <c r="C199" s="3486"/>
      <c r="D199" s="3485">
        <v>86.58</v>
      </c>
      <c r="E199" s="3487">
        <v>69.25</v>
      </c>
      <c r="F199" s="3488">
        <v>17.329999999999998</v>
      </c>
      <c r="G199" s="3486" t="s">
        <v>3623</v>
      </c>
      <c r="I199" s="3483">
        <f t="shared" ca="1" si="9"/>
        <v>240</v>
      </c>
    </row>
    <row r="200" spans="1:9">
      <c r="A200" s="3484">
        <v>199</v>
      </c>
      <c r="B200" s="3485" t="s">
        <v>3821</v>
      </c>
      <c r="C200" s="3486"/>
      <c r="D200" s="3485">
        <v>82.65</v>
      </c>
      <c r="E200" s="3487">
        <v>66.099999999999994</v>
      </c>
      <c r="F200" s="3488">
        <v>16.55</v>
      </c>
      <c r="G200" s="3486" t="s">
        <v>3623</v>
      </c>
      <c r="I200" s="3483">
        <f t="shared" ca="1" si="9"/>
        <v>229</v>
      </c>
    </row>
    <row r="201" spans="1:9">
      <c r="A201" s="3484">
        <v>200</v>
      </c>
      <c r="B201" s="3485" t="s">
        <v>3822</v>
      </c>
      <c r="C201" s="3486"/>
      <c r="D201" s="3485">
        <v>86.58</v>
      </c>
      <c r="E201" s="3485">
        <v>69.25</v>
      </c>
      <c r="F201" s="3488">
        <v>17.329999999999998</v>
      </c>
      <c r="G201" s="3486" t="s">
        <v>3623</v>
      </c>
      <c r="I201" s="3483">
        <f t="shared" ca="1" si="9"/>
        <v>240</v>
      </c>
    </row>
    <row r="202" spans="1:9">
      <c r="A202" s="3484">
        <v>201</v>
      </c>
      <c r="B202" s="3485" t="s">
        <v>3823</v>
      </c>
      <c r="C202" s="3486"/>
      <c r="D202" s="3485">
        <v>82.65</v>
      </c>
      <c r="E202" s="3487">
        <v>66.099999999999994</v>
      </c>
      <c r="F202" s="3488">
        <v>16.55</v>
      </c>
      <c r="G202" s="3486" t="s">
        <v>3623</v>
      </c>
      <c r="I202" s="3483">
        <f t="shared" ca="1" si="9"/>
        <v>229</v>
      </c>
    </row>
    <row r="203" spans="1:9">
      <c r="A203" s="3484">
        <v>202</v>
      </c>
      <c r="B203" s="3485" t="s">
        <v>3824</v>
      </c>
      <c r="C203" s="3486"/>
      <c r="D203" s="3485">
        <v>86.58</v>
      </c>
      <c r="E203" s="3487">
        <v>69.25</v>
      </c>
      <c r="F203" s="3488">
        <v>17.329999999999998</v>
      </c>
      <c r="G203" s="3486" t="s">
        <v>3623</v>
      </c>
      <c r="I203" s="3483">
        <f t="shared" ca="1" si="9"/>
        <v>240</v>
      </c>
    </row>
    <row r="204" spans="1:9">
      <c r="A204" s="3484">
        <v>203</v>
      </c>
      <c r="B204" s="3485" t="s">
        <v>3825</v>
      </c>
      <c r="C204" s="3486"/>
      <c r="D204" s="3485">
        <v>82.65</v>
      </c>
      <c r="E204" s="3487">
        <v>66.099999999999994</v>
      </c>
      <c r="F204" s="3488">
        <v>16.55</v>
      </c>
      <c r="G204" s="3486" t="s">
        <v>3623</v>
      </c>
      <c r="I204" s="3483">
        <f t="shared" ca="1" si="9"/>
        <v>229</v>
      </c>
    </row>
    <row r="205" spans="1:9">
      <c r="A205" s="3484">
        <v>204</v>
      </c>
      <c r="B205" s="3485" t="s">
        <v>3826</v>
      </c>
      <c r="C205" s="3486"/>
      <c r="D205" s="3485">
        <v>86.58</v>
      </c>
      <c r="E205" s="3485">
        <v>69.25</v>
      </c>
      <c r="F205" s="3488">
        <v>17.329999999999998</v>
      </c>
      <c r="G205" s="3486" t="s">
        <v>3623</v>
      </c>
      <c r="I205" s="3483">
        <f t="shared" ca="1" si="9"/>
        <v>240</v>
      </c>
    </row>
    <row r="206" spans="1:9">
      <c r="A206" s="3484">
        <v>205</v>
      </c>
      <c r="B206" s="3485" t="s">
        <v>3827</v>
      </c>
      <c r="C206" s="3486"/>
      <c r="D206" s="3485">
        <v>82.65</v>
      </c>
      <c r="E206" s="3487">
        <v>66.099999999999994</v>
      </c>
      <c r="F206" s="3488">
        <v>16.55</v>
      </c>
      <c r="G206" s="3486" t="s">
        <v>3623</v>
      </c>
      <c r="I206" s="3483">
        <f t="shared" ca="1" si="9"/>
        <v>229</v>
      </c>
    </row>
    <row r="207" spans="1:9">
      <c r="A207" s="3484">
        <v>206</v>
      </c>
      <c r="B207" s="3485" t="s">
        <v>3828</v>
      </c>
      <c r="C207" s="3486"/>
      <c r="D207" s="3485">
        <v>86.58</v>
      </c>
      <c r="E207" s="3487">
        <v>69.25</v>
      </c>
      <c r="F207" s="3488">
        <v>17.329999999999998</v>
      </c>
      <c r="G207" s="3486" t="s">
        <v>3623</v>
      </c>
      <c r="I207" s="3483">
        <f t="shared" ca="1" si="9"/>
        <v>240</v>
      </c>
    </row>
    <row r="208" spans="1:9">
      <c r="A208" s="3484">
        <v>207</v>
      </c>
      <c r="B208" s="3490" t="s">
        <v>3829</v>
      </c>
      <c r="C208" s="3486"/>
      <c r="D208" s="3485">
        <v>82.65</v>
      </c>
      <c r="E208" s="3487">
        <v>66.099999999999994</v>
      </c>
      <c r="F208" s="3488">
        <v>16.55</v>
      </c>
      <c r="G208" s="3486" t="s">
        <v>3623</v>
      </c>
      <c r="I208" s="3483">
        <f t="shared" ca="1" si="9"/>
        <v>229</v>
      </c>
    </row>
    <row r="209" spans="1:9">
      <c r="A209" s="3484">
        <v>208</v>
      </c>
      <c r="B209" s="3485" t="s">
        <v>3830</v>
      </c>
      <c r="C209" s="3486"/>
      <c r="D209" s="3485">
        <v>86.58</v>
      </c>
      <c r="E209" s="3487">
        <v>69.25</v>
      </c>
      <c r="F209" s="3488">
        <v>17.329999999999998</v>
      </c>
      <c r="G209" s="3486" t="s">
        <v>3623</v>
      </c>
      <c r="I209" s="3483">
        <f t="shared" ca="1" si="9"/>
        <v>240</v>
      </c>
    </row>
    <row r="210" spans="1:9">
      <c r="A210" s="3484">
        <v>209</v>
      </c>
      <c r="B210" s="3485" t="s">
        <v>3831</v>
      </c>
      <c r="C210" s="3486"/>
      <c r="D210" s="3485">
        <v>83.37</v>
      </c>
      <c r="E210" s="3487">
        <v>66.39</v>
      </c>
      <c r="F210" s="3488">
        <v>16.98</v>
      </c>
      <c r="G210" s="3486" t="s">
        <v>3623</v>
      </c>
      <c r="I210" s="3483">
        <f t="shared" ca="1" si="9"/>
        <v>231</v>
      </c>
    </row>
    <row r="211" spans="1:9">
      <c r="A211" s="3484">
        <v>210</v>
      </c>
      <c r="B211" s="3485" t="s">
        <v>3832</v>
      </c>
      <c r="C211" s="3486"/>
      <c r="D211" s="3485">
        <v>60.82</v>
      </c>
      <c r="E211" s="3487">
        <v>48.43</v>
      </c>
      <c r="F211" s="3488">
        <v>12.39</v>
      </c>
      <c r="G211" s="3486" t="s">
        <v>3623</v>
      </c>
      <c r="I211" s="3483">
        <f t="shared" ca="1" si="9"/>
        <v>168</v>
      </c>
    </row>
    <row r="212" spans="1:9">
      <c r="A212" s="3484">
        <v>211</v>
      </c>
      <c r="B212" s="3485" t="s">
        <v>3833</v>
      </c>
      <c r="C212" s="3486"/>
      <c r="D212" s="3485">
        <v>83.37</v>
      </c>
      <c r="E212" s="3487">
        <v>66.39</v>
      </c>
      <c r="F212" s="3488">
        <v>16.98</v>
      </c>
      <c r="G212" s="3486" t="s">
        <v>3623</v>
      </c>
      <c r="I212" s="3483">
        <f t="shared" ca="1" si="9"/>
        <v>231</v>
      </c>
    </row>
    <row r="213" spans="1:9">
      <c r="A213" s="3484">
        <v>212</v>
      </c>
      <c r="B213" s="3485" t="s">
        <v>3834</v>
      </c>
      <c r="C213" s="3486"/>
      <c r="D213" s="3485">
        <v>83.01</v>
      </c>
      <c r="E213" s="3487">
        <v>66.099999999999994</v>
      </c>
      <c r="F213" s="3488">
        <v>16.91</v>
      </c>
      <c r="G213" s="3486" t="s">
        <v>3623</v>
      </c>
      <c r="I213" s="3483">
        <f t="shared" ca="1" si="9"/>
        <v>230</v>
      </c>
    </row>
    <row r="214" spans="1:9">
      <c r="A214" s="3484">
        <v>213</v>
      </c>
      <c r="B214" s="3485" t="s">
        <v>3835</v>
      </c>
      <c r="C214" s="3486"/>
      <c r="D214" s="3485">
        <v>83.37</v>
      </c>
      <c r="E214" s="3487">
        <v>66.39</v>
      </c>
      <c r="F214" s="3488">
        <v>16.98</v>
      </c>
      <c r="G214" s="3486" t="s">
        <v>3623</v>
      </c>
      <c r="I214" s="3483">
        <f t="shared" ca="1" si="9"/>
        <v>231</v>
      </c>
    </row>
    <row r="215" spans="1:9">
      <c r="A215" s="3484">
        <v>214</v>
      </c>
      <c r="B215" s="3485" t="s">
        <v>3836</v>
      </c>
      <c r="C215" s="3486"/>
      <c r="D215" s="3485">
        <v>83.01</v>
      </c>
      <c r="E215" s="3487">
        <v>66.099999999999994</v>
      </c>
      <c r="F215" s="3488">
        <v>16.91</v>
      </c>
      <c r="G215" s="3486" t="s">
        <v>3623</v>
      </c>
      <c r="I215" s="3483">
        <f t="shared" ca="1" si="9"/>
        <v>230</v>
      </c>
    </row>
    <row r="216" spans="1:9">
      <c r="A216" s="3484">
        <v>215</v>
      </c>
      <c r="B216" s="3485" t="s">
        <v>3837</v>
      </c>
      <c r="C216" s="3486"/>
      <c r="D216" s="3485">
        <v>83.37</v>
      </c>
      <c r="E216" s="3487">
        <v>66.39</v>
      </c>
      <c r="F216" s="3488">
        <v>16.98</v>
      </c>
      <c r="G216" s="3486" t="s">
        <v>3623</v>
      </c>
      <c r="I216" s="3483">
        <f t="shared" ca="1" si="9"/>
        <v>231</v>
      </c>
    </row>
    <row r="217" spans="1:9">
      <c r="A217" s="3484">
        <v>216</v>
      </c>
      <c r="B217" s="3485" t="s">
        <v>3838</v>
      </c>
      <c r="C217" s="3486"/>
      <c r="D217" s="3485">
        <v>83.01</v>
      </c>
      <c r="E217" s="3487">
        <v>66.099999999999994</v>
      </c>
      <c r="F217" s="3488">
        <v>16.91</v>
      </c>
      <c r="G217" s="3486" t="s">
        <v>3623</v>
      </c>
      <c r="I217" s="3483">
        <f t="shared" ca="1" si="9"/>
        <v>230</v>
      </c>
    </row>
    <row r="218" spans="1:9">
      <c r="A218" s="3484">
        <v>217</v>
      </c>
      <c r="B218" s="3485" t="s">
        <v>3839</v>
      </c>
      <c r="C218" s="3486"/>
      <c r="D218" s="3485">
        <v>83.37</v>
      </c>
      <c r="E218" s="3487">
        <v>66.39</v>
      </c>
      <c r="F218" s="3488">
        <v>16.98</v>
      </c>
      <c r="G218" s="3486" t="s">
        <v>3623</v>
      </c>
      <c r="I218" s="3483">
        <f t="shared" ca="1" si="9"/>
        <v>231</v>
      </c>
    </row>
    <row r="219" spans="1:9">
      <c r="A219" s="3484">
        <v>218</v>
      </c>
      <c r="B219" s="3485" t="s">
        <v>3840</v>
      </c>
      <c r="C219" s="3486"/>
      <c r="D219" s="3485">
        <v>83.01</v>
      </c>
      <c r="E219" s="3487">
        <v>66.099999999999994</v>
      </c>
      <c r="F219" s="3488">
        <v>16.91</v>
      </c>
      <c r="G219" s="3486" t="s">
        <v>3623</v>
      </c>
      <c r="I219" s="3483">
        <f t="shared" ca="1" si="9"/>
        <v>230</v>
      </c>
    </row>
    <row r="220" spans="1:9">
      <c r="A220" s="3484">
        <v>219</v>
      </c>
      <c r="B220" s="3485" t="s">
        <v>3841</v>
      </c>
      <c r="C220" s="3486"/>
      <c r="D220" s="3485">
        <v>83.01</v>
      </c>
      <c r="E220" s="3487">
        <v>66.099999999999994</v>
      </c>
      <c r="F220" s="3488">
        <v>16.91</v>
      </c>
      <c r="G220" s="3486" t="s">
        <v>3623</v>
      </c>
      <c r="I220" s="3483">
        <f t="shared" ca="1" si="9"/>
        <v>230</v>
      </c>
    </row>
    <row r="221" spans="1:9">
      <c r="A221" s="3484">
        <v>220</v>
      </c>
      <c r="B221" s="3485" t="s">
        <v>3842</v>
      </c>
      <c r="C221" s="3486"/>
      <c r="D221" s="3485">
        <v>83.37</v>
      </c>
      <c r="E221" s="3487">
        <v>66.39</v>
      </c>
      <c r="F221" s="3488">
        <v>16.98</v>
      </c>
      <c r="G221" s="3486" t="s">
        <v>3623</v>
      </c>
      <c r="I221" s="3483">
        <f t="shared" ca="1" si="9"/>
        <v>231</v>
      </c>
    </row>
    <row r="222" spans="1:9">
      <c r="A222" s="3484">
        <v>221</v>
      </c>
      <c r="B222" s="3485" t="s">
        <v>3843</v>
      </c>
      <c r="C222" s="3486"/>
      <c r="D222" s="3485">
        <v>83.01</v>
      </c>
      <c r="E222" s="3487">
        <v>66.099999999999994</v>
      </c>
      <c r="F222" s="3488">
        <v>16.91</v>
      </c>
      <c r="G222" s="3486" t="s">
        <v>3623</v>
      </c>
      <c r="I222" s="3483">
        <f t="shared" ca="1" si="9"/>
        <v>230</v>
      </c>
    </row>
    <row r="223" spans="1:9">
      <c r="A223" s="3484">
        <v>222</v>
      </c>
      <c r="B223" s="3485" t="s">
        <v>3844</v>
      </c>
      <c r="C223" s="3486"/>
      <c r="D223" s="3485">
        <v>83.37</v>
      </c>
      <c r="E223" s="3487">
        <v>66.39</v>
      </c>
      <c r="F223" s="3488">
        <v>16.98</v>
      </c>
      <c r="G223" s="3486" t="s">
        <v>3623</v>
      </c>
      <c r="I223" s="3483">
        <f t="shared" ca="1" si="9"/>
        <v>231</v>
      </c>
    </row>
    <row r="224" spans="1:9">
      <c r="A224" s="3484">
        <v>223</v>
      </c>
      <c r="B224" s="3485" t="s">
        <v>3845</v>
      </c>
      <c r="C224" s="3486"/>
      <c r="D224" s="3485">
        <v>83.01</v>
      </c>
      <c r="E224" s="3487">
        <v>66.099999999999994</v>
      </c>
      <c r="F224" s="3488">
        <v>16.91</v>
      </c>
      <c r="G224" s="3486" t="s">
        <v>3623</v>
      </c>
      <c r="I224" s="3483">
        <f t="shared" ca="1" si="9"/>
        <v>230</v>
      </c>
    </row>
    <row r="225" spans="1:9">
      <c r="A225" s="3484">
        <v>224</v>
      </c>
      <c r="B225" s="3485" t="s">
        <v>3846</v>
      </c>
      <c r="C225" s="3486"/>
      <c r="D225" s="3485">
        <v>83.37</v>
      </c>
      <c r="E225" s="3487">
        <v>66.39</v>
      </c>
      <c r="F225" s="3488">
        <v>16.98</v>
      </c>
      <c r="G225" s="3486" t="s">
        <v>3623</v>
      </c>
      <c r="I225" s="3483">
        <f t="shared" ca="1" si="9"/>
        <v>231</v>
      </c>
    </row>
    <row r="226" spans="1:9">
      <c r="A226" s="3484">
        <v>225</v>
      </c>
      <c r="B226" s="3485" t="s">
        <v>3847</v>
      </c>
      <c r="C226" s="3486"/>
      <c r="D226" s="3485">
        <v>83.01</v>
      </c>
      <c r="E226" s="3487">
        <v>66.099999999999994</v>
      </c>
      <c r="F226" s="3488">
        <v>16.91</v>
      </c>
      <c r="G226" s="3486" t="s">
        <v>3623</v>
      </c>
      <c r="I226" s="3483">
        <f t="shared" ca="1" si="9"/>
        <v>230</v>
      </c>
    </row>
    <row r="227" spans="1:9">
      <c r="A227" s="3484">
        <v>226</v>
      </c>
      <c r="B227" s="3485" t="s">
        <v>3848</v>
      </c>
      <c r="C227" s="3486"/>
      <c r="D227" s="3485">
        <v>83.37</v>
      </c>
      <c r="E227" s="3487">
        <v>66.39</v>
      </c>
      <c r="F227" s="3488">
        <v>16.98</v>
      </c>
      <c r="G227" s="3486" t="s">
        <v>3623</v>
      </c>
      <c r="I227" s="3483">
        <f t="shared" ca="1" si="9"/>
        <v>231</v>
      </c>
    </row>
    <row r="228" spans="1:9">
      <c r="A228" s="3484">
        <v>227</v>
      </c>
      <c r="B228" s="3485" t="s">
        <v>3849</v>
      </c>
      <c r="C228" s="3486"/>
      <c r="D228" s="3485">
        <v>83.01</v>
      </c>
      <c r="E228" s="3487">
        <v>66.099999999999994</v>
      </c>
      <c r="F228" s="3488">
        <v>16.91</v>
      </c>
      <c r="G228" s="3486" t="s">
        <v>3623</v>
      </c>
      <c r="I228" s="3483">
        <f t="shared" ca="1" si="9"/>
        <v>230</v>
      </c>
    </row>
    <row r="229" spans="1:9">
      <c r="A229" s="3484">
        <v>228</v>
      </c>
      <c r="B229" s="3485" t="s">
        <v>3850</v>
      </c>
      <c r="C229" s="3486"/>
      <c r="D229" s="3485">
        <v>83.37</v>
      </c>
      <c r="E229" s="3487">
        <v>66.39</v>
      </c>
      <c r="F229" s="3488">
        <v>16.98</v>
      </c>
      <c r="G229" s="3486" t="s">
        <v>3623</v>
      </c>
      <c r="I229" s="3483">
        <f t="shared" ca="1" si="9"/>
        <v>231</v>
      </c>
    </row>
    <row r="230" spans="1:9">
      <c r="A230" s="3484">
        <v>229</v>
      </c>
      <c r="B230" s="3485" t="s">
        <v>3851</v>
      </c>
      <c r="C230" s="3486"/>
      <c r="D230" s="3485">
        <v>83.01</v>
      </c>
      <c r="E230" s="3487">
        <v>66.099999999999994</v>
      </c>
      <c r="F230" s="3488">
        <v>16.91</v>
      </c>
      <c r="G230" s="3486" t="s">
        <v>3623</v>
      </c>
      <c r="I230" s="3483">
        <f t="shared" ca="1" si="9"/>
        <v>230</v>
      </c>
    </row>
    <row r="231" spans="1:9">
      <c r="A231" s="3484">
        <v>230</v>
      </c>
      <c r="B231" s="3485" t="s">
        <v>3852</v>
      </c>
      <c r="C231" s="3486"/>
      <c r="D231" s="3485">
        <v>83.01</v>
      </c>
      <c r="E231" s="3487">
        <v>66.099999999999994</v>
      </c>
      <c r="F231" s="3488">
        <v>16.91</v>
      </c>
      <c r="G231" s="3486" t="s">
        <v>3623</v>
      </c>
      <c r="I231" s="3483">
        <f t="shared" ca="1" si="9"/>
        <v>230</v>
      </c>
    </row>
    <row r="232" spans="1:9">
      <c r="A232" s="3484">
        <v>231</v>
      </c>
      <c r="B232" s="3485" t="s">
        <v>3853</v>
      </c>
      <c r="C232" s="3486"/>
      <c r="D232" s="3485">
        <v>83.01</v>
      </c>
      <c r="E232" s="3487">
        <v>66.099999999999994</v>
      </c>
      <c r="F232" s="3488">
        <v>16.91</v>
      </c>
      <c r="G232" s="3486" t="s">
        <v>3623</v>
      </c>
      <c r="I232" s="3483">
        <f t="shared" ca="1" si="9"/>
        <v>230</v>
      </c>
    </row>
    <row r="233" spans="1:9">
      <c r="A233" s="3484">
        <v>232</v>
      </c>
      <c r="B233" s="3485" t="s">
        <v>3854</v>
      </c>
      <c r="C233" s="3486"/>
      <c r="D233" s="3485">
        <v>83.01</v>
      </c>
      <c r="E233" s="3487">
        <v>66.099999999999994</v>
      </c>
      <c r="F233" s="3488">
        <v>16.91</v>
      </c>
      <c r="G233" s="3486" t="s">
        <v>3623</v>
      </c>
      <c r="I233" s="3483">
        <f t="shared" ca="1" si="9"/>
        <v>230</v>
      </c>
    </row>
    <row r="234" spans="1:9">
      <c r="A234" s="3484">
        <v>233</v>
      </c>
      <c r="B234" s="3485" t="s">
        <v>3855</v>
      </c>
      <c r="C234" s="3486"/>
      <c r="D234" s="3485">
        <v>83.01</v>
      </c>
      <c r="E234" s="3487">
        <v>66.099999999999994</v>
      </c>
      <c r="F234" s="3488">
        <v>16.91</v>
      </c>
      <c r="G234" s="3486" t="s">
        <v>3623</v>
      </c>
      <c r="I234" s="3483">
        <f t="shared" ca="1" si="9"/>
        <v>230</v>
      </c>
    </row>
    <row r="235" spans="1:9">
      <c r="A235" s="3484">
        <v>234</v>
      </c>
      <c r="B235" s="3485" t="s">
        <v>3856</v>
      </c>
      <c r="C235" s="3486"/>
      <c r="D235" s="3485">
        <v>83.01</v>
      </c>
      <c r="E235" s="3487">
        <v>66.099999999999994</v>
      </c>
      <c r="F235" s="3488">
        <v>16.91</v>
      </c>
      <c r="G235" s="3486" t="s">
        <v>3623</v>
      </c>
      <c r="I235" s="3483">
        <f t="shared" ca="1" si="9"/>
        <v>230</v>
      </c>
    </row>
    <row r="236" spans="1:9">
      <c r="A236" s="3484">
        <v>235</v>
      </c>
      <c r="B236" s="3485" t="s">
        <v>3857</v>
      </c>
      <c r="C236" s="3486"/>
      <c r="D236" s="3485">
        <v>83.01</v>
      </c>
      <c r="E236" s="3487">
        <v>66.099999999999994</v>
      </c>
      <c r="F236" s="3488">
        <v>16.91</v>
      </c>
      <c r="G236" s="3486" t="s">
        <v>3623</v>
      </c>
      <c r="I236" s="3483">
        <f t="shared" ca="1" si="9"/>
        <v>230</v>
      </c>
    </row>
    <row r="237" spans="1:9">
      <c r="A237" s="3484">
        <v>236</v>
      </c>
      <c r="B237" s="3485" t="s">
        <v>3858</v>
      </c>
      <c r="C237" s="3486"/>
      <c r="D237" s="3485">
        <v>83.01</v>
      </c>
      <c r="E237" s="3487">
        <v>66.099999999999994</v>
      </c>
      <c r="F237" s="3488">
        <v>16.91</v>
      </c>
      <c r="G237" s="3486" t="s">
        <v>3623</v>
      </c>
      <c r="I237" s="3483">
        <f t="shared" ca="1" si="9"/>
        <v>230</v>
      </c>
    </row>
    <row r="238" spans="1:9">
      <c r="A238" s="3484">
        <v>237</v>
      </c>
      <c r="B238" s="3485" t="s">
        <v>3859</v>
      </c>
      <c r="C238" s="3486"/>
      <c r="D238" s="3485">
        <v>83.01</v>
      </c>
      <c r="E238" s="3487">
        <v>66.099999999999994</v>
      </c>
      <c r="F238" s="3488">
        <v>16.91</v>
      </c>
      <c r="G238" s="3486" t="s">
        <v>3623</v>
      </c>
      <c r="I238" s="3483">
        <f t="shared" ca="1" si="9"/>
        <v>230</v>
      </c>
    </row>
    <row r="239" spans="1:9">
      <c r="A239" s="3484">
        <v>238</v>
      </c>
      <c r="B239" s="3485" t="s">
        <v>3860</v>
      </c>
      <c r="C239" s="3486"/>
      <c r="D239" s="3485">
        <v>83.01</v>
      </c>
      <c r="E239" s="3487">
        <v>66.099999999999994</v>
      </c>
      <c r="F239" s="3488">
        <v>16.91</v>
      </c>
      <c r="G239" s="3486" t="s">
        <v>3623</v>
      </c>
      <c r="I239" s="3483">
        <f t="shared" ca="1" si="9"/>
        <v>230</v>
      </c>
    </row>
    <row r="240" spans="1:9">
      <c r="A240" s="3484">
        <v>239</v>
      </c>
      <c r="B240" s="3485" t="s">
        <v>3861</v>
      </c>
      <c r="C240" s="3486"/>
      <c r="D240" s="3485">
        <v>83.01</v>
      </c>
      <c r="E240" s="3487">
        <v>66.099999999999994</v>
      </c>
      <c r="F240" s="3488">
        <v>16.91</v>
      </c>
      <c r="G240" s="3486" t="s">
        <v>3623</v>
      </c>
      <c r="I240" s="3483">
        <f t="shared" ca="1" si="9"/>
        <v>230</v>
      </c>
    </row>
    <row r="241" spans="1:9">
      <c r="A241" s="3484">
        <v>240</v>
      </c>
      <c r="B241" s="3485" t="s">
        <v>3862</v>
      </c>
      <c r="C241" s="3486"/>
      <c r="D241" s="3485">
        <v>83.01</v>
      </c>
      <c r="E241" s="3487">
        <v>66.099999999999994</v>
      </c>
      <c r="F241" s="3488">
        <v>16.91</v>
      </c>
      <c r="G241" s="3486" t="s">
        <v>3623</v>
      </c>
      <c r="I241" s="3483">
        <f t="shared" ca="1" si="9"/>
        <v>230</v>
      </c>
    </row>
    <row r="242" spans="1:9">
      <c r="A242" s="3484">
        <v>241</v>
      </c>
      <c r="B242" s="3485" t="s">
        <v>3863</v>
      </c>
      <c r="C242" s="3486"/>
      <c r="D242" s="3485">
        <v>83.01</v>
      </c>
      <c r="E242" s="3487">
        <v>66.099999999999994</v>
      </c>
      <c r="F242" s="3488">
        <v>16.91</v>
      </c>
      <c r="G242" s="3486" t="s">
        <v>3623</v>
      </c>
      <c r="I242" s="3483">
        <f t="shared" ca="1" si="9"/>
        <v>230</v>
      </c>
    </row>
    <row r="243" spans="1:9">
      <c r="A243" s="3484">
        <v>242</v>
      </c>
      <c r="B243" s="3485" t="s">
        <v>3864</v>
      </c>
      <c r="C243" s="3486"/>
      <c r="D243" s="3485">
        <v>83.01</v>
      </c>
      <c r="E243" s="3487">
        <v>66.099999999999994</v>
      </c>
      <c r="F243" s="3488">
        <v>16.91</v>
      </c>
      <c r="G243" s="3486" t="s">
        <v>3623</v>
      </c>
      <c r="I243" s="3483">
        <f t="shared" ca="1" si="9"/>
        <v>230</v>
      </c>
    </row>
    <row r="244" spans="1:9">
      <c r="A244" s="3484">
        <v>243</v>
      </c>
      <c r="B244" s="3485" t="s">
        <v>3865</v>
      </c>
      <c r="C244" s="3486"/>
      <c r="D244" s="3485">
        <v>83.01</v>
      </c>
      <c r="E244" s="3487">
        <v>66.099999999999994</v>
      </c>
      <c r="F244" s="3488">
        <v>16.91</v>
      </c>
      <c r="G244" s="3486" t="s">
        <v>3623</v>
      </c>
      <c r="I244" s="3483">
        <f t="shared" ca="1" si="9"/>
        <v>230</v>
      </c>
    </row>
    <row r="245" spans="1:9">
      <c r="A245" s="3484">
        <v>244</v>
      </c>
      <c r="B245" s="3485" t="s">
        <v>3866</v>
      </c>
      <c r="C245" s="3486"/>
      <c r="D245" s="3485">
        <v>83.01</v>
      </c>
      <c r="E245" s="3487">
        <v>66.099999999999994</v>
      </c>
      <c r="F245" s="3488">
        <v>16.91</v>
      </c>
      <c r="G245" s="3486" t="s">
        <v>3623</v>
      </c>
      <c r="I245" s="3483">
        <f t="shared" ca="1" si="9"/>
        <v>230</v>
      </c>
    </row>
    <row r="246" spans="1:9">
      <c r="A246" s="3484">
        <v>245</v>
      </c>
      <c r="B246" s="3485" t="s">
        <v>3867</v>
      </c>
      <c r="C246" s="3486"/>
      <c r="D246" s="3485">
        <v>83.01</v>
      </c>
      <c r="E246" s="3487">
        <v>66.099999999999994</v>
      </c>
      <c r="F246" s="3488">
        <v>16.91</v>
      </c>
      <c r="G246" s="3486" t="s">
        <v>3623</v>
      </c>
      <c r="I246" s="3483">
        <f t="shared" ca="1" si="9"/>
        <v>230</v>
      </c>
    </row>
    <row r="247" spans="1:9">
      <c r="A247" s="3484">
        <v>246</v>
      </c>
      <c r="B247" s="3485" t="s">
        <v>3868</v>
      </c>
      <c r="C247" s="3486"/>
      <c r="D247" s="3485">
        <v>83.01</v>
      </c>
      <c r="E247" s="3487">
        <v>66.099999999999994</v>
      </c>
      <c r="F247" s="3488">
        <v>16.91</v>
      </c>
      <c r="G247" s="3486" t="s">
        <v>3623</v>
      </c>
      <c r="I247" s="3483">
        <f t="shared" ca="1" si="9"/>
        <v>230</v>
      </c>
    </row>
    <row r="248" spans="1:9">
      <c r="A248" s="3484">
        <v>247</v>
      </c>
      <c r="B248" s="3485" t="s">
        <v>3869</v>
      </c>
      <c r="C248" s="3486"/>
      <c r="D248" s="3485">
        <v>83.01</v>
      </c>
      <c r="E248" s="3487">
        <v>66.099999999999994</v>
      </c>
      <c r="F248" s="3488">
        <v>16.91</v>
      </c>
      <c r="G248" s="3486" t="s">
        <v>3623</v>
      </c>
      <c r="I248" s="3483">
        <f t="shared" ca="1" si="9"/>
        <v>230</v>
      </c>
    </row>
    <row r="249" spans="1:9">
      <c r="A249" s="3484">
        <v>248</v>
      </c>
      <c r="B249" s="3485" t="s">
        <v>3870</v>
      </c>
      <c r="C249" s="3486"/>
      <c r="D249" s="3485">
        <v>83.01</v>
      </c>
      <c r="E249" s="3487">
        <v>66.099999999999994</v>
      </c>
      <c r="F249" s="3488">
        <v>16.91</v>
      </c>
      <c r="G249" s="3486" t="s">
        <v>3623</v>
      </c>
      <c r="I249" s="3483">
        <f t="shared" ca="1" si="9"/>
        <v>230</v>
      </c>
    </row>
    <row r="250" spans="1:9">
      <c r="A250" s="3484">
        <v>249</v>
      </c>
      <c r="B250" s="3485" t="s">
        <v>3871</v>
      </c>
      <c r="C250" s="3486"/>
      <c r="D250" s="3485">
        <v>83.01</v>
      </c>
      <c r="E250" s="3487">
        <v>66.099999999999994</v>
      </c>
      <c r="F250" s="3488">
        <v>16.91</v>
      </c>
      <c r="G250" s="3486" t="s">
        <v>3623</v>
      </c>
      <c r="I250" s="3483">
        <f t="shared" ca="1" si="9"/>
        <v>230</v>
      </c>
    </row>
    <row r="251" spans="1:9">
      <c r="A251" s="3484">
        <v>250</v>
      </c>
      <c r="B251" s="3485" t="s">
        <v>3872</v>
      </c>
      <c r="C251" s="3486"/>
      <c r="D251" s="3485">
        <v>60.82</v>
      </c>
      <c r="E251" s="3487">
        <v>48.43</v>
      </c>
      <c r="F251" s="3488">
        <v>12.39</v>
      </c>
      <c r="G251" s="3486" t="s">
        <v>3623</v>
      </c>
      <c r="I251" s="3483">
        <f t="shared" ca="1" si="9"/>
        <v>168</v>
      </c>
    </row>
    <row r="252" spans="1:9">
      <c r="A252" s="3484">
        <v>251</v>
      </c>
      <c r="B252" s="3485" t="s">
        <v>3873</v>
      </c>
      <c r="C252" s="3486"/>
      <c r="D252" s="3485">
        <v>83.01</v>
      </c>
      <c r="E252" s="3487">
        <v>66.099999999999994</v>
      </c>
      <c r="F252" s="3488">
        <v>16.91</v>
      </c>
      <c r="G252" s="3486" t="s">
        <v>3623</v>
      </c>
      <c r="I252" s="3483">
        <f t="shared" ca="1" si="9"/>
        <v>230</v>
      </c>
    </row>
    <row r="253" spans="1:9">
      <c r="A253" s="3484">
        <v>252</v>
      </c>
      <c r="B253" s="3485" t="s">
        <v>3874</v>
      </c>
      <c r="C253" s="3486"/>
      <c r="D253" s="3485">
        <v>83.01</v>
      </c>
      <c r="E253" s="3487">
        <v>66.099999999999994</v>
      </c>
      <c r="F253" s="3488">
        <v>16.91</v>
      </c>
      <c r="G253" s="3486" t="s">
        <v>3623</v>
      </c>
      <c r="I253" s="3483">
        <f t="shared" ca="1" si="9"/>
        <v>230</v>
      </c>
    </row>
    <row r="254" spans="1:9">
      <c r="A254" s="3484">
        <v>253</v>
      </c>
      <c r="B254" s="3485" t="s">
        <v>3875</v>
      </c>
      <c r="C254" s="3486"/>
      <c r="D254" s="3485">
        <v>83.01</v>
      </c>
      <c r="E254" s="3487">
        <v>66.099999999999994</v>
      </c>
      <c r="F254" s="3488">
        <v>16.91</v>
      </c>
      <c r="G254" s="3486" t="s">
        <v>3623</v>
      </c>
      <c r="I254" s="3483">
        <f t="shared" ca="1" si="9"/>
        <v>230</v>
      </c>
    </row>
    <row r="255" spans="1:9">
      <c r="A255" s="3484">
        <v>254</v>
      </c>
      <c r="B255" s="3485" t="s">
        <v>3876</v>
      </c>
      <c r="C255" s="3486"/>
      <c r="D255" s="3485">
        <v>83.01</v>
      </c>
      <c r="E255" s="3487">
        <v>66.099999999999994</v>
      </c>
      <c r="F255" s="3488">
        <v>16.91</v>
      </c>
      <c r="G255" s="3486" t="s">
        <v>3623</v>
      </c>
      <c r="I255" s="3483">
        <f t="shared" ca="1" si="9"/>
        <v>230</v>
      </c>
    </row>
    <row r="256" spans="1:9">
      <c r="A256" s="3484">
        <v>255</v>
      </c>
      <c r="B256" s="3485" t="s">
        <v>3877</v>
      </c>
      <c r="C256" s="3486"/>
      <c r="D256" s="3485">
        <v>83.01</v>
      </c>
      <c r="E256" s="3487">
        <v>66.099999999999994</v>
      </c>
      <c r="F256" s="3488">
        <v>16.91</v>
      </c>
      <c r="G256" s="3486" t="s">
        <v>3623</v>
      </c>
      <c r="I256" s="3483">
        <f t="shared" ca="1" si="9"/>
        <v>230</v>
      </c>
    </row>
    <row r="257" spans="1:9">
      <c r="A257" s="3484">
        <v>256</v>
      </c>
      <c r="B257" s="3485" t="s">
        <v>3878</v>
      </c>
      <c r="C257" s="3486"/>
      <c r="D257" s="3485">
        <v>83.01</v>
      </c>
      <c r="E257" s="3487">
        <v>66.099999999999994</v>
      </c>
      <c r="F257" s="3488">
        <v>16.91</v>
      </c>
      <c r="G257" s="3486" t="s">
        <v>3623</v>
      </c>
      <c r="I257" s="3483">
        <f t="shared" ca="1" si="9"/>
        <v>230</v>
      </c>
    </row>
    <row r="258" spans="1:9">
      <c r="A258" s="3484">
        <v>257</v>
      </c>
      <c r="B258" s="3485" t="s">
        <v>3879</v>
      </c>
      <c r="C258" s="3486"/>
      <c r="D258" s="3485">
        <v>83.01</v>
      </c>
      <c r="E258" s="3487">
        <v>66.099999999999994</v>
      </c>
      <c r="F258" s="3488">
        <v>16.91</v>
      </c>
      <c r="G258" s="3486" t="s">
        <v>3623</v>
      </c>
      <c r="I258" s="3483">
        <f t="shared" ca="1" si="9"/>
        <v>230</v>
      </c>
    </row>
    <row r="259" spans="1:9">
      <c r="A259" s="3484">
        <v>258</v>
      </c>
      <c r="B259" s="3485" t="s">
        <v>3880</v>
      </c>
      <c r="C259" s="3486"/>
      <c r="D259" s="3485">
        <v>83.01</v>
      </c>
      <c r="E259" s="3487">
        <v>66.099999999999994</v>
      </c>
      <c r="F259" s="3488">
        <v>16.91</v>
      </c>
      <c r="G259" s="3486" t="s">
        <v>3623</v>
      </c>
      <c r="I259" s="3483">
        <f t="shared" ref="I259:I322" ca="1" si="10">ROUND(D259*$H$2/10000,0)</f>
        <v>230</v>
      </c>
    </row>
    <row r="260" spans="1:9">
      <c r="A260" s="3484">
        <v>259</v>
      </c>
      <c r="B260" s="3485" t="s">
        <v>3881</v>
      </c>
      <c r="C260" s="3486"/>
      <c r="D260" s="3485">
        <v>83.01</v>
      </c>
      <c r="E260" s="3487">
        <v>66.099999999999994</v>
      </c>
      <c r="F260" s="3488">
        <v>16.91</v>
      </c>
      <c r="G260" s="3486" t="s">
        <v>3623</v>
      </c>
      <c r="I260" s="3483">
        <f t="shared" ca="1" si="10"/>
        <v>230</v>
      </c>
    </row>
    <row r="261" spans="1:9">
      <c r="A261" s="3484">
        <v>260</v>
      </c>
      <c r="B261" s="3485" t="s">
        <v>3882</v>
      </c>
      <c r="C261" s="3486"/>
      <c r="D261" s="3485">
        <v>83.01</v>
      </c>
      <c r="E261" s="3487">
        <v>66.099999999999994</v>
      </c>
      <c r="F261" s="3488">
        <v>16.91</v>
      </c>
      <c r="G261" s="3486" t="s">
        <v>3623</v>
      </c>
      <c r="I261" s="3483">
        <f t="shared" ca="1" si="10"/>
        <v>230</v>
      </c>
    </row>
    <row r="262" spans="1:9">
      <c r="A262" s="3484">
        <v>261</v>
      </c>
      <c r="B262" s="3485" t="s">
        <v>3883</v>
      </c>
      <c r="C262" s="3486"/>
      <c r="D262" s="3485">
        <v>83.01</v>
      </c>
      <c r="E262" s="3487">
        <v>66.099999999999994</v>
      </c>
      <c r="F262" s="3488">
        <v>16.91</v>
      </c>
      <c r="G262" s="3486" t="s">
        <v>3623</v>
      </c>
      <c r="I262" s="3483">
        <f t="shared" ca="1" si="10"/>
        <v>230</v>
      </c>
    </row>
    <row r="263" spans="1:9">
      <c r="A263" s="3484">
        <v>262</v>
      </c>
      <c r="B263" s="3485" t="s">
        <v>3884</v>
      </c>
      <c r="C263" s="3486"/>
      <c r="D263" s="3485">
        <v>83.01</v>
      </c>
      <c r="E263" s="3487">
        <v>66.099999999999994</v>
      </c>
      <c r="F263" s="3488">
        <v>16.91</v>
      </c>
      <c r="G263" s="3486" t="s">
        <v>3623</v>
      </c>
      <c r="I263" s="3483">
        <f t="shared" ca="1" si="10"/>
        <v>230</v>
      </c>
    </row>
    <row r="264" spans="1:9">
      <c r="A264" s="3484">
        <v>263</v>
      </c>
      <c r="B264" s="3485" t="s">
        <v>3885</v>
      </c>
      <c r="C264" s="3486"/>
      <c r="D264" s="3485">
        <v>83.01</v>
      </c>
      <c r="E264" s="3487">
        <v>66.099999999999994</v>
      </c>
      <c r="F264" s="3488">
        <v>16.91</v>
      </c>
      <c r="G264" s="3486" t="s">
        <v>3623</v>
      </c>
      <c r="I264" s="3483">
        <f t="shared" ca="1" si="10"/>
        <v>230</v>
      </c>
    </row>
    <row r="265" spans="1:9">
      <c r="A265" s="3484">
        <v>264</v>
      </c>
      <c r="B265" s="3485" t="s">
        <v>3886</v>
      </c>
      <c r="C265" s="3486"/>
      <c r="D265" s="3485">
        <v>83.01</v>
      </c>
      <c r="E265" s="3487">
        <v>66.099999999999994</v>
      </c>
      <c r="F265" s="3488">
        <v>16.91</v>
      </c>
      <c r="G265" s="3486" t="s">
        <v>3623</v>
      </c>
      <c r="I265" s="3483">
        <f t="shared" ca="1" si="10"/>
        <v>230</v>
      </c>
    </row>
    <row r="266" spans="1:9">
      <c r="A266" s="3484">
        <v>265</v>
      </c>
      <c r="B266" s="3485" t="s">
        <v>3887</v>
      </c>
      <c r="C266" s="3486"/>
      <c r="D266" s="3485">
        <v>83.01</v>
      </c>
      <c r="E266" s="3487">
        <v>66.099999999999994</v>
      </c>
      <c r="F266" s="3488">
        <v>16.91</v>
      </c>
      <c r="G266" s="3486" t="s">
        <v>3623</v>
      </c>
      <c r="I266" s="3483">
        <f t="shared" ca="1" si="10"/>
        <v>230</v>
      </c>
    </row>
    <row r="267" spans="1:9">
      <c r="A267" s="3484">
        <v>266</v>
      </c>
      <c r="B267" s="3485" t="s">
        <v>3888</v>
      </c>
      <c r="C267" s="3486"/>
      <c r="D267" s="3485">
        <v>83.01</v>
      </c>
      <c r="E267" s="3487">
        <v>66.099999999999994</v>
      </c>
      <c r="F267" s="3488">
        <v>16.91</v>
      </c>
      <c r="G267" s="3486" t="s">
        <v>3623</v>
      </c>
      <c r="I267" s="3483">
        <f t="shared" ca="1" si="10"/>
        <v>230</v>
      </c>
    </row>
    <row r="268" spans="1:9">
      <c r="A268" s="3484">
        <v>267</v>
      </c>
      <c r="B268" s="3485" t="s">
        <v>3889</v>
      </c>
      <c r="C268" s="3486"/>
      <c r="D268" s="3485">
        <v>83.01</v>
      </c>
      <c r="E268" s="3487">
        <v>66.099999999999994</v>
      </c>
      <c r="F268" s="3488">
        <v>16.91</v>
      </c>
      <c r="G268" s="3486" t="s">
        <v>3623</v>
      </c>
      <c r="I268" s="3483">
        <f t="shared" ca="1" si="10"/>
        <v>230</v>
      </c>
    </row>
    <row r="269" spans="1:9">
      <c r="A269" s="3484">
        <v>268</v>
      </c>
      <c r="B269" s="3485" t="s">
        <v>3890</v>
      </c>
      <c r="C269" s="3486"/>
      <c r="D269" s="3485">
        <v>83.01</v>
      </c>
      <c r="E269" s="3487">
        <v>66.099999999999994</v>
      </c>
      <c r="F269" s="3488">
        <v>16.91</v>
      </c>
      <c r="G269" s="3486" t="s">
        <v>3623</v>
      </c>
      <c r="I269" s="3483">
        <f t="shared" ca="1" si="10"/>
        <v>230</v>
      </c>
    </row>
    <row r="270" spans="1:9">
      <c r="A270" s="3484">
        <v>269</v>
      </c>
      <c r="B270" s="3485" t="s">
        <v>3891</v>
      </c>
      <c r="C270" s="3486"/>
      <c r="D270" s="3485">
        <v>83.01</v>
      </c>
      <c r="E270" s="3487">
        <v>66.099999999999994</v>
      </c>
      <c r="F270" s="3488">
        <v>16.91</v>
      </c>
      <c r="G270" s="3486" t="s">
        <v>3623</v>
      </c>
      <c r="I270" s="3483">
        <f t="shared" ca="1" si="10"/>
        <v>230</v>
      </c>
    </row>
    <row r="271" spans="1:9">
      <c r="A271" s="3484">
        <v>270</v>
      </c>
      <c r="B271" s="3485" t="s">
        <v>3892</v>
      </c>
      <c r="C271" s="3486"/>
      <c r="D271" s="3485">
        <v>83.01</v>
      </c>
      <c r="E271" s="3487">
        <v>66.099999999999994</v>
      </c>
      <c r="F271" s="3488">
        <v>16.91</v>
      </c>
      <c r="G271" s="3486" t="s">
        <v>3623</v>
      </c>
      <c r="I271" s="3483">
        <f t="shared" ca="1" si="10"/>
        <v>230</v>
      </c>
    </row>
    <row r="272" spans="1:9">
      <c r="A272" s="3484">
        <v>271</v>
      </c>
      <c r="B272" s="3485" t="s">
        <v>3893</v>
      </c>
      <c r="C272" s="3486"/>
      <c r="D272" s="3485">
        <v>83.01</v>
      </c>
      <c r="E272" s="3487">
        <v>66.099999999999994</v>
      </c>
      <c r="F272" s="3488">
        <v>16.91</v>
      </c>
      <c r="G272" s="3486" t="s">
        <v>3623</v>
      </c>
      <c r="I272" s="3483">
        <f t="shared" ca="1" si="10"/>
        <v>230</v>
      </c>
    </row>
    <row r="273" spans="1:9">
      <c r="A273" s="3484">
        <v>272</v>
      </c>
      <c r="B273" s="3485" t="s">
        <v>3894</v>
      </c>
      <c r="C273" s="3486"/>
      <c r="D273" s="3485">
        <v>60.82</v>
      </c>
      <c r="E273" s="3487">
        <v>48.43</v>
      </c>
      <c r="F273" s="3488">
        <v>12.39</v>
      </c>
      <c r="G273" s="3486" t="s">
        <v>3623</v>
      </c>
      <c r="I273" s="3483">
        <f t="shared" ca="1" si="10"/>
        <v>168</v>
      </c>
    </row>
    <row r="274" spans="1:9">
      <c r="A274" s="3484">
        <v>273</v>
      </c>
      <c r="B274" s="3485" t="s">
        <v>3895</v>
      </c>
      <c r="C274" s="3486"/>
      <c r="D274" s="3485">
        <v>86.97</v>
      </c>
      <c r="E274" s="3487">
        <v>69.25</v>
      </c>
      <c r="F274" s="3488">
        <v>17.72</v>
      </c>
      <c r="G274" s="3486" t="s">
        <v>3623</v>
      </c>
      <c r="I274" s="3483">
        <f t="shared" ca="1" si="10"/>
        <v>241</v>
      </c>
    </row>
    <row r="275" spans="1:9">
      <c r="A275" s="3484">
        <v>274</v>
      </c>
      <c r="B275" s="3485" t="s">
        <v>3896</v>
      </c>
      <c r="C275" s="3486"/>
      <c r="D275" s="3485">
        <v>83.01</v>
      </c>
      <c r="E275" s="3487">
        <v>66.099999999999994</v>
      </c>
      <c r="F275" s="3488">
        <v>16.91</v>
      </c>
      <c r="G275" s="3486" t="s">
        <v>3623</v>
      </c>
      <c r="I275" s="3483">
        <f t="shared" ca="1" si="10"/>
        <v>230</v>
      </c>
    </row>
    <row r="276" spans="1:9">
      <c r="A276" s="3484">
        <v>275</v>
      </c>
      <c r="B276" s="3485" t="s">
        <v>3897</v>
      </c>
      <c r="C276" s="3486"/>
      <c r="D276" s="3485">
        <v>86.97</v>
      </c>
      <c r="E276" s="3487">
        <v>69.25</v>
      </c>
      <c r="F276" s="3488">
        <v>17.72</v>
      </c>
      <c r="G276" s="3486" t="s">
        <v>3623</v>
      </c>
      <c r="I276" s="3483">
        <f t="shared" ca="1" si="10"/>
        <v>241</v>
      </c>
    </row>
    <row r="277" spans="1:9">
      <c r="A277" s="3484">
        <v>276</v>
      </c>
      <c r="B277" s="3485" t="s">
        <v>3898</v>
      </c>
      <c r="C277" s="3486"/>
      <c r="D277" s="3485">
        <v>83.01</v>
      </c>
      <c r="E277" s="3487">
        <v>66.099999999999994</v>
      </c>
      <c r="F277" s="3488">
        <v>16.91</v>
      </c>
      <c r="G277" s="3486" t="s">
        <v>3623</v>
      </c>
      <c r="I277" s="3483">
        <f t="shared" ca="1" si="10"/>
        <v>230</v>
      </c>
    </row>
    <row r="278" spans="1:9">
      <c r="A278" s="3484">
        <v>277</v>
      </c>
      <c r="B278" s="3485" t="s">
        <v>3899</v>
      </c>
      <c r="C278" s="3486"/>
      <c r="D278" s="3485">
        <v>86.97</v>
      </c>
      <c r="E278" s="3487">
        <v>69.25</v>
      </c>
      <c r="F278" s="3488">
        <v>17.72</v>
      </c>
      <c r="G278" s="3486" t="s">
        <v>3623</v>
      </c>
      <c r="I278" s="3483">
        <f t="shared" ca="1" si="10"/>
        <v>241</v>
      </c>
    </row>
    <row r="279" spans="1:9">
      <c r="A279" s="3484">
        <v>278</v>
      </c>
      <c r="B279" s="3485" t="s">
        <v>3900</v>
      </c>
      <c r="C279" s="3486"/>
      <c r="D279" s="3485">
        <v>83.01</v>
      </c>
      <c r="E279" s="3487">
        <v>66.099999999999994</v>
      </c>
      <c r="F279" s="3488">
        <v>16.91</v>
      </c>
      <c r="G279" s="3486" t="s">
        <v>3623</v>
      </c>
      <c r="I279" s="3483">
        <f t="shared" ca="1" si="10"/>
        <v>230</v>
      </c>
    </row>
    <row r="280" spans="1:9">
      <c r="A280" s="3484">
        <v>279</v>
      </c>
      <c r="B280" s="3485" t="s">
        <v>3901</v>
      </c>
      <c r="C280" s="3486"/>
      <c r="D280" s="3485">
        <v>86.97</v>
      </c>
      <c r="E280" s="3487">
        <v>69.25</v>
      </c>
      <c r="F280" s="3488">
        <v>17.72</v>
      </c>
      <c r="G280" s="3486" t="s">
        <v>3623</v>
      </c>
      <c r="I280" s="3483">
        <f t="shared" ca="1" si="10"/>
        <v>241</v>
      </c>
    </row>
    <row r="281" spans="1:9">
      <c r="A281" s="3484">
        <v>280</v>
      </c>
      <c r="B281" s="3485" t="s">
        <v>3902</v>
      </c>
      <c r="C281" s="3486"/>
      <c r="D281" s="3485">
        <v>83.01</v>
      </c>
      <c r="E281" s="3487">
        <v>66.099999999999994</v>
      </c>
      <c r="F281" s="3488">
        <v>16.91</v>
      </c>
      <c r="G281" s="3486" t="s">
        <v>3623</v>
      </c>
      <c r="I281" s="3483">
        <f t="shared" ca="1" si="10"/>
        <v>230</v>
      </c>
    </row>
    <row r="282" spans="1:9">
      <c r="A282" s="3484">
        <v>281</v>
      </c>
      <c r="B282" s="3485" t="s">
        <v>3903</v>
      </c>
      <c r="C282" s="3486"/>
      <c r="D282" s="3485">
        <v>86.97</v>
      </c>
      <c r="E282" s="3487">
        <v>69.25</v>
      </c>
      <c r="F282" s="3488">
        <v>17.72</v>
      </c>
      <c r="G282" s="3486" t="s">
        <v>3623</v>
      </c>
      <c r="I282" s="3483">
        <f t="shared" ca="1" si="10"/>
        <v>241</v>
      </c>
    </row>
    <row r="283" spans="1:9">
      <c r="A283" s="3484">
        <v>282</v>
      </c>
      <c r="B283" s="3485" t="s">
        <v>3904</v>
      </c>
      <c r="C283" s="3486"/>
      <c r="D283" s="3485">
        <v>83.01</v>
      </c>
      <c r="E283" s="3487">
        <v>66.099999999999994</v>
      </c>
      <c r="F283" s="3488">
        <v>16.91</v>
      </c>
      <c r="G283" s="3486" t="s">
        <v>3623</v>
      </c>
      <c r="I283" s="3483">
        <f t="shared" ca="1" si="10"/>
        <v>230</v>
      </c>
    </row>
    <row r="284" spans="1:9">
      <c r="A284" s="3484">
        <v>283</v>
      </c>
      <c r="B284" s="3485" t="s">
        <v>3905</v>
      </c>
      <c r="C284" s="3486"/>
      <c r="D284" s="3485">
        <v>86.97</v>
      </c>
      <c r="E284" s="3487">
        <v>69.25</v>
      </c>
      <c r="F284" s="3488">
        <v>17.72</v>
      </c>
      <c r="G284" s="3486" t="s">
        <v>3623</v>
      </c>
      <c r="I284" s="3483">
        <f t="shared" ca="1" si="10"/>
        <v>241</v>
      </c>
    </row>
    <row r="285" spans="1:9">
      <c r="A285" s="3484">
        <v>284</v>
      </c>
      <c r="B285" s="3485" t="s">
        <v>3906</v>
      </c>
      <c r="C285" s="3486"/>
      <c r="D285" s="3485">
        <v>83.01</v>
      </c>
      <c r="E285" s="3487">
        <v>66.099999999999994</v>
      </c>
      <c r="F285" s="3488">
        <v>16.91</v>
      </c>
      <c r="G285" s="3486" t="s">
        <v>3623</v>
      </c>
      <c r="I285" s="3483">
        <f t="shared" ca="1" si="10"/>
        <v>230</v>
      </c>
    </row>
    <row r="286" spans="1:9">
      <c r="A286" s="3484">
        <v>285</v>
      </c>
      <c r="B286" s="3485" t="s">
        <v>3907</v>
      </c>
      <c r="C286" s="3486"/>
      <c r="D286" s="3485">
        <v>86.97</v>
      </c>
      <c r="E286" s="3487">
        <v>69.25</v>
      </c>
      <c r="F286" s="3488">
        <v>17.72</v>
      </c>
      <c r="G286" s="3486" t="s">
        <v>3623</v>
      </c>
      <c r="I286" s="3483">
        <f t="shared" ca="1" si="10"/>
        <v>241</v>
      </c>
    </row>
    <row r="287" spans="1:9">
      <c r="A287" s="3484">
        <v>286</v>
      </c>
      <c r="B287" s="3485" t="s">
        <v>3908</v>
      </c>
      <c r="C287" s="3486"/>
      <c r="D287" s="3485">
        <v>83.01</v>
      </c>
      <c r="E287" s="3487">
        <v>66.099999999999994</v>
      </c>
      <c r="F287" s="3488">
        <v>16.91</v>
      </c>
      <c r="G287" s="3486" t="s">
        <v>3623</v>
      </c>
      <c r="I287" s="3483">
        <f t="shared" ca="1" si="10"/>
        <v>230</v>
      </c>
    </row>
    <row r="288" spans="1:9">
      <c r="A288" s="3484">
        <v>287</v>
      </c>
      <c r="B288" s="3485" t="s">
        <v>3909</v>
      </c>
      <c r="C288" s="3486"/>
      <c r="D288" s="3485">
        <v>86.97</v>
      </c>
      <c r="E288" s="3487">
        <v>69.25</v>
      </c>
      <c r="F288" s="3488">
        <v>17.72</v>
      </c>
      <c r="G288" s="3486" t="s">
        <v>3623</v>
      </c>
      <c r="I288" s="3483">
        <f t="shared" ca="1" si="10"/>
        <v>241</v>
      </c>
    </row>
    <row r="289" spans="1:9">
      <c r="A289" s="3484">
        <v>288</v>
      </c>
      <c r="B289" s="3485" t="s">
        <v>3910</v>
      </c>
      <c r="C289" s="3486"/>
      <c r="D289" s="3485">
        <v>83.01</v>
      </c>
      <c r="E289" s="3487">
        <v>66.099999999999994</v>
      </c>
      <c r="F289" s="3488">
        <v>16.91</v>
      </c>
      <c r="G289" s="3486" t="s">
        <v>3623</v>
      </c>
      <c r="I289" s="3483">
        <f t="shared" ca="1" si="10"/>
        <v>230</v>
      </c>
    </row>
    <row r="290" spans="1:9">
      <c r="A290" s="3484">
        <v>289</v>
      </c>
      <c r="B290" s="3485" t="s">
        <v>3911</v>
      </c>
      <c r="C290" s="3486"/>
      <c r="D290" s="3485">
        <v>86.97</v>
      </c>
      <c r="E290" s="3487">
        <v>69.25</v>
      </c>
      <c r="F290" s="3488">
        <v>17.72</v>
      </c>
      <c r="G290" s="3486" t="s">
        <v>3623</v>
      </c>
      <c r="I290" s="3483">
        <f t="shared" ca="1" si="10"/>
        <v>241</v>
      </c>
    </row>
    <row r="291" spans="1:9">
      <c r="A291" s="3484">
        <v>290</v>
      </c>
      <c r="B291" s="3485" t="s">
        <v>3912</v>
      </c>
      <c r="C291" s="3486"/>
      <c r="D291" s="3485">
        <v>83.01</v>
      </c>
      <c r="E291" s="3487">
        <v>66.099999999999994</v>
      </c>
      <c r="F291" s="3488">
        <v>16.91</v>
      </c>
      <c r="G291" s="3486" t="s">
        <v>3623</v>
      </c>
      <c r="I291" s="3483">
        <f t="shared" ca="1" si="10"/>
        <v>230</v>
      </c>
    </row>
    <row r="292" spans="1:9">
      <c r="A292" s="3484">
        <v>291</v>
      </c>
      <c r="B292" s="3485" t="s">
        <v>3913</v>
      </c>
      <c r="C292" s="3486"/>
      <c r="D292" s="3485">
        <v>86.97</v>
      </c>
      <c r="E292" s="3487">
        <v>69.25</v>
      </c>
      <c r="F292" s="3488">
        <v>17.72</v>
      </c>
      <c r="G292" s="3486" t="s">
        <v>3623</v>
      </c>
      <c r="I292" s="3483">
        <f t="shared" ca="1" si="10"/>
        <v>241</v>
      </c>
    </row>
    <row r="293" spans="1:9">
      <c r="A293" s="3484">
        <v>292</v>
      </c>
      <c r="B293" s="3485" t="s">
        <v>3914</v>
      </c>
      <c r="C293" s="3486"/>
      <c r="D293" s="3485">
        <v>83.01</v>
      </c>
      <c r="E293" s="3487">
        <v>66.099999999999994</v>
      </c>
      <c r="F293" s="3488">
        <v>16.91</v>
      </c>
      <c r="G293" s="3486" t="s">
        <v>3623</v>
      </c>
      <c r="I293" s="3483">
        <f t="shared" ca="1" si="10"/>
        <v>230</v>
      </c>
    </row>
    <row r="294" spans="1:9">
      <c r="A294" s="3484">
        <v>293</v>
      </c>
      <c r="B294" s="3485" t="s">
        <v>3915</v>
      </c>
      <c r="C294" s="3486"/>
      <c r="D294" s="3485">
        <v>86.97</v>
      </c>
      <c r="E294" s="3487">
        <v>69.25</v>
      </c>
      <c r="F294" s="3488">
        <v>17.72</v>
      </c>
      <c r="G294" s="3486" t="s">
        <v>3623</v>
      </c>
      <c r="I294" s="3483">
        <f t="shared" ca="1" si="10"/>
        <v>241</v>
      </c>
    </row>
    <row r="295" spans="1:9">
      <c r="A295" s="3484">
        <v>294</v>
      </c>
      <c r="B295" s="3485" t="s">
        <v>3916</v>
      </c>
      <c r="C295" s="3486"/>
      <c r="D295" s="3485">
        <v>77.53</v>
      </c>
      <c r="E295" s="3487">
        <v>62.19</v>
      </c>
      <c r="F295" s="3488">
        <v>15.34</v>
      </c>
      <c r="G295" s="3491" t="s">
        <v>3623</v>
      </c>
      <c r="I295" s="3483">
        <f t="shared" ca="1" si="10"/>
        <v>215</v>
      </c>
    </row>
    <row r="296" spans="1:9">
      <c r="A296" s="3484">
        <v>295</v>
      </c>
      <c r="B296" s="3485" t="s">
        <v>3917</v>
      </c>
      <c r="C296" s="3486"/>
      <c r="D296" s="3485">
        <v>76.97</v>
      </c>
      <c r="E296" s="3487">
        <v>61.74</v>
      </c>
      <c r="F296" s="3488">
        <v>15.23</v>
      </c>
      <c r="G296" s="3491" t="s">
        <v>3623</v>
      </c>
      <c r="I296" s="3483">
        <f t="shared" ca="1" si="10"/>
        <v>213</v>
      </c>
    </row>
    <row r="297" spans="1:9">
      <c r="A297" s="3484">
        <v>296</v>
      </c>
      <c r="B297" s="3485" t="s">
        <v>3918</v>
      </c>
      <c r="C297" s="3486"/>
      <c r="D297" s="3485">
        <v>77.53</v>
      </c>
      <c r="E297" s="3487">
        <v>62.19</v>
      </c>
      <c r="F297" s="3488">
        <v>15.34</v>
      </c>
      <c r="G297" s="3491" t="s">
        <v>3623</v>
      </c>
      <c r="I297" s="3483">
        <f t="shared" ca="1" si="10"/>
        <v>215</v>
      </c>
    </row>
    <row r="298" spans="1:9">
      <c r="A298" s="3484">
        <v>297</v>
      </c>
      <c r="B298" s="3485" t="s">
        <v>3919</v>
      </c>
      <c r="C298" s="3486"/>
      <c r="D298" s="3485">
        <v>76.97</v>
      </c>
      <c r="E298" s="3485">
        <v>61.74</v>
      </c>
      <c r="F298" s="3488">
        <v>15.23</v>
      </c>
      <c r="G298" s="3491" t="s">
        <v>3623</v>
      </c>
      <c r="I298" s="3483">
        <f t="shared" ca="1" si="10"/>
        <v>213</v>
      </c>
    </row>
    <row r="299" spans="1:9">
      <c r="A299" s="3484">
        <v>298</v>
      </c>
      <c r="B299" s="3485" t="s">
        <v>3920</v>
      </c>
      <c r="C299" s="3486"/>
      <c r="D299" s="3485">
        <v>77.53</v>
      </c>
      <c r="E299" s="3487">
        <v>62.19</v>
      </c>
      <c r="F299" s="3488">
        <v>15.34</v>
      </c>
      <c r="G299" s="3491" t="s">
        <v>3623</v>
      </c>
      <c r="I299" s="3483">
        <f t="shared" ca="1" si="10"/>
        <v>215</v>
      </c>
    </row>
    <row r="300" spans="1:9">
      <c r="A300" s="3484">
        <v>299</v>
      </c>
      <c r="B300" s="3485" t="s">
        <v>3921</v>
      </c>
      <c r="C300" s="3486"/>
      <c r="D300" s="3485">
        <v>76.97</v>
      </c>
      <c r="E300" s="3487">
        <v>61.74</v>
      </c>
      <c r="F300" s="3488">
        <v>15.23</v>
      </c>
      <c r="G300" s="3491" t="s">
        <v>3623</v>
      </c>
      <c r="I300" s="3483">
        <f t="shared" ca="1" si="10"/>
        <v>213</v>
      </c>
    </row>
    <row r="301" spans="1:9">
      <c r="A301" s="3484">
        <v>300</v>
      </c>
      <c r="B301" s="3485" t="s">
        <v>3922</v>
      </c>
      <c r="C301" s="3486"/>
      <c r="D301" s="3485">
        <v>77.53</v>
      </c>
      <c r="E301" s="3487">
        <v>62.19</v>
      </c>
      <c r="F301" s="3488">
        <v>15.34</v>
      </c>
      <c r="G301" s="3491" t="s">
        <v>3623</v>
      </c>
      <c r="I301" s="3483">
        <f t="shared" ca="1" si="10"/>
        <v>215</v>
      </c>
    </row>
    <row r="302" spans="1:9">
      <c r="A302" s="3484">
        <v>301</v>
      </c>
      <c r="B302" s="3485" t="s">
        <v>3923</v>
      </c>
      <c r="C302" s="3486"/>
      <c r="D302" s="3485">
        <v>76.97</v>
      </c>
      <c r="E302" s="3485">
        <v>61.74</v>
      </c>
      <c r="F302" s="3488">
        <v>15.23</v>
      </c>
      <c r="G302" s="3491" t="s">
        <v>3623</v>
      </c>
      <c r="I302" s="3483">
        <f t="shared" ca="1" si="10"/>
        <v>213</v>
      </c>
    </row>
    <row r="303" spans="1:9">
      <c r="A303" s="3484">
        <v>302</v>
      </c>
      <c r="B303" s="3485" t="s">
        <v>3924</v>
      </c>
      <c r="C303" s="3486"/>
      <c r="D303" s="3485">
        <v>77.53</v>
      </c>
      <c r="E303" s="3487">
        <v>62.19</v>
      </c>
      <c r="F303" s="3488">
        <v>15.34</v>
      </c>
      <c r="G303" s="3491" t="s">
        <v>3623</v>
      </c>
      <c r="I303" s="3483">
        <f t="shared" ca="1" si="10"/>
        <v>215</v>
      </c>
    </row>
    <row r="304" spans="1:9">
      <c r="A304" s="3484">
        <v>303</v>
      </c>
      <c r="B304" s="3485" t="s">
        <v>3925</v>
      </c>
      <c r="C304" s="3486"/>
      <c r="D304" s="3485">
        <v>76.97</v>
      </c>
      <c r="E304" s="3487">
        <v>61.74</v>
      </c>
      <c r="F304" s="3488">
        <v>15.23</v>
      </c>
      <c r="G304" s="3491" t="s">
        <v>3623</v>
      </c>
      <c r="I304" s="3483">
        <f t="shared" ca="1" si="10"/>
        <v>213</v>
      </c>
    </row>
    <row r="305" spans="1:9">
      <c r="A305" s="3484">
        <v>304</v>
      </c>
      <c r="B305" s="3485" t="s">
        <v>3926</v>
      </c>
      <c r="C305" s="3486"/>
      <c r="D305" s="3485">
        <v>76.97</v>
      </c>
      <c r="E305" s="3487">
        <v>61.74</v>
      </c>
      <c r="F305" s="3488">
        <v>15.23</v>
      </c>
      <c r="G305" s="3491" t="s">
        <v>3623</v>
      </c>
      <c r="I305" s="3483">
        <f t="shared" ca="1" si="10"/>
        <v>213</v>
      </c>
    </row>
    <row r="306" spans="1:9">
      <c r="A306" s="3484">
        <v>305</v>
      </c>
      <c r="B306" s="3485" t="s">
        <v>3927</v>
      </c>
      <c r="C306" s="3486"/>
      <c r="D306" s="3485">
        <v>76.97</v>
      </c>
      <c r="E306" s="3487">
        <v>61.74</v>
      </c>
      <c r="F306" s="3488">
        <v>15.23</v>
      </c>
      <c r="G306" s="3491" t="s">
        <v>3623</v>
      </c>
      <c r="I306" s="3483">
        <f t="shared" ca="1" si="10"/>
        <v>213</v>
      </c>
    </row>
    <row r="307" spans="1:9">
      <c r="A307" s="3484">
        <v>306</v>
      </c>
      <c r="B307" s="3485" t="s">
        <v>3928</v>
      </c>
      <c r="C307" s="3486"/>
      <c r="D307" s="3485">
        <v>76.97</v>
      </c>
      <c r="E307" s="3485">
        <v>61.74</v>
      </c>
      <c r="F307" s="3488">
        <v>15.23</v>
      </c>
      <c r="G307" s="3491" t="s">
        <v>3623</v>
      </c>
      <c r="I307" s="3483">
        <f t="shared" ca="1" si="10"/>
        <v>213</v>
      </c>
    </row>
    <row r="308" spans="1:9">
      <c r="A308" s="3484">
        <v>307</v>
      </c>
      <c r="B308" s="3485" t="s">
        <v>3929</v>
      </c>
      <c r="C308" s="3486"/>
      <c r="D308" s="3485">
        <v>76.97</v>
      </c>
      <c r="E308" s="3485">
        <v>61.74</v>
      </c>
      <c r="F308" s="3488">
        <v>15.23</v>
      </c>
      <c r="G308" s="3491" t="s">
        <v>3623</v>
      </c>
      <c r="I308" s="3483">
        <f t="shared" ca="1" si="10"/>
        <v>213</v>
      </c>
    </row>
    <row r="309" spans="1:9">
      <c r="A309" s="3484">
        <v>308</v>
      </c>
      <c r="B309" s="3485" t="s">
        <v>3930</v>
      </c>
      <c r="C309" s="3486"/>
      <c r="D309" s="3485">
        <v>76.97</v>
      </c>
      <c r="E309" s="3487">
        <v>61.74</v>
      </c>
      <c r="F309" s="3488">
        <v>15.23</v>
      </c>
      <c r="G309" s="3491" t="s">
        <v>3623</v>
      </c>
      <c r="I309" s="3483">
        <f t="shared" ca="1" si="10"/>
        <v>213</v>
      </c>
    </row>
    <row r="310" spans="1:9">
      <c r="A310" s="3484">
        <v>309</v>
      </c>
      <c r="B310" s="3485" t="s">
        <v>3931</v>
      </c>
      <c r="C310" s="3486"/>
      <c r="D310" s="3485">
        <v>76.97</v>
      </c>
      <c r="E310" s="3487">
        <v>61.74</v>
      </c>
      <c r="F310" s="3488">
        <v>15.23</v>
      </c>
      <c r="G310" s="3491" t="s">
        <v>3623</v>
      </c>
      <c r="I310" s="3483">
        <f t="shared" ca="1" si="10"/>
        <v>213</v>
      </c>
    </row>
    <row r="311" spans="1:9">
      <c r="A311" s="3484">
        <v>310</v>
      </c>
      <c r="B311" s="3485" t="s">
        <v>3932</v>
      </c>
      <c r="C311" s="3486"/>
      <c r="D311" s="3485">
        <v>76.97</v>
      </c>
      <c r="E311" s="3485">
        <v>61.74</v>
      </c>
      <c r="F311" s="3488">
        <v>15.23</v>
      </c>
      <c r="G311" s="3491" t="s">
        <v>3623</v>
      </c>
      <c r="I311" s="3483">
        <f t="shared" ca="1" si="10"/>
        <v>213</v>
      </c>
    </row>
    <row r="312" spans="1:9">
      <c r="A312" s="3484">
        <v>311</v>
      </c>
      <c r="B312" s="3485" t="s">
        <v>3933</v>
      </c>
      <c r="C312" s="3486"/>
      <c r="D312" s="3485">
        <v>76.97</v>
      </c>
      <c r="E312" s="3485">
        <v>61.74</v>
      </c>
      <c r="F312" s="3488">
        <v>15.23</v>
      </c>
      <c r="G312" s="3491" t="s">
        <v>3623</v>
      </c>
      <c r="I312" s="3483">
        <f t="shared" ca="1" si="10"/>
        <v>213</v>
      </c>
    </row>
    <row r="313" spans="1:9">
      <c r="A313" s="3484">
        <v>312</v>
      </c>
      <c r="B313" s="3485" t="s">
        <v>3934</v>
      </c>
      <c r="C313" s="3486"/>
      <c r="D313" s="3485">
        <v>76.97</v>
      </c>
      <c r="E313" s="3487">
        <v>61.74</v>
      </c>
      <c r="F313" s="3488">
        <v>15.23</v>
      </c>
      <c r="G313" s="3491" t="s">
        <v>3623</v>
      </c>
      <c r="I313" s="3483">
        <f t="shared" ca="1" si="10"/>
        <v>213</v>
      </c>
    </row>
    <row r="314" spans="1:9">
      <c r="A314" s="3484">
        <v>313</v>
      </c>
      <c r="B314" s="3485" t="s">
        <v>3935</v>
      </c>
      <c r="C314" s="3486"/>
      <c r="D314" s="3485">
        <v>76.97</v>
      </c>
      <c r="E314" s="3487">
        <v>61.74</v>
      </c>
      <c r="F314" s="3488">
        <v>15.23</v>
      </c>
      <c r="G314" s="3491" t="s">
        <v>3623</v>
      </c>
      <c r="I314" s="3483">
        <f t="shared" ca="1" si="10"/>
        <v>213</v>
      </c>
    </row>
    <row r="315" spans="1:9">
      <c r="A315" s="3484">
        <v>314</v>
      </c>
      <c r="B315" s="3485" t="s">
        <v>3936</v>
      </c>
      <c r="C315" s="3486"/>
      <c r="D315" s="3485">
        <v>77.53</v>
      </c>
      <c r="E315" s="3487">
        <v>62.19</v>
      </c>
      <c r="F315" s="3488">
        <v>15.34</v>
      </c>
      <c r="G315" s="3491" t="s">
        <v>3623</v>
      </c>
      <c r="I315" s="3483">
        <f t="shared" ca="1" si="10"/>
        <v>215</v>
      </c>
    </row>
    <row r="316" spans="1:9">
      <c r="A316" s="3484">
        <v>315</v>
      </c>
      <c r="B316" s="3485" t="s">
        <v>3937</v>
      </c>
      <c r="C316" s="3486"/>
      <c r="D316" s="3485">
        <v>76.97</v>
      </c>
      <c r="E316" s="3487">
        <v>61.74</v>
      </c>
      <c r="F316" s="3488">
        <v>15.23</v>
      </c>
      <c r="G316" s="3491" t="s">
        <v>3623</v>
      </c>
      <c r="I316" s="3483">
        <f t="shared" ca="1" si="10"/>
        <v>213</v>
      </c>
    </row>
    <row r="317" spans="1:9">
      <c r="A317" s="3484">
        <v>316</v>
      </c>
      <c r="B317" s="3485" t="s">
        <v>3938</v>
      </c>
      <c r="C317" s="3486"/>
      <c r="D317" s="3485">
        <v>76.97</v>
      </c>
      <c r="E317" s="3487">
        <v>61.74</v>
      </c>
      <c r="F317" s="3488">
        <v>15.23</v>
      </c>
      <c r="G317" s="3491" t="s">
        <v>3623</v>
      </c>
      <c r="I317" s="3483">
        <f t="shared" ca="1" si="10"/>
        <v>213</v>
      </c>
    </row>
    <row r="318" spans="1:9">
      <c r="A318" s="3484">
        <v>317</v>
      </c>
      <c r="B318" s="3485" t="s">
        <v>3939</v>
      </c>
      <c r="C318" s="3486"/>
      <c r="D318" s="3485">
        <v>76.97</v>
      </c>
      <c r="E318" s="3487">
        <v>61.74</v>
      </c>
      <c r="F318" s="3488">
        <v>15.23</v>
      </c>
      <c r="G318" s="3491" t="s">
        <v>3623</v>
      </c>
      <c r="I318" s="3483">
        <f t="shared" ca="1" si="10"/>
        <v>213</v>
      </c>
    </row>
    <row r="319" spans="1:9">
      <c r="A319" s="3484">
        <v>318</v>
      </c>
      <c r="B319" s="3485" t="s">
        <v>3940</v>
      </c>
      <c r="C319" s="3486"/>
      <c r="D319" s="3485">
        <v>76.97</v>
      </c>
      <c r="E319" s="3485">
        <v>61.74</v>
      </c>
      <c r="F319" s="3488">
        <v>15.23</v>
      </c>
      <c r="G319" s="3491" t="s">
        <v>3623</v>
      </c>
      <c r="I319" s="3483">
        <f t="shared" ca="1" si="10"/>
        <v>213</v>
      </c>
    </row>
    <row r="320" spans="1:9">
      <c r="A320" s="3484">
        <v>319</v>
      </c>
      <c r="B320" s="3485" t="s">
        <v>3941</v>
      </c>
      <c r="C320" s="3486"/>
      <c r="D320" s="3485">
        <v>76.97</v>
      </c>
      <c r="E320" s="3485">
        <v>61.74</v>
      </c>
      <c r="F320" s="3488">
        <v>15.23</v>
      </c>
      <c r="G320" s="3491" t="s">
        <v>3623</v>
      </c>
      <c r="I320" s="3483">
        <f t="shared" ca="1" si="10"/>
        <v>213</v>
      </c>
    </row>
    <row r="321" spans="1:9">
      <c r="A321" s="3484">
        <v>320</v>
      </c>
      <c r="B321" s="3485" t="s">
        <v>3942</v>
      </c>
      <c r="C321" s="3486"/>
      <c r="D321" s="3485">
        <v>76.97</v>
      </c>
      <c r="E321" s="3487">
        <v>61.74</v>
      </c>
      <c r="F321" s="3488">
        <v>15.23</v>
      </c>
      <c r="G321" s="3491" t="s">
        <v>3623</v>
      </c>
      <c r="I321" s="3483">
        <f t="shared" ca="1" si="10"/>
        <v>213</v>
      </c>
    </row>
    <row r="322" spans="1:9">
      <c r="A322" s="3484">
        <v>321</v>
      </c>
      <c r="B322" s="3485" t="s">
        <v>3943</v>
      </c>
      <c r="C322" s="3486"/>
      <c r="D322" s="3485">
        <v>76.97</v>
      </c>
      <c r="E322" s="3487">
        <v>61.74</v>
      </c>
      <c r="F322" s="3488">
        <v>15.23</v>
      </c>
      <c r="G322" s="3491" t="s">
        <v>3623</v>
      </c>
      <c r="I322" s="3483">
        <f t="shared" ca="1" si="10"/>
        <v>213</v>
      </c>
    </row>
    <row r="323" spans="1:9">
      <c r="A323" s="3484">
        <v>322</v>
      </c>
      <c r="B323" s="3485" t="s">
        <v>3944</v>
      </c>
      <c r="C323" s="3486"/>
      <c r="D323" s="3485">
        <v>76.97</v>
      </c>
      <c r="E323" s="3485">
        <v>61.74</v>
      </c>
      <c r="F323" s="3488">
        <v>15.23</v>
      </c>
      <c r="G323" s="3491" t="s">
        <v>3623</v>
      </c>
      <c r="I323" s="3483">
        <f t="shared" ref="I323:I386" ca="1" si="11">ROUND(D323*$H$2/10000,0)</f>
        <v>213</v>
      </c>
    </row>
    <row r="324" spans="1:9">
      <c r="A324" s="3484">
        <v>323</v>
      </c>
      <c r="B324" s="3485" t="s">
        <v>3945</v>
      </c>
      <c r="C324" s="3486"/>
      <c r="D324" s="3485">
        <v>76.97</v>
      </c>
      <c r="E324" s="3485">
        <v>61.74</v>
      </c>
      <c r="F324" s="3488">
        <v>15.23</v>
      </c>
      <c r="G324" s="3491" t="s">
        <v>3623</v>
      </c>
      <c r="I324" s="3483">
        <f t="shared" ca="1" si="11"/>
        <v>213</v>
      </c>
    </row>
    <row r="325" spans="1:9">
      <c r="A325" s="3484">
        <v>324</v>
      </c>
      <c r="B325" s="3485" t="s">
        <v>3946</v>
      </c>
      <c r="C325" s="3486"/>
      <c r="D325" s="3485">
        <v>76.97</v>
      </c>
      <c r="E325" s="3487">
        <v>61.74</v>
      </c>
      <c r="F325" s="3488">
        <v>15.23</v>
      </c>
      <c r="G325" s="3491" t="s">
        <v>3623</v>
      </c>
      <c r="I325" s="3483">
        <f t="shared" ca="1" si="11"/>
        <v>213</v>
      </c>
    </row>
    <row r="326" spans="1:9">
      <c r="A326" s="3484">
        <v>325</v>
      </c>
      <c r="B326" s="3485" t="s">
        <v>3947</v>
      </c>
      <c r="C326" s="3486"/>
      <c r="D326" s="3485">
        <v>76.97</v>
      </c>
      <c r="E326" s="3487">
        <v>61.74</v>
      </c>
      <c r="F326" s="3488">
        <v>15.23</v>
      </c>
      <c r="G326" s="3491" t="s">
        <v>3623</v>
      </c>
      <c r="I326" s="3483">
        <f t="shared" ca="1" si="11"/>
        <v>213</v>
      </c>
    </row>
    <row r="327" spans="1:9">
      <c r="A327" s="3484">
        <v>326</v>
      </c>
      <c r="B327" s="3485" t="s">
        <v>3948</v>
      </c>
      <c r="C327" s="3486"/>
      <c r="D327" s="3485">
        <v>76.97</v>
      </c>
      <c r="E327" s="3487">
        <v>61.74</v>
      </c>
      <c r="F327" s="3488">
        <v>15.23</v>
      </c>
      <c r="G327" s="3491" t="s">
        <v>3623</v>
      </c>
      <c r="I327" s="3483">
        <f t="shared" ca="1" si="11"/>
        <v>213</v>
      </c>
    </row>
    <row r="328" spans="1:9">
      <c r="A328" s="3484">
        <v>327</v>
      </c>
      <c r="B328" s="3485" t="s">
        <v>3949</v>
      </c>
      <c r="C328" s="3486"/>
      <c r="D328" s="3485">
        <v>76.97</v>
      </c>
      <c r="E328" s="3487">
        <v>61.74</v>
      </c>
      <c r="F328" s="3488">
        <v>15.23</v>
      </c>
      <c r="G328" s="3491" t="s">
        <v>3623</v>
      </c>
      <c r="I328" s="3483">
        <f t="shared" ca="1" si="11"/>
        <v>213</v>
      </c>
    </row>
    <row r="329" spans="1:9">
      <c r="A329" s="3484">
        <v>328</v>
      </c>
      <c r="B329" s="3485" t="s">
        <v>3950</v>
      </c>
      <c r="C329" s="3486"/>
      <c r="D329" s="3485">
        <v>76.97</v>
      </c>
      <c r="E329" s="3487">
        <v>61.74</v>
      </c>
      <c r="F329" s="3488">
        <v>15.23</v>
      </c>
      <c r="G329" s="3491" t="s">
        <v>3623</v>
      </c>
      <c r="I329" s="3483">
        <f t="shared" ca="1" si="11"/>
        <v>213</v>
      </c>
    </row>
    <row r="330" spans="1:9">
      <c r="A330" s="3484">
        <v>329</v>
      </c>
      <c r="B330" s="3485" t="s">
        <v>3951</v>
      </c>
      <c r="C330" s="3486"/>
      <c r="D330" s="3485">
        <v>77.53</v>
      </c>
      <c r="E330" s="3487">
        <v>62.19</v>
      </c>
      <c r="F330" s="3488">
        <v>15.34</v>
      </c>
      <c r="G330" s="3491" t="s">
        <v>3623</v>
      </c>
      <c r="I330" s="3483">
        <f t="shared" ca="1" si="11"/>
        <v>215</v>
      </c>
    </row>
    <row r="331" spans="1:9">
      <c r="A331" s="3484">
        <v>330</v>
      </c>
      <c r="B331" s="3485" t="s">
        <v>3952</v>
      </c>
      <c r="C331" s="3486"/>
      <c r="D331" s="3485">
        <v>76.97</v>
      </c>
      <c r="E331" s="3485">
        <v>61.74</v>
      </c>
      <c r="F331" s="3488">
        <v>15.23</v>
      </c>
      <c r="G331" s="3491" t="s">
        <v>3623</v>
      </c>
      <c r="I331" s="3483">
        <f t="shared" ca="1" si="11"/>
        <v>213</v>
      </c>
    </row>
    <row r="332" spans="1:9">
      <c r="A332" s="3484">
        <v>331</v>
      </c>
      <c r="B332" s="3485" t="s">
        <v>3953</v>
      </c>
      <c r="C332" s="3486"/>
      <c r="D332" s="3485">
        <v>77.53</v>
      </c>
      <c r="E332" s="3485">
        <v>62.19</v>
      </c>
      <c r="F332" s="3488">
        <v>15.34</v>
      </c>
      <c r="G332" s="3491" t="s">
        <v>3623</v>
      </c>
      <c r="I332" s="3483">
        <f t="shared" ca="1" si="11"/>
        <v>215</v>
      </c>
    </row>
    <row r="333" spans="1:9">
      <c r="A333" s="3484">
        <v>332</v>
      </c>
      <c r="B333" s="3485" t="s">
        <v>3954</v>
      </c>
      <c r="C333" s="3486"/>
      <c r="D333" s="3485">
        <v>76.97</v>
      </c>
      <c r="E333" s="3487">
        <v>61.74</v>
      </c>
      <c r="F333" s="3488">
        <v>15.23</v>
      </c>
      <c r="G333" s="3491" t="s">
        <v>3623</v>
      </c>
      <c r="I333" s="3483">
        <f t="shared" ca="1" si="11"/>
        <v>213</v>
      </c>
    </row>
    <row r="334" spans="1:9">
      <c r="A334" s="3484">
        <v>333</v>
      </c>
      <c r="B334" s="3485" t="s">
        <v>3955</v>
      </c>
      <c r="C334" s="3486"/>
      <c r="D334" s="3485">
        <v>77.53</v>
      </c>
      <c r="E334" s="3487">
        <v>62.19</v>
      </c>
      <c r="F334" s="3488">
        <v>15.34</v>
      </c>
      <c r="G334" s="3491" t="s">
        <v>3623</v>
      </c>
      <c r="I334" s="3483">
        <f t="shared" ca="1" si="11"/>
        <v>215</v>
      </c>
    </row>
    <row r="335" spans="1:9">
      <c r="A335" s="3484">
        <v>334</v>
      </c>
      <c r="B335" s="3485" t="s">
        <v>3956</v>
      </c>
      <c r="C335" s="3486"/>
      <c r="D335" s="3485">
        <v>76.97</v>
      </c>
      <c r="E335" s="3485">
        <v>61.74</v>
      </c>
      <c r="F335" s="3488">
        <v>15.23</v>
      </c>
      <c r="G335" s="3491" t="s">
        <v>3623</v>
      </c>
      <c r="I335" s="3483">
        <f t="shared" ca="1" si="11"/>
        <v>213</v>
      </c>
    </row>
    <row r="336" spans="1:9">
      <c r="A336" s="3484">
        <v>335</v>
      </c>
      <c r="B336" s="3485" t="s">
        <v>3957</v>
      </c>
      <c r="C336" s="3486"/>
      <c r="D336" s="3485">
        <v>77.53</v>
      </c>
      <c r="E336" s="3485">
        <v>62.19</v>
      </c>
      <c r="F336" s="3488">
        <v>15.34</v>
      </c>
      <c r="G336" s="3491" t="s">
        <v>3623</v>
      </c>
      <c r="I336" s="3483">
        <f t="shared" ca="1" si="11"/>
        <v>215</v>
      </c>
    </row>
    <row r="337" spans="1:9">
      <c r="A337" s="3484">
        <v>336</v>
      </c>
      <c r="B337" s="3485" t="s">
        <v>3958</v>
      </c>
      <c r="C337" s="3486"/>
      <c r="D337" s="3485">
        <v>76.97</v>
      </c>
      <c r="E337" s="3487">
        <v>61.74</v>
      </c>
      <c r="F337" s="3488">
        <v>15.23</v>
      </c>
      <c r="G337" s="3491" t="s">
        <v>3623</v>
      </c>
      <c r="I337" s="3483">
        <f t="shared" ca="1" si="11"/>
        <v>213</v>
      </c>
    </row>
    <row r="338" spans="1:9">
      <c r="A338" s="3484">
        <v>337</v>
      </c>
      <c r="B338" s="3485" t="s">
        <v>3959</v>
      </c>
      <c r="C338" s="3486"/>
      <c r="D338" s="3485">
        <v>77.53</v>
      </c>
      <c r="E338" s="3487">
        <v>62.19</v>
      </c>
      <c r="F338" s="3488">
        <v>15.34</v>
      </c>
      <c r="G338" s="3491" t="s">
        <v>3623</v>
      </c>
      <c r="I338" s="3483">
        <f t="shared" ca="1" si="11"/>
        <v>215</v>
      </c>
    </row>
    <row r="339" spans="1:9">
      <c r="A339" s="3484">
        <v>338</v>
      </c>
      <c r="B339" s="3485" t="s">
        <v>3960</v>
      </c>
      <c r="C339" s="3486"/>
      <c r="D339" s="3485">
        <v>76.97</v>
      </c>
      <c r="E339" s="3487">
        <v>61.74</v>
      </c>
      <c r="F339" s="3488">
        <v>15.23</v>
      </c>
      <c r="G339" s="3491" t="s">
        <v>3623</v>
      </c>
      <c r="I339" s="3483">
        <f t="shared" ca="1" si="11"/>
        <v>213</v>
      </c>
    </row>
    <row r="340" spans="1:9">
      <c r="A340" s="3484">
        <v>339</v>
      </c>
      <c r="B340" s="3485" t="s">
        <v>3961</v>
      </c>
      <c r="C340" s="3486"/>
      <c r="D340" s="3485">
        <v>77.53</v>
      </c>
      <c r="E340" s="3487">
        <v>62.19</v>
      </c>
      <c r="F340" s="3488">
        <v>15.34</v>
      </c>
      <c r="G340" s="3491" t="s">
        <v>3623</v>
      </c>
      <c r="I340" s="3483">
        <f t="shared" ca="1" si="11"/>
        <v>215</v>
      </c>
    </row>
    <row r="341" spans="1:9">
      <c r="A341" s="3484">
        <v>340</v>
      </c>
      <c r="B341" s="3485" t="s">
        <v>3962</v>
      </c>
      <c r="C341" s="3486"/>
      <c r="D341" s="3485">
        <v>77.28</v>
      </c>
      <c r="E341" s="3487">
        <v>62.19</v>
      </c>
      <c r="F341" s="3488">
        <v>15.09</v>
      </c>
      <c r="G341" s="3491" t="s">
        <v>3623</v>
      </c>
      <c r="I341" s="3483">
        <f t="shared" ca="1" si="11"/>
        <v>214</v>
      </c>
    </row>
    <row r="342" spans="1:9">
      <c r="A342" s="3484">
        <v>341</v>
      </c>
      <c r="B342" s="3485" t="s">
        <v>3963</v>
      </c>
      <c r="C342" s="3486"/>
      <c r="D342" s="3485">
        <v>76.72</v>
      </c>
      <c r="E342" s="3487">
        <v>61.74</v>
      </c>
      <c r="F342" s="3488">
        <v>14.98</v>
      </c>
      <c r="G342" s="3491" t="s">
        <v>3623</v>
      </c>
      <c r="I342" s="3483">
        <f t="shared" ca="1" si="11"/>
        <v>213</v>
      </c>
    </row>
    <row r="343" spans="1:9">
      <c r="A343" s="3484">
        <v>342</v>
      </c>
      <c r="B343" s="3485" t="s">
        <v>3964</v>
      </c>
      <c r="C343" s="3486"/>
      <c r="D343" s="3485">
        <v>77.28</v>
      </c>
      <c r="E343" s="3487">
        <v>62.19</v>
      </c>
      <c r="F343" s="3488">
        <v>15.09</v>
      </c>
      <c r="G343" s="3491" t="s">
        <v>3623</v>
      </c>
      <c r="I343" s="3483">
        <f t="shared" ca="1" si="11"/>
        <v>214</v>
      </c>
    </row>
    <row r="344" spans="1:9">
      <c r="A344" s="3484">
        <v>343</v>
      </c>
      <c r="B344" s="3485" t="s">
        <v>3965</v>
      </c>
      <c r="C344" s="3486"/>
      <c r="D344" s="3485">
        <v>76.72</v>
      </c>
      <c r="E344" s="3485">
        <v>61.74</v>
      </c>
      <c r="F344" s="3488">
        <v>14.98</v>
      </c>
      <c r="G344" s="3491" t="s">
        <v>3623</v>
      </c>
      <c r="I344" s="3483">
        <f t="shared" ca="1" si="11"/>
        <v>213</v>
      </c>
    </row>
    <row r="345" spans="1:9">
      <c r="A345" s="3484">
        <v>344</v>
      </c>
      <c r="B345" s="3485" t="s">
        <v>3966</v>
      </c>
      <c r="C345" s="3486"/>
      <c r="D345" s="3485">
        <v>77.28</v>
      </c>
      <c r="E345" s="3487">
        <v>62.19</v>
      </c>
      <c r="F345" s="3488">
        <v>15.09</v>
      </c>
      <c r="G345" s="3491" t="s">
        <v>3623</v>
      </c>
      <c r="I345" s="3483">
        <f t="shared" ca="1" si="11"/>
        <v>214</v>
      </c>
    </row>
    <row r="346" spans="1:9">
      <c r="A346" s="3484">
        <v>345</v>
      </c>
      <c r="B346" s="3485" t="s">
        <v>3967</v>
      </c>
      <c r="C346" s="3486"/>
      <c r="D346" s="3485">
        <v>76.72</v>
      </c>
      <c r="E346" s="3487">
        <v>61.74</v>
      </c>
      <c r="F346" s="3488">
        <v>14.98</v>
      </c>
      <c r="G346" s="3491" t="s">
        <v>3623</v>
      </c>
      <c r="I346" s="3483">
        <f t="shared" ca="1" si="11"/>
        <v>213</v>
      </c>
    </row>
    <row r="347" spans="1:9">
      <c r="A347" s="3484">
        <v>346</v>
      </c>
      <c r="B347" s="3485" t="s">
        <v>3968</v>
      </c>
      <c r="C347" s="3486"/>
      <c r="D347" s="3485">
        <v>77.28</v>
      </c>
      <c r="E347" s="3487">
        <v>62.19</v>
      </c>
      <c r="F347" s="3488">
        <v>15.09</v>
      </c>
      <c r="G347" s="3491" t="s">
        <v>3623</v>
      </c>
      <c r="I347" s="3483">
        <f t="shared" ca="1" si="11"/>
        <v>214</v>
      </c>
    </row>
    <row r="348" spans="1:9">
      <c r="A348" s="3484">
        <v>347</v>
      </c>
      <c r="B348" s="3485" t="s">
        <v>3969</v>
      </c>
      <c r="C348" s="3486"/>
      <c r="D348" s="3485">
        <v>76.72</v>
      </c>
      <c r="E348" s="3485">
        <v>61.74</v>
      </c>
      <c r="F348" s="3488">
        <v>14.98</v>
      </c>
      <c r="G348" s="3491" t="s">
        <v>3623</v>
      </c>
      <c r="I348" s="3483">
        <f t="shared" ca="1" si="11"/>
        <v>213</v>
      </c>
    </row>
    <row r="349" spans="1:9">
      <c r="A349" s="3484">
        <v>348</v>
      </c>
      <c r="B349" s="3485" t="s">
        <v>3970</v>
      </c>
      <c r="C349" s="3486"/>
      <c r="D349" s="3485">
        <v>77.28</v>
      </c>
      <c r="E349" s="3487">
        <v>62.19</v>
      </c>
      <c r="F349" s="3488">
        <v>15.09</v>
      </c>
      <c r="G349" s="3491" t="s">
        <v>3623</v>
      </c>
      <c r="I349" s="3483">
        <f t="shared" ca="1" si="11"/>
        <v>214</v>
      </c>
    </row>
    <row r="350" spans="1:9">
      <c r="A350" s="3484">
        <v>349</v>
      </c>
      <c r="B350" s="3485" t="s">
        <v>3971</v>
      </c>
      <c r="C350" s="3486"/>
      <c r="D350" s="3485">
        <v>76.72</v>
      </c>
      <c r="E350" s="3487">
        <v>61.74</v>
      </c>
      <c r="F350" s="3488">
        <v>14.98</v>
      </c>
      <c r="G350" s="3491" t="s">
        <v>3623</v>
      </c>
      <c r="I350" s="3483">
        <f t="shared" ca="1" si="11"/>
        <v>213</v>
      </c>
    </row>
    <row r="351" spans="1:9">
      <c r="A351" s="3484">
        <v>350</v>
      </c>
      <c r="B351" s="3485" t="s">
        <v>3972</v>
      </c>
      <c r="C351" s="3486"/>
      <c r="D351" s="3485">
        <v>77.28</v>
      </c>
      <c r="E351" s="3487">
        <v>62.19</v>
      </c>
      <c r="F351" s="3488">
        <v>15.09</v>
      </c>
      <c r="G351" s="3491" t="s">
        <v>3623</v>
      </c>
      <c r="I351" s="3483">
        <f t="shared" ca="1" si="11"/>
        <v>214</v>
      </c>
    </row>
    <row r="352" spans="1:9">
      <c r="A352" s="3484">
        <v>351</v>
      </c>
      <c r="B352" s="3485" t="s">
        <v>3973</v>
      </c>
      <c r="C352" s="3486"/>
      <c r="D352" s="3485">
        <v>76.72</v>
      </c>
      <c r="E352" s="3485">
        <v>61.74</v>
      </c>
      <c r="F352" s="3488">
        <v>14.98</v>
      </c>
      <c r="G352" s="3491" t="s">
        <v>3623</v>
      </c>
      <c r="I352" s="3483">
        <f t="shared" ca="1" si="11"/>
        <v>213</v>
      </c>
    </row>
    <row r="353" spans="1:9">
      <c r="A353" s="3484">
        <v>352</v>
      </c>
      <c r="B353" s="3485" t="s">
        <v>3974</v>
      </c>
      <c r="C353" s="3486"/>
      <c r="D353" s="3485">
        <v>76.72</v>
      </c>
      <c r="E353" s="3487">
        <v>61.74</v>
      </c>
      <c r="F353" s="3488">
        <v>14.98</v>
      </c>
      <c r="G353" s="3491" t="s">
        <v>3623</v>
      </c>
      <c r="I353" s="3483">
        <f t="shared" ca="1" si="11"/>
        <v>213</v>
      </c>
    </row>
    <row r="354" spans="1:9">
      <c r="A354" s="3484">
        <v>353</v>
      </c>
      <c r="B354" s="3485" t="s">
        <v>3975</v>
      </c>
      <c r="C354" s="3486"/>
      <c r="D354" s="3485">
        <v>76.72</v>
      </c>
      <c r="E354" s="3487">
        <v>61.74</v>
      </c>
      <c r="F354" s="3488">
        <v>14.98</v>
      </c>
      <c r="G354" s="3491" t="s">
        <v>3623</v>
      </c>
      <c r="I354" s="3483">
        <f t="shared" ca="1" si="11"/>
        <v>213</v>
      </c>
    </row>
    <row r="355" spans="1:9">
      <c r="A355" s="3484">
        <v>354</v>
      </c>
      <c r="B355" s="3485" t="s">
        <v>3976</v>
      </c>
      <c r="C355" s="3486"/>
      <c r="D355" s="3485">
        <v>76.72</v>
      </c>
      <c r="E355" s="3487">
        <v>61.74</v>
      </c>
      <c r="F355" s="3488">
        <v>14.98</v>
      </c>
      <c r="G355" s="3491" t="s">
        <v>3623</v>
      </c>
      <c r="I355" s="3483">
        <f t="shared" ca="1" si="11"/>
        <v>213</v>
      </c>
    </row>
    <row r="356" spans="1:9">
      <c r="A356" s="3484">
        <v>355</v>
      </c>
      <c r="B356" s="3485" t="s">
        <v>3977</v>
      </c>
      <c r="C356" s="3486"/>
      <c r="D356" s="3485">
        <v>76.72</v>
      </c>
      <c r="E356" s="3487">
        <v>61.74</v>
      </c>
      <c r="F356" s="3488">
        <v>14.98</v>
      </c>
      <c r="G356" s="3491" t="s">
        <v>3623</v>
      </c>
      <c r="I356" s="3483">
        <f t="shared" ca="1" si="11"/>
        <v>213</v>
      </c>
    </row>
    <row r="357" spans="1:9">
      <c r="A357" s="3484">
        <v>356</v>
      </c>
      <c r="B357" s="3485" t="s">
        <v>3978</v>
      </c>
      <c r="C357" s="3486"/>
      <c r="D357" s="3485">
        <v>76.72</v>
      </c>
      <c r="E357" s="3487">
        <v>61.74</v>
      </c>
      <c r="F357" s="3488">
        <v>14.98</v>
      </c>
      <c r="G357" s="3491" t="s">
        <v>3623</v>
      </c>
      <c r="I357" s="3483">
        <f t="shared" ca="1" si="11"/>
        <v>213</v>
      </c>
    </row>
    <row r="358" spans="1:9">
      <c r="A358" s="3484">
        <v>357</v>
      </c>
      <c r="B358" s="3485" t="s">
        <v>3979</v>
      </c>
      <c r="C358" s="3486"/>
      <c r="D358" s="3485">
        <v>76.72</v>
      </c>
      <c r="E358" s="3487">
        <v>61.74</v>
      </c>
      <c r="F358" s="3488">
        <v>14.98</v>
      </c>
      <c r="G358" s="3491" t="s">
        <v>3623</v>
      </c>
      <c r="I358" s="3483">
        <f t="shared" ca="1" si="11"/>
        <v>213</v>
      </c>
    </row>
    <row r="359" spans="1:9">
      <c r="A359" s="3484">
        <v>358</v>
      </c>
      <c r="B359" s="3485" t="s">
        <v>3980</v>
      </c>
      <c r="C359" s="3486"/>
      <c r="D359" s="3485">
        <v>76.72</v>
      </c>
      <c r="E359" s="3487">
        <v>61.74</v>
      </c>
      <c r="F359" s="3488">
        <v>14.98</v>
      </c>
      <c r="G359" s="3491" t="s">
        <v>3623</v>
      </c>
      <c r="I359" s="3483">
        <f t="shared" ca="1" si="11"/>
        <v>213</v>
      </c>
    </row>
    <row r="360" spans="1:9">
      <c r="A360" s="3484">
        <v>359</v>
      </c>
      <c r="B360" s="3485" t="s">
        <v>3981</v>
      </c>
      <c r="C360" s="3486"/>
      <c r="D360" s="3485">
        <v>76.72</v>
      </c>
      <c r="E360" s="3487">
        <v>61.74</v>
      </c>
      <c r="F360" s="3488">
        <v>14.98</v>
      </c>
      <c r="G360" s="3491" t="s">
        <v>3623</v>
      </c>
      <c r="I360" s="3483">
        <f t="shared" ca="1" si="11"/>
        <v>213</v>
      </c>
    </row>
    <row r="361" spans="1:9">
      <c r="A361" s="3484">
        <v>360</v>
      </c>
      <c r="B361" s="3485" t="s">
        <v>3982</v>
      </c>
      <c r="C361" s="3486"/>
      <c r="D361" s="3485">
        <v>76.72</v>
      </c>
      <c r="E361" s="3487">
        <v>61.74</v>
      </c>
      <c r="F361" s="3488">
        <v>14.98</v>
      </c>
      <c r="G361" s="3491" t="s">
        <v>3623</v>
      </c>
      <c r="I361" s="3483">
        <f t="shared" ca="1" si="11"/>
        <v>213</v>
      </c>
    </row>
    <row r="362" spans="1:9">
      <c r="A362" s="3484">
        <v>361</v>
      </c>
      <c r="B362" s="3485" t="s">
        <v>3983</v>
      </c>
      <c r="C362" s="3486"/>
      <c r="D362" s="3485">
        <v>76.72</v>
      </c>
      <c r="E362" s="3487">
        <v>61.74</v>
      </c>
      <c r="F362" s="3488">
        <v>14.98</v>
      </c>
      <c r="G362" s="3491" t="s">
        <v>3623</v>
      </c>
      <c r="I362" s="3483">
        <f t="shared" ca="1" si="11"/>
        <v>213</v>
      </c>
    </row>
    <row r="363" spans="1:9">
      <c r="A363" s="3484">
        <v>362</v>
      </c>
      <c r="B363" s="3485" t="s">
        <v>3984</v>
      </c>
      <c r="C363" s="3486"/>
      <c r="D363" s="3485">
        <v>76.72</v>
      </c>
      <c r="E363" s="3487">
        <v>61.74</v>
      </c>
      <c r="F363" s="3488">
        <v>14.98</v>
      </c>
      <c r="G363" s="3491" t="s">
        <v>3623</v>
      </c>
      <c r="I363" s="3483">
        <f t="shared" ca="1" si="11"/>
        <v>213</v>
      </c>
    </row>
    <row r="364" spans="1:9">
      <c r="A364" s="3484">
        <v>363</v>
      </c>
      <c r="B364" s="3485" t="s">
        <v>3985</v>
      </c>
      <c r="C364" s="3486"/>
      <c r="D364" s="3485">
        <v>76.72</v>
      </c>
      <c r="E364" s="3487">
        <v>61.74</v>
      </c>
      <c r="F364" s="3488">
        <v>14.98</v>
      </c>
      <c r="G364" s="3491" t="s">
        <v>3623</v>
      </c>
      <c r="I364" s="3483">
        <f t="shared" ca="1" si="11"/>
        <v>213</v>
      </c>
    </row>
    <row r="365" spans="1:9">
      <c r="A365" s="3484">
        <v>364</v>
      </c>
      <c r="B365" s="3485" t="s">
        <v>3986</v>
      </c>
      <c r="C365" s="3486"/>
      <c r="D365" s="3485">
        <v>76.72</v>
      </c>
      <c r="E365" s="3487">
        <v>61.74</v>
      </c>
      <c r="F365" s="3488">
        <v>14.98</v>
      </c>
      <c r="G365" s="3491" t="s">
        <v>3623</v>
      </c>
      <c r="I365" s="3483">
        <f t="shared" ca="1" si="11"/>
        <v>213</v>
      </c>
    </row>
    <row r="366" spans="1:9">
      <c r="A366" s="3484">
        <v>365</v>
      </c>
      <c r="B366" s="3485" t="s">
        <v>3987</v>
      </c>
      <c r="C366" s="3486"/>
      <c r="D366" s="3485">
        <v>76.72</v>
      </c>
      <c r="E366" s="3487">
        <v>61.74</v>
      </c>
      <c r="F366" s="3488">
        <v>14.98</v>
      </c>
      <c r="G366" s="3491" t="s">
        <v>3623</v>
      </c>
      <c r="I366" s="3483">
        <f t="shared" ca="1" si="11"/>
        <v>213</v>
      </c>
    </row>
    <row r="367" spans="1:9">
      <c r="A367" s="3484">
        <v>366</v>
      </c>
      <c r="B367" s="3485" t="s">
        <v>3988</v>
      </c>
      <c r="C367" s="3486"/>
      <c r="D367" s="3485">
        <v>76.72</v>
      </c>
      <c r="E367" s="3485">
        <v>61.74</v>
      </c>
      <c r="F367" s="3488">
        <v>14.98</v>
      </c>
      <c r="G367" s="3491" t="s">
        <v>3623</v>
      </c>
      <c r="I367" s="3483">
        <f t="shared" ca="1" si="11"/>
        <v>213</v>
      </c>
    </row>
    <row r="368" spans="1:9">
      <c r="A368" s="3484">
        <v>367</v>
      </c>
      <c r="B368" s="3485" t="s">
        <v>3989</v>
      </c>
      <c r="C368" s="3486"/>
      <c r="D368" s="3485">
        <v>76.72</v>
      </c>
      <c r="E368" s="3485">
        <v>61.74</v>
      </c>
      <c r="F368" s="3488">
        <v>14.98</v>
      </c>
      <c r="G368" s="3491" t="s">
        <v>3623</v>
      </c>
      <c r="I368" s="3483">
        <f t="shared" ca="1" si="11"/>
        <v>213</v>
      </c>
    </row>
    <row r="369" spans="1:9">
      <c r="A369" s="3484">
        <v>368</v>
      </c>
      <c r="B369" s="3485" t="s">
        <v>3990</v>
      </c>
      <c r="C369" s="3486"/>
      <c r="D369" s="3485">
        <v>76.72</v>
      </c>
      <c r="E369" s="3487">
        <v>61.74</v>
      </c>
      <c r="F369" s="3488">
        <v>14.98</v>
      </c>
      <c r="G369" s="3491" t="s">
        <v>3623</v>
      </c>
      <c r="I369" s="3483">
        <f t="shared" ca="1" si="11"/>
        <v>213</v>
      </c>
    </row>
    <row r="370" spans="1:9">
      <c r="A370" s="3484">
        <v>369</v>
      </c>
      <c r="B370" s="3485" t="s">
        <v>3991</v>
      </c>
      <c r="C370" s="3486"/>
      <c r="D370" s="3485">
        <v>76.72</v>
      </c>
      <c r="E370" s="3487">
        <v>61.74</v>
      </c>
      <c r="F370" s="3488">
        <v>14.98</v>
      </c>
      <c r="G370" s="3491" t="s">
        <v>3623</v>
      </c>
      <c r="I370" s="3483">
        <f t="shared" ca="1" si="11"/>
        <v>213</v>
      </c>
    </row>
    <row r="371" spans="1:9">
      <c r="A371" s="3484">
        <v>370</v>
      </c>
      <c r="B371" s="3485" t="s">
        <v>3992</v>
      </c>
      <c r="C371" s="3486"/>
      <c r="D371" s="3485">
        <v>76.72</v>
      </c>
      <c r="E371" s="3485">
        <v>61.74</v>
      </c>
      <c r="F371" s="3488">
        <v>14.98</v>
      </c>
      <c r="G371" s="3491" t="s">
        <v>3623</v>
      </c>
      <c r="I371" s="3483">
        <f t="shared" ca="1" si="11"/>
        <v>213</v>
      </c>
    </row>
    <row r="372" spans="1:9">
      <c r="A372" s="3484">
        <v>371</v>
      </c>
      <c r="B372" s="3485" t="s">
        <v>3993</v>
      </c>
      <c r="C372" s="3486"/>
      <c r="D372" s="3485">
        <v>76.72</v>
      </c>
      <c r="E372" s="3485">
        <v>61.74</v>
      </c>
      <c r="F372" s="3488">
        <v>14.98</v>
      </c>
      <c r="G372" s="3491" t="s">
        <v>3623</v>
      </c>
      <c r="I372" s="3483">
        <f t="shared" ca="1" si="11"/>
        <v>213</v>
      </c>
    </row>
    <row r="373" spans="1:9">
      <c r="A373" s="3484">
        <v>372</v>
      </c>
      <c r="B373" s="3485" t="s">
        <v>3994</v>
      </c>
      <c r="C373" s="3486"/>
      <c r="D373" s="3485">
        <v>76.72</v>
      </c>
      <c r="E373" s="3487">
        <v>61.74</v>
      </c>
      <c r="F373" s="3488">
        <v>14.98</v>
      </c>
      <c r="G373" s="3491" t="s">
        <v>3623</v>
      </c>
      <c r="I373" s="3483">
        <f t="shared" ca="1" si="11"/>
        <v>213</v>
      </c>
    </row>
    <row r="374" spans="1:9">
      <c r="A374" s="3484">
        <v>373</v>
      </c>
      <c r="B374" s="3485" t="s">
        <v>3995</v>
      </c>
      <c r="C374" s="3486"/>
      <c r="D374" s="3485">
        <v>76.72</v>
      </c>
      <c r="E374" s="3487">
        <v>61.74</v>
      </c>
      <c r="F374" s="3488">
        <v>14.98</v>
      </c>
      <c r="G374" s="3491" t="s">
        <v>3623</v>
      </c>
      <c r="I374" s="3483">
        <f t="shared" ca="1" si="11"/>
        <v>213</v>
      </c>
    </row>
    <row r="375" spans="1:9">
      <c r="A375" s="3484">
        <v>374</v>
      </c>
      <c r="B375" s="3485" t="s">
        <v>3996</v>
      </c>
      <c r="C375" s="3486"/>
      <c r="D375" s="3485">
        <v>76.72</v>
      </c>
      <c r="E375" s="3485">
        <v>61.74</v>
      </c>
      <c r="F375" s="3488">
        <v>14.98</v>
      </c>
      <c r="G375" s="3491" t="s">
        <v>3623</v>
      </c>
      <c r="I375" s="3483">
        <f t="shared" ca="1" si="11"/>
        <v>213</v>
      </c>
    </row>
    <row r="376" spans="1:9">
      <c r="A376" s="3484">
        <v>375</v>
      </c>
      <c r="B376" s="3485" t="s">
        <v>3997</v>
      </c>
      <c r="C376" s="3486"/>
      <c r="D376" s="3485">
        <v>76.72</v>
      </c>
      <c r="E376" s="3485">
        <v>61.74</v>
      </c>
      <c r="F376" s="3488">
        <v>14.98</v>
      </c>
      <c r="G376" s="3491" t="s">
        <v>3623</v>
      </c>
      <c r="I376" s="3483">
        <f t="shared" ca="1" si="11"/>
        <v>213</v>
      </c>
    </row>
    <row r="377" spans="1:9">
      <c r="A377" s="3484">
        <v>376</v>
      </c>
      <c r="B377" s="3485" t="s">
        <v>3998</v>
      </c>
      <c r="C377" s="3486"/>
      <c r="D377" s="3485">
        <v>76.72</v>
      </c>
      <c r="E377" s="3487">
        <v>61.74</v>
      </c>
      <c r="F377" s="3488">
        <v>14.98</v>
      </c>
      <c r="G377" s="3491" t="s">
        <v>3623</v>
      </c>
      <c r="I377" s="3483">
        <f t="shared" ca="1" si="11"/>
        <v>213</v>
      </c>
    </row>
    <row r="378" spans="1:9">
      <c r="A378" s="3484">
        <v>377</v>
      </c>
      <c r="B378" s="3485" t="s">
        <v>3999</v>
      </c>
      <c r="C378" s="3486"/>
      <c r="D378" s="3485">
        <v>76.72</v>
      </c>
      <c r="E378" s="3487">
        <v>61.74</v>
      </c>
      <c r="F378" s="3488">
        <v>14.98</v>
      </c>
      <c r="G378" s="3491" t="s">
        <v>3623</v>
      </c>
      <c r="I378" s="3483">
        <f t="shared" ca="1" si="11"/>
        <v>213</v>
      </c>
    </row>
    <row r="379" spans="1:9">
      <c r="A379" s="3484">
        <v>378</v>
      </c>
      <c r="B379" s="3485" t="s">
        <v>4000</v>
      </c>
      <c r="C379" s="3486"/>
      <c r="D379" s="3485">
        <v>76.72</v>
      </c>
      <c r="E379" s="3485">
        <v>61.74</v>
      </c>
      <c r="F379" s="3488">
        <v>14.98</v>
      </c>
      <c r="G379" s="3491" t="s">
        <v>3623</v>
      </c>
      <c r="I379" s="3483">
        <f t="shared" ca="1" si="11"/>
        <v>213</v>
      </c>
    </row>
    <row r="380" spans="1:9">
      <c r="A380" s="3484">
        <v>379</v>
      </c>
      <c r="B380" s="3485" t="s">
        <v>4001</v>
      </c>
      <c r="C380" s="3486"/>
      <c r="D380" s="3485">
        <v>76.72</v>
      </c>
      <c r="E380" s="3485">
        <v>61.74</v>
      </c>
      <c r="F380" s="3488">
        <v>14.98</v>
      </c>
      <c r="G380" s="3491" t="s">
        <v>3623</v>
      </c>
      <c r="I380" s="3483">
        <f t="shared" ca="1" si="11"/>
        <v>213</v>
      </c>
    </row>
    <row r="381" spans="1:9">
      <c r="A381" s="3484">
        <v>380</v>
      </c>
      <c r="B381" s="3485" t="s">
        <v>4002</v>
      </c>
      <c r="C381" s="3486"/>
      <c r="D381" s="3485">
        <v>76.72</v>
      </c>
      <c r="E381" s="3487">
        <v>61.74</v>
      </c>
      <c r="F381" s="3488">
        <v>14.98</v>
      </c>
      <c r="G381" s="3491" t="s">
        <v>3623</v>
      </c>
      <c r="I381" s="3483">
        <f t="shared" ca="1" si="11"/>
        <v>213</v>
      </c>
    </row>
    <row r="382" spans="1:9">
      <c r="A382" s="3484">
        <v>381</v>
      </c>
      <c r="B382" s="3485" t="s">
        <v>4003</v>
      </c>
      <c r="C382" s="3486"/>
      <c r="D382" s="3485">
        <v>76.72</v>
      </c>
      <c r="E382" s="3487">
        <v>61.74</v>
      </c>
      <c r="F382" s="3488">
        <v>14.98</v>
      </c>
      <c r="G382" s="3491" t="s">
        <v>3623</v>
      </c>
      <c r="I382" s="3483">
        <f t="shared" ca="1" si="11"/>
        <v>213</v>
      </c>
    </row>
    <row r="383" spans="1:9">
      <c r="A383" s="3484">
        <v>382</v>
      </c>
      <c r="B383" s="3485" t="s">
        <v>4004</v>
      </c>
      <c r="C383" s="3486"/>
      <c r="D383" s="3485">
        <v>76.72</v>
      </c>
      <c r="E383" s="3485">
        <v>61.74</v>
      </c>
      <c r="F383" s="3488">
        <v>14.98</v>
      </c>
      <c r="G383" s="3491" t="s">
        <v>3623</v>
      </c>
      <c r="I383" s="3483">
        <f t="shared" ca="1" si="11"/>
        <v>213</v>
      </c>
    </row>
    <row r="384" spans="1:9">
      <c r="A384" s="3484">
        <v>383</v>
      </c>
      <c r="B384" s="3485" t="s">
        <v>4005</v>
      </c>
      <c r="C384" s="3486"/>
      <c r="D384" s="3485">
        <v>76.72</v>
      </c>
      <c r="E384" s="3485">
        <v>61.74</v>
      </c>
      <c r="F384" s="3488">
        <v>14.98</v>
      </c>
      <c r="G384" s="3491" t="s">
        <v>3623</v>
      </c>
      <c r="I384" s="3483">
        <f t="shared" ca="1" si="11"/>
        <v>213</v>
      </c>
    </row>
    <row r="385" spans="1:9">
      <c r="A385" s="3484">
        <v>384</v>
      </c>
      <c r="B385" s="3485" t="s">
        <v>4006</v>
      </c>
      <c r="C385" s="3486"/>
      <c r="D385" s="3485">
        <v>76.72</v>
      </c>
      <c r="E385" s="3487">
        <v>61.74</v>
      </c>
      <c r="F385" s="3488">
        <v>14.98</v>
      </c>
      <c r="G385" s="3491" t="s">
        <v>3623</v>
      </c>
      <c r="I385" s="3483">
        <f t="shared" ca="1" si="11"/>
        <v>213</v>
      </c>
    </row>
    <row r="386" spans="1:9">
      <c r="A386" s="3484">
        <v>385</v>
      </c>
      <c r="B386" s="3485" t="s">
        <v>4007</v>
      </c>
      <c r="C386" s="3486"/>
      <c r="D386" s="3485">
        <v>76.72</v>
      </c>
      <c r="E386" s="3487">
        <v>61.74</v>
      </c>
      <c r="F386" s="3488">
        <v>14.98</v>
      </c>
      <c r="G386" s="3491" t="s">
        <v>3623</v>
      </c>
      <c r="I386" s="3483">
        <f t="shared" ca="1" si="11"/>
        <v>213</v>
      </c>
    </row>
    <row r="387" spans="1:9">
      <c r="A387" s="3484">
        <v>386</v>
      </c>
      <c r="B387" s="3485" t="s">
        <v>4008</v>
      </c>
      <c r="C387" s="3486"/>
      <c r="D387" s="3485">
        <v>76.72</v>
      </c>
      <c r="E387" s="3485">
        <v>61.74</v>
      </c>
      <c r="F387" s="3488">
        <v>14.98</v>
      </c>
      <c r="G387" s="3491" t="s">
        <v>3623</v>
      </c>
      <c r="I387" s="3483">
        <f t="shared" ref="I387:I411" ca="1" si="12">ROUND(D387*$H$2/10000,0)</f>
        <v>213</v>
      </c>
    </row>
    <row r="388" spans="1:9">
      <c r="A388" s="3484">
        <v>387</v>
      </c>
      <c r="B388" s="3485" t="s">
        <v>4009</v>
      </c>
      <c r="C388" s="3486"/>
      <c r="D388" s="3485">
        <v>76.72</v>
      </c>
      <c r="E388" s="3485">
        <v>61.74</v>
      </c>
      <c r="F388" s="3488">
        <v>14.98</v>
      </c>
      <c r="G388" s="3491" t="s">
        <v>3623</v>
      </c>
      <c r="I388" s="3483">
        <f t="shared" ca="1" si="12"/>
        <v>213</v>
      </c>
    </row>
    <row r="389" spans="1:9">
      <c r="A389" s="3484">
        <v>388</v>
      </c>
      <c r="B389" s="3485" t="s">
        <v>4010</v>
      </c>
      <c r="C389" s="3486"/>
      <c r="D389" s="3485">
        <v>76.72</v>
      </c>
      <c r="E389" s="3487">
        <v>61.74</v>
      </c>
      <c r="F389" s="3488">
        <v>14.98</v>
      </c>
      <c r="G389" s="3491" t="s">
        <v>3623</v>
      </c>
      <c r="I389" s="3483">
        <f t="shared" ca="1" si="12"/>
        <v>213</v>
      </c>
    </row>
    <row r="390" spans="1:9">
      <c r="A390" s="3484">
        <v>389</v>
      </c>
      <c r="B390" s="3485" t="s">
        <v>4011</v>
      </c>
      <c r="C390" s="3486"/>
      <c r="D390" s="3485">
        <v>76.72</v>
      </c>
      <c r="E390" s="3487">
        <v>61.74</v>
      </c>
      <c r="F390" s="3488">
        <v>14.98</v>
      </c>
      <c r="G390" s="3491" t="s">
        <v>3623</v>
      </c>
      <c r="I390" s="3483">
        <f t="shared" ca="1" si="12"/>
        <v>213</v>
      </c>
    </row>
    <row r="391" spans="1:9">
      <c r="A391" s="3484">
        <v>390</v>
      </c>
      <c r="B391" s="3485" t="s">
        <v>4012</v>
      </c>
      <c r="C391" s="3486"/>
      <c r="D391" s="3485">
        <v>76.72</v>
      </c>
      <c r="E391" s="3485">
        <v>61.74</v>
      </c>
      <c r="F391" s="3488">
        <v>14.98</v>
      </c>
      <c r="G391" s="3491" t="s">
        <v>3623</v>
      </c>
      <c r="I391" s="3483">
        <f t="shared" ca="1" si="12"/>
        <v>213</v>
      </c>
    </row>
    <row r="392" spans="1:9">
      <c r="A392" s="3484">
        <v>391</v>
      </c>
      <c r="B392" s="3485" t="s">
        <v>4013</v>
      </c>
      <c r="C392" s="3486"/>
      <c r="D392" s="3485">
        <v>76.72</v>
      </c>
      <c r="E392" s="3485">
        <v>61.74</v>
      </c>
      <c r="F392" s="3488">
        <v>14.98</v>
      </c>
      <c r="G392" s="3491" t="s">
        <v>3623</v>
      </c>
      <c r="I392" s="3483">
        <f t="shared" ca="1" si="12"/>
        <v>213</v>
      </c>
    </row>
    <row r="393" spans="1:9">
      <c r="A393" s="3484">
        <v>392</v>
      </c>
      <c r="B393" s="3485" t="s">
        <v>4014</v>
      </c>
      <c r="C393" s="3486"/>
      <c r="D393" s="3485">
        <v>76.72</v>
      </c>
      <c r="E393" s="3487">
        <v>61.74</v>
      </c>
      <c r="F393" s="3488">
        <v>14.98</v>
      </c>
      <c r="G393" s="3491" t="s">
        <v>3623</v>
      </c>
      <c r="I393" s="3483">
        <f t="shared" ca="1" si="12"/>
        <v>213</v>
      </c>
    </row>
    <row r="394" spans="1:9">
      <c r="A394" s="3484">
        <v>393</v>
      </c>
      <c r="B394" s="3485" t="s">
        <v>4015</v>
      </c>
      <c r="C394" s="3486"/>
      <c r="D394" s="3485">
        <v>76.72</v>
      </c>
      <c r="E394" s="3487">
        <v>61.74</v>
      </c>
      <c r="F394" s="3488">
        <v>14.98</v>
      </c>
      <c r="G394" s="3491" t="s">
        <v>3623</v>
      </c>
      <c r="I394" s="3483">
        <f t="shared" ca="1" si="12"/>
        <v>213</v>
      </c>
    </row>
    <row r="395" spans="1:9">
      <c r="A395" s="3484">
        <v>394</v>
      </c>
      <c r="B395" s="3485" t="s">
        <v>4016</v>
      </c>
      <c r="C395" s="3486"/>
      <c r="D395" s="3485">
        <v>76.72</v>
      </c>
      <c r="E395" s="3485">
        <v>61.74</v>
      </c>
      <c r="F395" s="3488">
        <v>14.98</v>
      </c>
      <c r="G395" s="3491" t="s">
        <v>3623</v>
      </c>
      <c r="I395" s="3483">
        <f t="shared" ca="1" si="12"/>
        <v>213</v>
      </c>
    </row>
    <row r="396" spans="1:9">
      <c r="A396" s="3484">
        <v>395</v>
      </c>
      <c r="B396" s="3485" t="s">
        <v>4017</v>
      </c>
      <c r="C396" s="3486"/>
      <c r="D396" s="3485">
        <v>76.72</v>
      </c>
      <c r="E396" s="3485">
        <v>61.74</v>
      </c>
      <c r="F396" s="3488">
        <v>14.98</v>
      </c>
      <c r="G396" s="3491" t="s">
        <v>3623</v>
      </c>
      <c r="I396" s="3483">
        <f t="shared" ca="1" si="12"/>
        <v>213</v>
      </c>
    </row>
    <row r="397" spans="1:9">
      <c r="A397" s="3484">
        <v>396</v>
      </c>
      <c r="B397" s="3485" t="s">
        <v>4018</v>
      </c>
      <c r="C397" s="3486"/>
      <c r="D397" s="3485">
        <v>76.72</v>
      </c>
      <c r="E397" s="3487">
        <v>61.74</v>
      </c>
      <c r="F397" s="3488">
        <v>14.98</v>
      </c>
      <c r="G397" s="3491" t="s">
        <v>3623</v>
      </c>
      <c r="I397" s="3483">
        <f t="shared" ca="1" si="12"/>
        <v>213</v>
      </c>
    </row>
    <row r="398" spans="1:9">
      <c r="A398" s="3484">
        <v>397</v>
      </c>
      <c r="B398" s="3485" t="s">
        <v>4019</v>
      </c>
      <c r="C398" s="3486"/>
      <c r="D398" s="3485">
        <v>76.72</v>
      </c>
      <c r="E398" s="3487">
        <v>61.74</v>
      </c>
      <c r="F398" s="3488">
        <v>14.98</v>
      </c>
      <c r="G398" s="3491" t="s">
        <v>3623</v>
      </c>
      <c r="I398" s="3483">
        <f t="shared" ca="1" si="12"/>
        <v>213</v>
      </c>
    </row>
    <row r="399" spans="1:9">
      <c r="A399" s="3484">
        <v>398</v>
      </c>
      <c r="B399" s="3485" t="s">
        <v>4020</v>
      </c>
      <c r="C399" s="3486"/>
      <c r="D399" s="3485">
        <v>76.72</v>
      </c>
      <c r="E399" s="3485">
        <v>61.74</v>
      </c>
      <c r="F399" s="3488">
        <v>14.98</v>
      </c>
      <c r="G399" s="3491" t="s">
        <v>3623</v>
      </c>
      <c r="I399" s="3483">
        <f t="shared" ca="1" si="12"/>
        <v>213</v>
      </c>
    </row>
    <row r="400" spans="1:9">
      <c r="A400" s="3484">
        <v>399</v>
      </c>
      <c r="B400" s="3485" t="s">
        <v>4021</v>
      </c>
      <c r="C400" s="3486"/>
      <c r="D400" s="3485">
        <v>76.72</v>
      </c>
      <c r="E400" s="3485">
        <v>61.74</v>
      </c>
      <c r="F400" s="3488">
        <v>14.98</v>
      </c>
      <c r="G400" s="3491" t="s">
        <v>3623</v>
      </c>
      <c r="I400" s="3483">
        <f t="shared" ca="1" si="12"/>
        <v>213</v>
      </c>
    </row>
    <row r="401" spans="1:10">
      <c r="A401" s="3484">
        <v>400</v>
      </c>
      <c r="B401" s="3485" t="s">
        <v>4022</v>
      </c>
      <c r="C401" s="3486"/>
      <c r="D401" s="3485">
        <v>76.72</v>
      </c>
      <c r="E401" s="3487">
        <v>61.74</v>
      </c>
      <c r="F401" s="3488">
        <v>14.98</v>
      </c>
      <c r="G401" s="3491" t="s">
        <v>3623</v>
      </c>
      <c r="I401" s="3483">
        <f t="shared" ca="1" si="12"/>
        <v>213</v>
      </c>
    </row>
    <row r="402" spans="1:10">
      <c r="A402" s="3484">
        <v>401</v>
      </c>
      <c r="B402" s="3485" t="s">
        <v>4023</v>
      </c>
      <c r="C402" s="3486"/>
      <c r="D402" s="3485">
        <v>77.28</v>
      </c>
      <c r="E402" s="3487">
        <v>62.19</v>
      </c>
      <c r="F402" s="3488">
        <v>15.09</v>
      </c>
      <c r="G402" s="3491" t="s">
        <v>3623</v>
      </c>
      <c r="I402" s="3483">
        <f t="shared" ca="1" si="12"/>
        <v>214</v>
      </c>
    </row>
    <row r="403" spans="1:10">
      <c r="A403" s="3484">
        <v>402</v>
      </c>
      <c r="B403" s="3485" t="s">
        <v>4024</v>
      </c>
      <c r="C403" s="3486"/>
      <c r="D403" s="3485">
        <v>76.72</v>
      </c>
      <c r="E403" s="3485">
        <v>61.74</v>
      </c>
      <c r="F403" s="3488">
        <v>14.98</v>
      </c>
      <c r="G403" s="3491" t="s">
        <v>3623</v>
      </c>
      <c r="I403" s="3483">
        <f t="shared" ca="1" si="12"/>
        <v>213</v>
      </c>
    </row>
    <row r="404" spans="1:10">
      <c r="A404" s="3484">
        <v>403</v>
      </c>
      <c r="B404" s="3485" t="s">
        <v>4025</v>
      </c>
      <c r="C404" s="3486"/>
      <c r="D404" s="3485">
        <v>77.28</v>
      </c>
      <c r="E404" s="3485">
        <v>62.19</v>
      </c>
      <c r="F404" s="3488">
        <v>15.09</v>
      </c>
      <c r="G404" s="3491" t="s">
        <v>3623</v>
      </c>
      <c r="I404" s="3483">
        <f t="shared" ca="1" si="12"/>
        <v>214</v>
      </c>
    </row>
    <row r="405" spans="1:10">
      <c r="A405" s="3484">
        <v>404</v>
      </c>
      <c r="B405" s="3485" t="s">
        <v>4026</v>
      </c>
      <c r="C405" s="3486"/>
      <c r="D405" s="3485">
        <v>76.72</v>
      </c>
      <c r="E405" s="3487">
        <v>61.74</v>
      </c>
      <c r="F405" s="3488">
        <v>14.98</v>
      </c>
      <c r="G405" s="3491" t="s">
        <v>3623</v>
      </c>
      <c r="I405" s="3483">
        <f t="shared" ca="1" si="12"/>
        <v>213</v>
      </c>
    </row>
    <row r="406" spans="1:10">
      <c r="A406" s="3484">
        <v>405</v>
      </c>
      <c r="B406" s="3485" t="s">
        <v>4027</v>
      </c>
      <c r="C406" s="3486"/>
      <c r="D406" s="3485">
        <v>77.28</v>
      </c>
      <c r="E406" s="3487">
        <v>62.19</v>
      </c>
      <c r="F406" s="3488">
        <v>15.09</v>
      </c>
      <c r="G406" s="3491" t="s">
        <v>3623</v>
      </c>
      <c r="I406" s="3483">
        <f t="shared" ca="1" si="12"/>
        <v>214</v>
      </c>
    </row>
    <row r="407" spans="1:10">
      <c r="A407" s="3484">
        <v>406</v>
      </c>
      <c r="B407" s="3485" t="s">
        <v>4028</v>
      </c>
      <c r="C407" s="3486"/>
      <c r="D407" s="3485">
        <v>76.72</v>
      </c>
      <c r="E407" s="3485">
        <v>61.74</v>
      </c>
      <c r="F407" s="3488">
        <v>14.98</v>
      </c>
      <c r="G407" s="3491" t="s">
        <v>3623</v>
      </c>
      <c r="I407" s="3483">
        <f t="shared" ca="1" si="12"/>
        <v>213</v>
      </c>
    </row>
    <row r="408" spans="1:10">
      <c r="A408" s="3484">
        <v>407</v>
      </c>
      <c r="B408" s="3485" t="s">
        <v>4029</v>
      </c>
      <c r="C408" s="3486"/>
      <c r="D408" s="3485">
        <v>77.28</v>
      </c>
      <c r="E408" s="3485">
        <v>62.19</v>
      </c>
      <c r="F408" s="3488">
        <v>15.09</v>
      </c>
      <c r="G408" s="3491" t="s">
        <v>3623</v>
      </c>
      <c r="I408" s="3483">
        <f t="shared" ca="1" si="12"/>
        <v>214</v>
      </c>
    </row>
    <row r="409" spans="1:10">
      <c r="A409" s="3484">
        <v>408</v>
      </c>
      <c r="B409" s="3485" t="s">
        <v>4030</v>
      </c>
      <c r="C409" s="3486"/>
      <c r="D409" s="3485">
        <v>76.72</v>
      </c>
      <c r="E409" s="3487">
        <v>61.74</v>
      </c>
      <c r="F409" s="3488">
        <v>14.98</v>
      </c>
      <c r="G409" s="3491" t="s">
        <v>3623</v>
      </c>
      <c r="I409" s="3483">
        <f t="shared" ca="1" si="12"/>
        <v>213</v>
      </c>
    </row>
    <row r="410" spans="1:10">
      <c r="A410" s="3484">
        <v>409</v>
      </c>
      <c r="B410" s="3485" t="s">
        <v>4031</v>
      </c>
      <c r="C410" s="3486"/>
      <c r="D410" s="3485">
        <v>77.28</v>
      </c>
      <c r="E410" s="3487">
        <v>62.19</v>
      </c>
      <c r="F410" s="3488">
        <v>15.09</v>
      </c>
      <c r="G410" s="3491" t="s">
        <v>3623</v>
      </c>
      <c r="I410" s="3483">
        <f t="shared" ca="1" si="12"/>
        <v>214</v>
      </c>
    </row>
    <row r="411" spans="1:10">
      <c r="A411" s="3484">
        <v>410</v>
      </c>
      <c r="B411" s="3485" t="s">
        <v>4032</v>
      </c>
      <c r="C411" s="3486"/>
      <c r="D411" s="3485">
        <v>76.72</v>
      </c>
      <c r="E411" s="3485">
        <v>61.74</v>
      </c>
      <c r="F411" s="3488">
        <v>14.98</v>
      </c>
      <c r="G411" s="3491" t="s">
        <v>3623</v>
      </c>
      <c r="I411" s="3483">
        <f t="shared" ca="1" si="12"/>
        <v>213</v>
      </c>
      <c r="J411" s="3483">
        <f ca="1">SUM(I2:I411)</f>
        <v>95061</v>
      </c>
    </row>
    <row r="412" spans="1:10">
      <c r="A412" s="3484">
        <v>411</v>
      </c>
      <c r="B412" s="3485" t="s">
        <v>4033</v>
      </c>
      <c r="C412" s="3486"/>
      <c r="D412" s="3485">
        <v>77.28</v>
      </c>
      <c r="E412" s="3485">
        <v>62.19</v>
      </c>
      <c r="F412" s="3488">
        <v>15.09</v>
      </c>
      <c r="G412" s="3491" t="s">
        <v>3623</v>
      </c>
      <c r="I412" s="3483">
        <f ca="1">I1-J411</f>
        <v>184</v>
      </c>
    </row>
    <row r="413" spans="1:10">
      <c r="D413" s="3483">
        <f>SUM(D2:D412)</f>
        <v>34383.439999999995</v>
      </c>
    </row>
  </sheetData>
  <mergeCells count="1">
    <mergeCell ref="M14:N14"/>
  </mergeCells>
  <phoneticPr fontId="134" type="noConversion"/>
  <conditionalFormatting sqref="B2:B412">
    <cfRule type="duplicateValues" dxfId="203" priority="7"/>
  </conditionalFormatting>
  <conditionalFormatting sqref="C2:C412">
    <cfRule type="duplicateValues" dxfId="202" priority="3"/>
    <cfRule type="duplicateValues" dxfId="201" priority="4"/>
    <cfRule type="duplicateValues" dxfId="200" priority="5"/>
  </conditionalFormatting>
  <conditionalFormatting sqref="B1:B412">
    <cfRule type="duplicateValues" dxfId="199" priority="1"/>
    <cfRule type="duplicateValues" dxfId="198" priority="2"/>
  </conditionalFormatting>
  <conditionalFormatting sqref="C1:C412">
    <cfRule type="duplicateValues" dxfId="197" priority="6"/>
  </conditionalFormatting>
  <conditionalFormatting sqref="A1:A412">
    <cfRule type="duplicateValues" dxfId="196" priority="8"/>
    <cfRule type="duplicateValues" dxfId="195" priority="9"/>
    <cfRule type="duplicateValues" dxfId="194" priority="10"/>
    <cfRule type="duplicateValues" dxfId="193" priority="11"/>
    <cfRule type="duplicateValues" dxfId="192" priority="12"/>
    <cfRule type="duplicateValues" dxfId="191" priority="13"/>
    <cfRule type="duplicateValues" dxfId="190" priority="14"/>
    <cfRule type="duplicateValues" dxfId="189" priority="15"/>
    <cfRule type="duplicateValues" dxfId="188" priority="16"/>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1" style="1679" customWidth="1"/>
    <col min="22" max="22" width="6.375" style="1679" customWidth="1"/>
    <col min="23" max="24" width="6.75" style="1679" customWidth="1"/>
    <col min="25" max="25" width="8.12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1159</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3"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4060</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3392</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465">
        <v>4.4999999999999998E-2</v>
      </c>
      <c r="I6" s="3465">
        <v>0.05</v>
      </c>
      <c r="J6" s="66">
        <v>7.0000000000000007E-2</v>
      </c>
      <c r="K6" s="1028">
        <f>SUMIF('数据-汇总表'!C$19:C$33,A6,'数据-汇总表'!E$19:E$33)</f>
        <v>34383.439999999995</v>
      </c>
      <c r="L6" s="732">
        <v>4000</v>
      </c>
      <c r="M6" s="67">
        <f t="shared" ref="M6:M14" si="0">ROUND(K6*L6/10000,0)</f>
        <v>13753</v>
      </c>
      <c r="N6" s="730">
        <f>三期清单!T34</f>
        <v>0.53</v>
      </c>
      <c r="O6" s="67">
        <f>IF($N$5="成新度","——",ROUND(M6*N6,0))</f>
        <v>7289</v>
      </c>
      <c r="P6" s="68">
        <f>IF($N$5="成新度","——",M6-O6)</f>
        <v>6464</v>
      </c>
      <c r="Q6" s="733">
        <v>0.15</v>
      </c>
      <c r="R6" s="69">
        <f ca="1">SUMIF('数据-汇总表'!C$19:C$33,A6,'数据-汇总表'!R$19:R$27)</f>
        <v>13853.609999999999</v>
      </c>
      <c r="S6" s="51">
        <f>IF('数据-汇总表'!$I$17="按面积比例",SUMIF('数据-汇总表'!C$19:C$33,A6,'数据-汇总表'!K$19:K$33),SUMIF('数据-汇总表'!C$19:C$33,A6,'数据-汇总表'!N$19:N$33))</f>
        <v>6192.37</v>
      </c>
      <c r="T6" s="1170">
        <f>ROUND($L$14*S6/10000,0)</f>
        <v>1858</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137533759.99999997</v>
      </c>
      <c r="AQ6" s="52">
        <f>ROUND($L$14*$N$14*S6/10000,0)</f>
        <v>985</v>
      </c>
      <c r="AR6" s="52">
        <f>ROUND($L$14*(1-$N$14)*S6/10000,0)</f>
        <v>873</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3336</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465">
        <v>4.4999999999999998E-2</v>
      </c>
      <c r="I7" s="3465">
        <v>0.05</v>
      </c>
      <c r="J7" s="66">
        <v>7.0000000000000007E-2</v>
      </c>
      <c r="K7" s="1028">
        <f>SUMIF('数据-汇总表'!C$19:C$33,A7,'数据-汇总表'!E$19:E$33)</f>
        <v>8677.7000000000007</v>
      </c>
      <c r="L7" s="732">
        <v>3400</v>
      </c>
      <c r="M7" s="67">
        <f t="shared" si="0"/>
        <v>2950</v>
      </c>
      <c r="N7" s="730">
        <f>N6</f>
        <v>0.53</v>
      </c>
      <c r="O7" s="67">
        <f t="shared" ref="O7:O14" si="3">IF($N$5="成新度","——",ROUND(M7*N7,0))</f>
        <v>1564</v>
      </c>
      <c r="P7" s="68">
        <f t="shared" ref="P7:P14" si="4">IF($N$5="成新度","——",M7-O7)</f>
        <v>1386</v>
      </c>
      <c r="Q7" s="733">
        <v>0.05</v>
      </c>
      <c r="R7" s="69">
        <f ca="1">SUMIF('数据-汇总表'!C$19:C$33,A7,'数据-汇总表'!R$19:R$27)</f>
        <v>3496.38</v>
      </c>
      <c r="S7" s="51">
        <f>IF('数据-汇总表'!$I$17="按面积比例",SUMIF('数据-汇总表'!C$19:C$33,A7,'数据-汇总表'!K$19:K$33),SUMIF('数据-汇总表'!C$19:C$33,A7,'数据-汇总表'!N$19:N$33))</f>
        <v>1562.83</v>
      </c>
      <c r="T7" s="1170">
        <f t="shared" ref="T7:T13" si="5">ROUND($L$14*S7/10000,0)</f>
        <v>469</v>
      </c>
      <c r="U7" s="3423">
        <f>U24</f>
        <v>170820</v>
      </c>
      <c r="V7" s="70">
        <v>0.02</v>
      </c>
      <c r="W7" s="70">
        <v>0.18</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4088</v>
      </c>
      <c r="AO7" s="52">
        <f t="shared" ref="AO7:AO13" ca="1" si="8">SUMIF(INDIRECT("'"&amp;AN7&amp;"'"&amp;"!A:A"),"总价",INDIRECT("'"&amp;AN7&amp;"'"&amp;"!B:B"))</f>
        <v>2725</v>
      </c>
      <c r="AP7" s="1713">
        <f t="shared" ref="AP7:AP13" si="9">IF(C7="住宅",K7*L7,0)</f>
        <v>0</v>
      </c>
      <c r="AQ7" s="52">
        <f t="shared" ref="AQ7:AQ13" si="10">ROUND($L$14*$N$14*S7/10000,0)</f>
        <v>248</v>
      </c>
      <c r="AR7" s="52">
        <f t="shared" ref="AR7:AR13" si="11">ROUND($L$14*(1-$N$14)*S7/10000,0)</f>
        <v>220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7"/>
      <c r="E14" s="856"/>
      <c r="F14" s="64"/>
      <c r="G14" s="65"/>
      <c r="H14" s="1027"/>
      <c r="I14" s="1027"/>
      <c r="J14" s="1027"/>
      <c r="K14" s="1028">
        <f>SUMIF('数据-汇总表'!C$19:C$33,A14,'数据-汇总表'!E$19:E$33)</f>
        <v>7755.1999999999989</v>
      </c>
      <c r="L14" s="82">
        <v>3000</v>
      </c>
      <c r="M14" s="67">
        <f t="shared" si="0"/>
        <v>2327</v>
      </c>
      <c r="N14" s="83">
        <f>N6</f>
        <v>0.53</v>
      </c>
      <c r="O14" s="67">
        <f t="shared" si="3"/>
        <v>1233</v>
      </c>
      <c r="P14" s="68">
        <f t="shared" si="4"/>
        <v>1094</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2"/>
      <c r="D16" s="1717"/>
      <c r="E16" s="88"/>
      <c r="F16" s="88"/>
      <c r="G16" s="89">
        <f>ROUND(SUMPRODUCT(G6:G13,K6:K13)/SUMPRODUCT((G6:G13&gt;0)*(K6:K13)),3)</f>
        <v>0.98799999999999999</v>
      </c>
      <c r="H16" s="90">
        <f>ROUND(SUMPRODUCT(H6:H13,K6:K13)/SUMPRODUCT((H6:H13&gt;0)*(K6:K13)),3)</f>
        <v>4.4999999999999998E-2</v>
      </c>
      <c r="I16" s="91"/>
      <c r="J16" s="91"/>
      <c r="K16" s="92">
        <f>SUM(K6:K15)</f>
        <v>50816.34</v>
      </c>
      <c r="L16" s="93">
        <f>ROUND(M16*10000/SUM(K6:K14),0)</f>
        <v>3745</v>
      </c>
      <c r="M16" s="93">
        <f>SUM(M6:M14)</f>
        <v>19030</v>
      </c>
      <c r="N16" s="94">
        <f>ROUND(SUMPRODUCT(M6:M14,N6:N14)/M16,3)</f>
        <v>0.53</v>
      </c>
      <c r="O16" s="93">
        <f>SUM(O6:O14)</f>
        <v>10086</v>
      </c>
      <c r="P16" s="93">
        <f>SUM(P6:P14)</f>
        <v>8944</v>
      </c>
      <c r="Q16" s="95">
        <f>ROUND(SUMPRODUCT(Q6:Q13,K6:K13)/SUMPRODUCT((Q6:Q13&gt;0)*(K6:K13)),2)</f>
        <v>0.13</v>
      </c>
      <c r="R16" s="1032">
        <f ca="1">SUM(R6:R13)</f>
        <v>17349.989999999998</v>
      </c>
      <c r="S16" s="96">
        <f>SUM(S6:S13)</f>
        <v>7755.2</v>
      </c>
      <c r="T16" s="97">
        <f>IF(SUMIF(T6:T13,"&lt;9E307")=M14,SUMIF(T6:T13,"&lt;9E307"),"有误，请检查")</f>
        <v>2327</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1209</v>
      </c>
      <c r="B19" s="103">
        <v>0</v>
      </c>
      <c r="C19" s="2794" t="s">
        <v>2302</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1210</v>
      </c>
      <c r="B20" s="104">
        <v>2</v>
      </c>
      <c r="C20" s="2795" t="s">
        <v>2300</v>
      </c>
      <c r="D20" s="2671"/>
      <c r="E20" s="2668"/>
      <c r="F20" s="2668"/>
      <c r="G20" s="2668"/>
      <c r="H20" s="2668"/>
      <c r="I20" s="2668"/>
      <c r="J20" s="2668"/>
      <c r="K20" s="3494" t="s">
        <v>4071</v>
      </c>
      <c r="L20" s="2666">
        <v>0.11</v>
      </c>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1211</v>
      </c>
      <c r="B21" s="104">
        <f>B20*N16</f>
        <v>1.06</v>
      </c>
      <c r="C21" s="2668"/>
      <c r="D21" s="2671"/>
      <c r="E21" s="2668"/>
      <c r="F21" s="2668"/>
      <c r="G21" s="2668"/>
      <c r="H21" s="2668"/>
      <c r="I21" s="2668"/>
      <c r="J21" s="2668"/>
      <c r="K21" s="3494" t="s">
        <v>4072</v>
      </c>
      <c r="L21" s="2666">
        <v>2078.0700000000002</v>
      </c>
      <c r="M21" s="2666"/>
      <c r="N21" s="2666"/>
      <c r="O21" s="3495"/>
      <c r="P21" s="3496" t="s">
        <v>4075</v>
      </c>
      <c r="Q21" s="3496" t="s">
        <v>4081</v>
      </c>
      <c r="R21" s="3496" t="s">
        <v>4080</v>
      </c>
      <c r="S21" s="3496" t="s">
        <v>4076</v>
      </c>
      <c r="T21" s="3495"/>
      <c r="U21" s="3495"/>
      <c r="V21" s="3495"/>
      <c r="W21" s="3495"/>
      <c r="X21" s="3495"/>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1212</v>
      </c>
      <c r="B22" s="105">
        <f>B19+B20</f>
        <v>2</v>
      </c>
      <c r="C22" s="2668"/>
      <c r="D22" s="2671"/>
      <c r="E22" s="2668"/>
      <c r="F22" s="2668"/>
      <c r="G22" s="2668"/>
      <c r="H22" s="2668"/>
      <c r="I22" s="2668"/>
      <c r="J22" s="2668"/>
      <c r="K22" s="3494" t="s">
        <v>4073</v>
      </c>
      <c r="L22" s="2666">
        <v>416.8</v>
      </c>
      <c r="M22" s="2666"/>
      <c r="N22" s="2666"/>
      <c r="O22" s="3496" t="s">
        <v>4077</v>
      </c>
      <c r="P22" s="3495">
        <f>三期清单!O40</f>
        <v>1415.43</v>
      </c>
      <c r="Q22" s="3495">
        <v>3000</v>
      </c>
      <c r="R22" s="3495">
        <f>ROUND(Q22*P22/10000,0)</f>
        <v>425</v>
      </c>
      <c r="S22" s="3495">
        <v>52</v>
      </c>
      <c r="T22" s="3495"/>
      <c r="U22" s="3495">
        <f>S22*V22</f>
        <v>23400</v>
      </c>
      <c r="V22" s="3495">
        <v>450</v>
      </c>
      <c r="W22" s="3497">
        <v>0.1</v>
      </c>
      <c r="X22" s="3495"/>
      <c r="Y22" s="2666">
        <v>3780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1213</v>
      </c>
      <c r="B23" s="105">
        <f>B19+B21</f>
        <v>1.06</v>
      </c>
      <c r="C23" s="2668"/>
      <c r="D23" s="2671"/>
      <c r="E23" s="2668"/>
      <c r="F23" s="2668"/>
      <c r="G23" s="2668"/>
      <c r="H23" s="2668"/>
      <c r="I23" s="2668"/>
      <c r="J23" s="2668"/>
      <c r="K23" s="2667"/>
      <c r="L23" s="2666">
        <f>L20+L21+L22</f>
        <v>2494.9800000000005</v>
      </c>
      <c r="M23" s="2666"/>
      <c r="N23" s="2666"/>
      <c r="O23" s="3496" t="s">
        <v>4078</v>
      </c>
      <c r="P23" s="3495">
        <f>三期清单!O41</f>
        <v>7262.27</v>
      </c>
      <c r="Q23" s="3495">
        <v>3500</v>
      </c>
      <c r="R23" s="3495">
        <f>ROUND(Q23*P23/10000,0)</f>
        <v>2542</v>
      </c>
      <c r="S23" s="3498">
        <f>[2]面积清单!G140</f>
        <v>468</v>
      </c>
      <c r="T23" s="3495" t="s">
        <v>4079</v>
      </c>
      <c r="U23" s="3495">
        <f>S23*V23</f>
        <v>147420</v>
      </c>
      <c r="V23" s="3495">
        <f>V22*0.7</f>
        <v>315</v>
      </c>
      <c r="W23" s="3497">
        <v>0.2</v>
      </c>
      <c r="X23" s="3495"/>
      <c r="Y23" s="2666">
        <v>4500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1214</v>
      </c>
      <c r="B24" s="106">
        <f>B20-B21</f>
        <v>0.94</v>
      </c>
      <c r="C24" s="2668"/>
      <c r="D24" s="2671"/>
      <c r="E24" s="2668"/>
      <c r="F24" s="2668"/>
      <c r="G24" s="2668"/>
      <c r="H24" s="2668"/>
      <c r="I24" s="2668"/>
      <c r="J24" s="2668"/>
      <c r="K24" s="2667"/>
      <c r="L24" s="2666">
        <f>L23*1.2</f>
        <v>2993.9760000000006</v>
      </c>
      <c r="M24" s="2666"/>
      <c r="N24" s="2666"/>
      <c r="O24" s="3495"/>
      <c r="P24" s="3495">
        <f>P22+P23</f>
        <v>8677.7000000000007</v>
      </c>
      <c r="Q24" s="3495">
        <f>ROUND(R24/P24*10000,0)</f>
        <v>3419</v>
      </c>
      <c r="R24" s="3495">
        <f>R22+R23</f>
        <v>2967</v>
      </c>
      <c r="S24" s="3495"/>
      <c r="T24" s="3495"/>
      <c r="U24" s="3495">
        <f>U22+U23</f>
        <v>170820</v>
      </c>
      <c r="V24" s="3495">
        <f>U24/(S22+S23)</f>
        <v>328.5</v>
      </c>
      <c r="W24" s="3495">
        <f>(W22*P22+W23*P23)/P24</f>
        <v>0.18368888069419317</v>
      </c>
      <c r="X24" s="3495"/>
      <c r="Y24" s="2666">
        <f>(Y22*P22+Y23*P23)/P24</f>
        <v>4382.5599409981915</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3494" t="s">
        <v>4074</v>
      </c>
      <c r="L25" s="2666">
        <v>1000</v>
      </c>
      <c r="M25" s="2666"/>
      <c r="N25" s="2666"/>
      <c r="O25" s="2666"/>
      <c r="P25" s="2666"/>
      <c r="Q25" s="2666"/>
      <c r="R25" s="2666"/>
      <c r="S25" s="2666"/>
      <c r="T25" s="2666"/>
      <c r="U25" s="2666"/>
      <c r="V25" s="2666"/>
      <c r="W25" s="3495">
        <f>(W22*S22+W23*S23)/(S22+S23)</f>
        <v>0.19000000000000003</v>
      </c>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1215</v>
      </c>
      <c r="B26" s="1723" t="s">
        <v>1216</v>
      </c>
      <c r="C26" s="2672" t="s">
        <v>1217</v>
      </c>
      <c r="D26" s="2671"/>
      <c r="E26" s="2668"/>
      <c r="F26" s="2668"/>
      <c r="G26" s="2668"/>
      <c r="H26" s="2668"/>
      <c r="I26" s="2668"/>
      <c r="J26" s="2668"/>
      <c r="K26" s="2667"/>
      <c r="L26" s="2666">
        <f>L24+L25</f>
        <v>3993.9760000000006</v>
      </c>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1218</v>
      </c>
      <c r="B27" s="107">
        <v>150</v>
      </c>
      <c r="C27" s="2796" t="s">
        <v>2304</v>
      </c>
      <c r="D27" s="2674"/>
      <c r="E27" s="2656"/>
      <c r="F27" s="2656"/>
      <c r="G27" s="2668"/>
      <c r="H27" s="2668"/>
      <c r="I27" s="2668"/>
      <c r="J27" s="2668"/>
      <c r="K27" s="2667"/>
      <c r="L27" s="2667"/>
      <c r="M27" s="2666"/>
      <c r="N27" s="2666"/>
      <c r="O27" s="2666"/>
      <c r="P27" s="2666"/>
      <c r="Q27" s="2666"/>
      <c r="R27" s="2666"/>
      <c r="S27" s="2666">
        <f>12/17</f>
        <v>0.70588235294117652</v>
      </c>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1219</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1220</v>
      </c>
      <c r="B29" s="112">
        <f ca="1">成本法!C9+成本法!C10</f>
        <v>828</v>
      </c>
      <c r="C29" s="2797" t="s">
        <v>2291</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1221</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1223</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1224</v>
      </c>
      <c r="B33" s="672">
        <v>0.05</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1225</v>
      </c>
      <c r="B34" s="113">
        <v>0.05</v>
      </c>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1226</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1227</v>
      </c>
      <c r="B36" s="114">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1228</v>
      </c>
      <c r="B37" s="115">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1229</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2311</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1231</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1233</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1234</v>
      </c>
      <c r="B44" s="119">
        <v>0.05</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1235</v>
      </c>
      <c r="B45" s="117">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1236</v>
      </c>
      <c r="B46" s="117">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1237</v>
      </c>
      <c r="B47" s="120"/>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1238</v>
      </c>
      <c r="B48" s="121">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1239</v>
      </c>
      <c r="B49" s="117">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1243</v>
      </c>
      <c r="B53" s="1735" t="s">
        <v>29</v>
      </c>
      <c r="C53" s="2656" t="s">
        <v>1244</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1250</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589" t="s">
        <v>2283</v>
      </c>
      <c r="B1" s="3590"/>
      <c r="C1" s="3590"/>
      <c r="D1" s="3590"/>
      <c r="E1" s="3590"/>
      <c r="F1" s="3590"/>
      <c r="G1" s="359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8"/>
      <c r="I2" s="798"/>
      <c r="J2" s="798"/>
      <c r="K2" s="798"/>
      <c r="L2" s="798"/>
      <c r="M2" s="798"/>
      <c r="N2" s="798"/>
      <c r="O2" s="798"/>
      <c r="P2" s="798"/>
      <c r="Q2" s="798"/>
      <c r="R2" s="798"/>
    </row>
    <row r="3" spans="1:29" ht="48">
      <c r="A3" s="2436" t="s">
        <v>2280</v>
      </c>
      <c r="B3" s="2458" t="s">
        <v>2249</v>
      </c>
      <c r="C3" s="2459" t="s">
        <v>2281</v>
      </c>
      <c r="D3" s="2460"/>
      <c r="E3" s="2437" t="s">
        <v>2280</v>
      </c>
      <c r="F3" s="2461" t="s">
        <v>2250</v>
      </c>
      <c r="G3" s="2462" t="s">
        <v>2282</v>
      </c>
      <c r="H3" s="798"/>
      <c r="I3" s="798"/>
      <c r="J3" s="798"/>
      <c r="K3" s="798"/>
      <c r="L3" s="798"/>
      <c r="M3" s="798"/>
      <c r="N3" s="798"/>
      <c r="O3" s="798"/>
      <c r="P3" s="798"/>
      <c r="Q3" s="798"/>
      <c r="R3" s="798"/>
    </row>
    <row r="4" spans="1:29" ht="36.75">
      <c r="A4" s="2437"/>
      <c r="B4" s="323" t="s">
        <v>2251</v>
      </c>
      <c r="C4" s="2463" t="s">
        <v>2252</v>
      </c>
      <c r="D4" s="2460"/>
      <c r="E4" s="2464"/>
      <c r="F4" s="1370" t="s">
        <v>2253</v>
      </c>
      <c r="G4" s="2465" t="s">
        <v>2254</v>
      </c>
      <c r="H4" s="798"/>
      <c r="I4" s="798"/>
      <c r="J4" s="798"/>
      <c r="K4" s="798"/>
      <c r="L4" s="798"/>
      <c r="M4" s="798"/>
      <c r="N4" s="798"/>
      <c r="O4" s="798"/>
      <c r="P4" s="798"/>
      <c r="Q4" s="798"/>
      <c r="R4" s="798"/>
    </row>
    <row r="5" spans="1:29" ht="36.75">
      <c r="A5" s="2437"/>
      <c r="B5" s="323" t="s">
        <v>2255</v>
      </c>
      <c r="C5" s="2463" t="s">
        <v>2256</v>
      </c>
      <c r="D5" s="2460"/>
      <c r="E5" s="2464"/>
      <c r="F5" s="323" t="s">
        <v>2257</v>
      </c>
      <c r="G5" s="2465" t="s">
        <v>2258</v>
      </c>
      <c r="H5" s="798"/>
      <c r="I5" s="798"/>
      <c r="J5" s="798"/>
      <c r="K5" s="798"/>
      <c r="L5" s="798"/>
      <c r="M5" s="798"/>
      <c r="N5" s="798"/>
      <c r="O5" s="798"/>
      <c r="P5" s="798"/>
      <c r="Q5" s="798"/>
      <c r="R5" s="798"/>
    </row>
    <row r="6" spans="1:29" ht="36">
      <c r="A6" s="2437"/>
      <c r="B6" s="323" t="s">
        <v>2259</v>
      </c>
      <c r="C6" s="2465" t="s">
        <v>2254</v>
      </c>
      <c r="D6" s="2460"/>
      <c r="E6" s="2464"/>
      <c r="F6" s="323" t="s">
        <v>2260</v>
      </c>
      <c r="G6" s="2465" t="s">
        <v>2261</v>
      </c>
      <c r="H6" s="798"/>
      <c r="I6" s="798"/>
      <c r="J6" s="798"/>
      <c r="K6" s="798"/>
      <c r="L6" s="798"/>
      <c r="M6" s="798"/>
      <c r="N6" s="798"/>
      <c r="O6" s="798"/>
      <c r="P6" s="798"/>
      <c r="Q6" s="798"/>
      <c r="R6" s="798"/>
    </row>
    <row r="7" spans="1:29" ht="24.75" thickBot="1">
      <c r="A7" s="2437"/>
      <c r="B7" s="323" t="s">
        <v>2257</v>
      </c>
      <c r="C7" s="2465" t="s">
        <v>2258</v>
      </c>
      <c r="D7" s="2466"/>
      <c r="E7" s="2467"/>
      <c r="F7" s="2468" t="s">
        <v>2262</v>
      </c>
      <c r="G7" s="2469" t="s">
        <v>2263</v>
      </c>
      <c r="H7" s="798"/>
      <c r="I7" s="798"/>
      <c r="J7" s="798"/>
      <c r="K7" s="798"/>
      <c r="L7" s="798"/>
      <c r="M7" s="798"/>
      <c r="N7" s="798"/>
      <c r="O7" s="798"/>
      <c r="P7" s="798"/>
      <c r="Q7" s="798"/>
      <c r="R7" s="798"/>
    </row>
    <row r="8" spans="1:29">
      <c r="A8" s="2437"/>
      <c r="B8" s="323" t="s">
        <v>2260</v>
      </c>
      <c r="C8" s="2465" t="s">
        <v>2261</v>
      </c>
      <c r="D8" s="2466"/>
      <c r="E8" s="2466"/>
      <c r="F8" s="2470"/>
      <c r="G8" s="2470"/>
      <c r="H8" s="798"/>
      <c r="I8" s="798"/>
      <c r="J8" s="798"/>
      <c r="K8" s="798"/>
      <c r="L8" s="798"/>
      <c r="M8" s="798"/>
      <c r="N8" s="798"/>
      <c r="O8" s="798"/>
      <c r="P8" s="798"/>
      <c r="Q8" s="798"/>
      <c r="R8" s="798"/>
    </row>
    <row r="9" spans="1:29" ht="24">
      <c r="A9" s="2437"/>
      <c r="B9" s="323" t="s">
        <v>2264</v>
      </c>
      <c r="C9" s="2463" t="s">
        <v>2265</v>
      </c>
      <c r="D9" s="2460"/>
      <c r="E9" s="2466"/>
      <c r="F9" s="2470"/>
      <c r="G9" s="2470"/>
      <c r="H9" s="798"/>
      <c r="I9" s="798"/>
      <c r="J9" s="798"/>
      <c r="K9" s="798"/>
      <c r="L9" s="798"/>
      <c r="M9" s="798"/>
      <c r="N9" s="798"/>
      <c r="O9" s="798"/>
      <c r="P9" s="798"/>
      <c r="Q9" s="798"/>
      <c r="R9" s="798"/>
    </row>
    <row r="10" spans="1:29" s="2476" customFormat="1" ht="15" thickBot="1">
      <c r="A10" s="2438"/>
      <c r="B10" s="2471" t="s">
        <v>2266</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2284</v>
      </c>
      <c r="B13" s="2479"/>
      <c r="C13" s="2479"/>
      <c r="D13" s="2477"/>
      <c r="E13" s="2479"/>
      <c r="F13" s="2479"/>
      <c r="G13" s="2479"/>
    </row>
    <row r="14" spans="1:29" ht="15" thickBot="1">
      <c r="A14" s="2489"/>
      <c r="B14" s="2489"/>
      <c r="C14" s="2490" t="s">
        <v>2267</v>
      </c>
      <c r="D14" s="2460"/>
      <c r="E14" s="2491"/>
      <c r="F14" s="2491"/>
      <c r="G14" s="2455" t="s">
        <v>2268</v>
      </c>
    </row>
    <row r="15" spans="1:29" ht="51">
      <c r="A15" s="2439" t="s">
        <v>2269</v>
      </c>
      <c r="B15" s="2492" t="s">
        <v>2249</v>
      </c>
      <c r="C15" s="2493" t="str">
        <f>C3</f>
        <v>估价对象周边居住用地比例、居住小区规模和社区发展完善程度，综合评价居住社区成熟度一般</v>
      </c>
      <c r="D15" s="2460"/>
      <c r="E15" s="2440" t="s">
        <v>2270</v>
      </c>
      <c r="F15" s="2492" t="s">
        <v>2271</v>
      </c>
      <c r="G15" s="2494" t="str">
        <f>G3</f>
        <v>估价对象位于XX开发区，园区建设成熟度XX，产业集聚程度XX</v>
      </c>
    </row>
    <row r="16" spans="1:29" ht="38.25">
      <c r="A16" s="2441"/>
      <c r="B16" s="2495" t="s">
        <v>2251</v>
      </c>
      <c r="C16" s="2496" t="str">
        <f>C4</f>
        <v>估价对象位于XX商圈，周边商业氛围成熟，人流量大，商业繁华度好</v>
      </c>
      <c r="D16" s="2460"/>
      <c r="E16" s="2442"/>
      <c r="F16" s="2497" t="s">
        <v>2253</v>
      </c>
      <c r="G16" s="2498" t="str">
        <f>G4</f>
        <v>估价对象周边道路状况、公共交通通达情况、停车便捷程度，综合评价交通便捷度较好</v>
      </c>
    </row>
    <row r="17" spans="1:18" ht="38.25">
      <c r="A17" s="2441"/>
      <c r="B17" s="2495" t="s">
        <v>2255</v>
      </c>
      <c r="C17" s="2496" t="str">
        <f>C5</f>
        <v>估价对象位于XX商圈，周边办公楼项目较多，入驻率高，办公集聚程度较好</v>
      </c>
      <c r="D17" s="2466"/>
      <c r="E17" s="2442"/>
      <c r="F17" s="2497" t="s">
        <v>2272</v>
      </c>
      <c r="G17" s="2499"/>
    </row>
    <row r="18" spans="1:18" ht="38.25">
      <c r="A18" s="2441"/>
      <c r="B18" s="2497" t="s">
        <v>2259</v>
      </c>
      <c r="C18" s="2498" t="str">
        <f>C6</f>
        <v>估价对象周边道路状况、公共交通通达情况、停车便捷程度，综合评价交通便捷度较好</v>
      </c>
      <c r="D18" s="2466"/>
      <c r="E18" s="2442"/>
      <c r="F18" s="2497" t="s">
        <v>2262</v>
      </c>
      <c r="G18" s="2498" t="str">
        <f>G7</f>
        <v>该园区内是否有污染型企业，绿化情况，卫生条件，整体环境状况判断</v>
      </c>
    </row>
    <row r="19" spans="1:18" ht="25.5">
      <c r="A19" s="2441"/>
      <c r="B19" s="2497" t="s">
        <v>2273</v>
      </c>
      <c r="C19" s="2499"/>
      <c r="D19" s="2460"/>
      <c r="E19" s="2442"/>
      <c r="F19" s="323" t="s">
        <v>2257</v>
      </c>
      <c r="G19" s="2498" t="str">
        <f>G5</f>
        <v>估价对象所在区域公共配套设施齐备情况</v>
      </c>
    </row>
    <row r="20" spans="1:18" ht="25.5">
      <c r="A20" s="2441"/>
      <c r="B20" s="2497" t="s">
        <v>2274</v>
      </c>
      <c r="C20" s="2496" t="str">
        <f>C9</f>
        <v>区域自然环境：；人文环境；综合评价环境状况一般</v>
      </c>
      <c r="D20" s="2466"/>
      <c r="E20" s="2442"/>
      <c r="F20" s="323" t="s">
        <v>2260</v>
      </c>
      <c r="G20" s="2498" t="str">
        <f>G6</f>
        <v>估价对象所在区域基础设施水平</v>
      </c>
    </row>
    <row r="21" spans="1:18" ht="25.5">
      <c r="A21" s="2441"/>
      <c r="B21" s="323" t="s">
        <v>2257</v>
      </c>
      <c r="C21" s="2498" t="str">
        <f>C7</f>
        <v>估价对象所在区域公共配套设施齐备情况</v>
      </c>
      <c r="D21" s="2460"/>
      <c r="E21" s="2442"/>
      <c r="F21" s="2497" t="s">
        <v>2275</v>
      </c>
      <c r="G21" s="2500"/>
    </row>
    <row r="22" spans="1:18" ht="13.5" customHeight="1">
      <c r="A22" s="2441"/>
      <c r="B22" s="323" t="s">
        <v>2260</v>
      </c>
      <c r="C22" s="2498" t="str">
        <f>C8</f>
        <v>估价对象所在区域基础设施水平</v>
      </c>
      <c r="D22" s="2460"/>
      <c r="E22" s="2442"/>
      <c r="F22" s="2497" t="s">
        <v>2266</v>
      </c>
      <c r="G22" s="2499"/>
    </row>
    <row r="23" spans="1:18" s="798" customFormat="1" ht="15" thickBot="1">
      <c r="A23" s="2441"/>
      <c r="B23" s="2497" t="s">
        <v>2275</v>
      </c>
      <c r="C23" s="2500"/>
      <c r="D23" s="1738"/>
      <c r="E23" s="2443"/>
      <c r="F23" s="2501" t="s">
        <v>2276</v>
      </c>
      <c r="G23" s="2502"/>
      <c r="H23" s="2486"/>
      <c r="I23" s="2487"/>
      <c r="J23" s="2486"/>
      <c r="K23" s="2486"/>
      <c r="L23" s="2487"/>
      <c r="M23" s="2486"/>
      <c r="N23" s="2486"/>
      <c r="O23" s="2487"/>
      <c r="P23" s="2486"/>
      <c r="Q23" s="2486"/>
      <c r="R23" s="2488"/>
    </row>
    <row r="24" spans="1:18" s="798" customFormat="1" ht="15" thickBot="1">
      <c r="A24" s="2444"/>
      <c r="B24" s="2501" t="s">
        <v>2277</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8" sqref="E28"/>
    </sheetView>
  </sheetViews>
  <sheetFormatPr defaultColWidth="9" defaultRowHeight="13.5"/>
  <cols>
    <col min="1" max="1" width="25" style="2508" customWidth="1"/>
    <col min="2" max="9" width="15.75" style="2508" customWidth="1"/>
    <col min="10" max="16384" width="9" style="2508"/>
  </cols>
  <sheetData>
    <row r="1" spans="1:11" ht="16.5">
      <c r="A1" s="2507" t="s">
        <v>663</v>
      </c>
      <c r="B1" s="2507">
        <f>SUM(B14:B23)</f>
        <v>50816.34</v>
      </c>
      <c r="C1" s="2681"/>
      <c r="D1" s="2681"/>
      <c r="E1" s="2681"/>
      <c r="F1" s="2681"/>
      <c r="G1" s="2682"/>
      <c r="H1" s="2683"/>
      <c r="I1" s="2683"/>
      <c r="J1" s="2683"/>
      <c r="K1" s="2683"/>
    </row>
    <row r="2" spans="1:11" ht="16.5">
      <c r="A2" s="2507" t="s">
        <v>651</v>
      </c>
      <c r="B2" s="2507">
        <f>SUM(C14:C23)</f>
        <v>17349.990000000002</v>
      </c>
      <c r="C2" s="2681"/>
      <c r="D2" s="2681"/>
      <c r="E2" s="2681"/>
      <c r="F2" s="2681"/>
      <c r="G2" s="2682"/>
      <c r="H2" s="2683"/>
      <c r="I2" s="2683"/>
      <c r="J2" s="2683"/>
      <c r="K2" s="2683"/>
    </row>
    <row r="3" spans="1:11" ht="16.5">
      <c r="A3" s="2507" t="s">
        <v>660</v>
      </c>
      <c r="B3" s="2509">
        <f>项目基本情况!D3</f>
        <v>45216</v>
      </c>
      <c r="C3" s="2681"/>
      <c r="D3" s="2681"/>
      <c r="E3" s="2681"/>
      <c r="F3" s="2681"/>
      <c r="G3" s="2682"/>
      <c r="H3" s="2683"/>
      <c r="I3" s="2683"/>
      <c r="J3" s="2683"/>
      <c r="K3" s="2683"/>
    </row>
    <row r="4" spans="1:11" ht="33">
      <c r="A4" s="2507" t="s">
        <v>659</v>
      </c>
      <c r="B4" s="2507" t="s">
        <v>658</v>
      </c>
      <c r="C4" s="2507" t="s">
        <v>657</v>
      </c>
      <c r="D4" s="2507" t="s">
        <v>656</v>
      </c>
      <c r="E4" s="2681"/>
      <c r="F4" s="2682"/>
      <c r="G4" s="2682"/>
      <c r="H4" s="2683"/>
      <c r="I4" s="2683"/>
      <c r="J4" s="2683"/>
      <c r="K4" s="2683"/>
    </row>
    <row r="5" spans="1:11" ht="16.5">
      <c r="A5" s="2507" t="s">
        <v>655</v>
      </c>
      <c r="B5" s="2507">
        <f ca="1">SUM(D14:D23)</f>
        <v>97382</v>
      </c>
      <c r="C5" s="2507">
        <f ca="1">IF(B5=D14,结果表!H102,ROUND(B5*10000/$B$1,0))</f>
        <v>19164</v>
      </c>
      <c r="D5" s="2507">
        <f ca="1">ROUND(B5*10000/$B$2,0)</f>
        <v>56128</v>
      </c>
      <c r="E5" s="2681"/>
      <c r="F5" s="2682"/>
      <c r="G5" s="2682"/>
      <c r="H5" s="2683"/>
      <c r="I5" s="2683"/>
      <c r="J5" s="2683"/>
      <c r="K5" s="2683"/>
    </row>
    <row r="6" spans="1:11" ht="16.5">
      <c r="A6" s="2507" t="s">
        <v>654</v>
      </c>
      <c r="B6" s="2507">
        <f ca="1">SUM(G14:G23)</f>
        <v>97382</v>
      </c>
      <c r="C6" s="2507">
        <f ca="1">IF(B6=G14,结果表!H108,ROUND(B6*10000/$B$1,0))</f>
        <v>19164</v>
      </c>
      <c r="D6" s="2507">
        <f ca="1">ROUND(B6*10000/$B$2,0)</f>
        <v>56128</v>
      </c>
      <c r="E6" s="2681"/>
      <c r="F6" s="2682"/>
      <c r="G6" s="2682"/>
      <c r="H6" s="2683"/>
      <c r="I6" s="2683"/>
      <c r="J6" s="2683"/>
      <c r="K6" s="2683"/>
    </row>
    <row r="7" spans="1:11" ht="16.5">
      <c r="A7" s="2507" t="s">
        <v>662</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653</v>
      </c>
      <c r="B9" s="2515"/>
      <c r="C9" s="2681"/>
      <c r="D9" s="2681"/>
      <c r="E9" s="2681"/>
      <c r="F9" s="2682"/>
      <c r="G9" s="2682"/>
      <c r="H9" s="2683"/>
      <c r="I9" s="2683"/>
      <c r="J9" s="2683"/>
      <c r="K9" s="2683"/>
    </row>
    <row r="10" spans="1:11" ht="16.5">
      <c r="A10" s="2507" t="s">
        <v>652</v>
      </c>
      <c r="B10" s="2507">
        <f>IF(E10="",0,ROUND(B1*(E10*365/G10)/10000,0))</f>
        <v>0</v>
      </c>
      <c r="C10" s="2507" t="s">
        <v>3358</v>
      </c>
      <c r="D10" s="2507" t="s">
        <v>3359</v>
      </c>
      <c r="E10" s="3436"/>
      <c r="F10" s="3440" t="s">
        <v>3360</v>
      </c>
      <c r="G10" s="3437"/>
      <c r="H10" s="2683"/>
      <c r="I10" s="2683"/>
      <c r="J10" s="2683"/>
      <c r="K10" s="2683"/>
    </row>
    <row r="11" spans="1:11" ht="16.5">
      <c r="A11" s="2507" t="s">
        <v>668</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667</v>
      </c>
      <c r="B13" s="2511" t="s">
        <v>664</v>
      </c>
      <c r="C13" s="2511" t="s">
        <v>666</v>
      </c>
      <c r="D13" s="2511" t="s">
        <v>665</v>
      </c>
      <c r="E13" s="2507" t="s">
        <v>657</v>
      </c>
      <c r="F13" s="2507" t="s">
        <v>656</v>
      </c>
      <c r="G13" s="2511" t="s">
        <v>650</v>
      </c>
      <c r="H13" s="2511" t="s">
        <v>661</v>
      </c>
      <c r="I13" s="2511" t="s">
        <v>649</v>
      </c>
      <c r="J13" s="2682"/>
      <c r="K13" s="2683"/>
    </row>
    <row r="14" spans="1:11" ht="16.5">
      <c r="A14" s="2512" t="s">
        <v>4091</v>
      </c>
      <c r="B14" s="2513">
        <f>'数据-基础表'!B3</f>
        <v>50816.34</v>
      </c>
      <c r="C14" s="2513">
        <f>'数据-基础表'!A3</f>
        <v>17349.990000000002</v>
      </c>
      <c r="D14" s="2513">
        <f ca="1">结果表!G19</f>
        <v>97382</v>
      </c>
      <c r="E14" s="2513">
        <f ca="1">ROUND(D14*10000/B14,0)</f>
        <v>19164</v>
      </c>
      <c r="F14" s="2513">
        <f ca="1">ROUND(D14*10000/C14,0)</f>
        <v>56128</v>
      </c>
      <c r="G14" s="2513">
        <f ca="1">D14</f>
        <v>97382</v>
      </c>
      <c r="H14" s="2513"/>
      <c r="I14" s="2513"/>
      <c r="J14" s="2682"/>
      <c r="K14" s="2683"/>
    </row>
    <row r="15" spans="1:11" ht="16.5">
      <c r="A15" s="2512"/>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22" sqref="K22"/>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25" t="str">
        <f>项目基本情况!S2</f>
        <v>北京市房地产</v>
      </c>
      <c r="B2" s="3626"/>
      <c r="C2" s="3626"/>
      <c r="D2" s="3626"/>
      <c r="E2" s="3626"/>
      <c r="F2" s="3626"/>
      <c r="G2" s="3626"/>
      <c r="H2" s="3626"/>
      <c r="I2" s="3627"/>
    </row>
    <row r="3" spans="1:12" ht="12.75">
      <c r="A3" s="3629" t="s">
        <v>1262</v>
      </c>
      <c r="B3" s="3630"/>
      <c r="C3" s="3630"/>
      <c r="D3" s="3630"/>
      <c r="E3" s="3630"/>
      <c r="F3" s="3630"/>
      <c r="G3" s="3630"/>
      <c r="H3" s="3630"/>
      <c r="I3" s="3630"/>
    </row>
    <row r="4" spans="1:12" ht="14.25">
      <c r="A4" s="1751" t="s">
        <v>1263</v>
      </c>
      <c r="B4" s="1752" t="s">
        <v>1264</v>
      </c>
      <c r="C4" s="1753" t="s">
        <v>4089</v>
      </c>
      <c r="D4" s="1753" t="s">
        <v>4090</v>
      </c>
      <c r="E4" s="3631" t="s">
        <v>1265</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05" t="s">
        <v>1266</v>
      </c>
      <c r="B5" s="3592">
        <v>25</v>
      </c>
      <c r="C5" s="3608"/>
      <c r="D5" s="3628"/>
      <c r="E5" s="131" t="s">
        <v>1267</v>
      </c>
      <c r="F5" s="1754"/>
      <c r="G5" s="1754"/>
      <c r="H5" s="1754"/>
      <c r="I5" s="1370"/>
    </row>
    <row r="6" spans="1:12" ht="12.75">
      <c r="A6" s="3605"/>
      <c r="B6" s="3592"/>
      <c r="C6" s="3609"/>
      <c r="D6" s="3628"/>
      <c r="E6" s="131" t="s">
        <v>1268</v>
      </c>
      <c r="F6" s="1754"/>
      <c r="G6" s="1754"/>
      <c r="H6" s="1754"/>
      <c r="I6" s="1370"/>
    </row>
    <row r="7" spans="1:12" ht="12.75">
      <c r="A7" s="3605"/>
      <c r="B7" s="3592"/>
      <c r="C7" s="3610"/>
      <c r="D7" s="3628"/>
      <c r="E7" s="131" t="s">
        <v>1269</v>
      </c>
      <c r="F7" s="1754"/>
      <c r="G7" s="1754"/>
      <c r="H7" s="1754"/>
      <c r="I7" s="1370"/>
    </row>
    <row r="8" spans="1:12" ht="12.75">
      <c r="A8" s="3605" t="s">
        <v>1270</v>
      </c>
      <c r="B8" s="3592">
        <v>15</v>
      </c>
      <c r="C8" s="3608"/>
      <c r="D8" s="3628"/>
      <c r="E8" s="131" t="s">
        <v>1271</v>
      </c>
      <c r="F8" s="1754"/>
      <c r="G8" s="1754"/>
      <c r="H8" s="1754"/>
      <c r="I8" s="1370"/>
    </row>
    <row r="9" spans="1:12" ht="12.75">
      <c r="A9" s="3605"/>
      <c r="B9" s="3592"/>
      <c r="C9" s="3610"/>
      <c r="D9" s="3628"/>
      <c r="E9" s="131" t="s">
        <v>1272</v>
      </c>
      <c r="F9" s="1754"/>
      <c r="G9" s="1754"/>
      <c r="H9" s="1754"/>
      <c r="I9" s="1370"/>
    </row>
    <row r="10" spans="1:12" ht="12.75">
      <c r="A10" s="3605" t="s">
        <v>1273</v>
      </c>
      <c r="B10" s="3592">
        <v>15</v>
      </c>
      <c r="C10" s="3608"/>
      <c r="D10" s="3628"/>
      <c r="E10" s="131" t="s">
        <v>1274</v>
      </c>
      <c r="F10" s="1754"/>
      <c r="G10" s="1754"/>
      <c r="H10" s="1754"/>
      <c r="I10" s="1370"/>
    </row>
    <row r="11" spans="1:12" ht="12.75">
      <c r="A11" s="3605"/>
      <c r="B11" s="3592"/>
      <c r="C11" s="3610"/>
      <c r="D11" s="3628"/>
      <c r="E11" s="131" t="s">
        <v>1275</v>
      </c>
      <c r="F11" s="1754"/>
      <c r="G11" s="1754"/>
      <c r="H11" s="1754"/>
      <c r="I11" s="1370"/>
    </row>
    <row r="12" spans="1:12" ht="12.75">
      <c r="A12" s="3605" t="s">
        <v>1276</v>
      </c>
      <c r="B12" s="3592">
        <v>15</v>
      </c>
      <c r="C12" s="3608"/>
      <c r="D12" s="3628"/>
      <c r="E12" s="131" t="s">
        <v>1277</v>
      </c>
      <c r="F12" s="1754"/>
      <c r="G12" s="1754"/>
      <c r="H12" s="1754"/>
      <c r="I12" s="1370"/>
    </row>
    <row r="13" spans="1:12" ht="12.75">
      <c r="A13" s="3605"/>
      <c r="B13" s="3592"/>
      <c r="C13" s="3610"/>
      <c r="D13" s="3628"/>
      <c r="E13" s="131" t="s">
        <v>1278</v>
      </c>
      <c r="F13" s="1754"/>
      <c r="G13" s="1754"/>
      <c r="H13" s="1754"/>
      <c r="I13" s="1370"/>
    </row>
    <row r="14" spans="1:12" ht="12.75">
      <c r="A14" s="3605" t="s">
        <v>1279</v>
      </c>
      <c r="B14" s="3592">
        <v>30</v>
      </c>
      <c r="C14" s="3608">
        <v>5</v>
      </c>
      <c r="D14" s="3628">
        <v>5</v>
      </c>
      <c r="E14" s="131" t="s">
        <v>1280</v>
      </c>
      <c r="F14" s="1754"/>
      <c r="G14" s="1754"/>
      <c r="H14" s="1754"/>
      <c r="I14" s="1370"/>
    </row>
    <row r="15" spans="1:12" ht="12.75">
      <c r="A15" s="3605"/>
      <c r="B15" s="3592"/>
      <c r="C15" s="3609"/>
      <c r="D15" s="3628"/>
      <c r="E15" s="131" t="s">
        <v>1281</v>
      </c>
      <c r="F15" s="1754"/>
      <c r="G15" s="1754"/>
      <c r="H15" s="1754"/>
      <c r="I15" s="1370"/>
    </row>
    <row r="16" spans="1:12" ht="12.75">
      <c r="A16" s="3605"/>
      <c r="B16" s="3592"/>
      <c r="C16" s="3610"/>
      <c r="D16" s="3628"/>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615" t="s">
        <v>2128</v>
      </c>
      <c r="F18" s="3616"/>
      <c r="G18" s="3616"/>
      <c r="H18" s="3616"/>
      <c r="I18" s="3616"/>
      <c r="K18" s="302" t="s">
        <v>1287</v>
      </c>
      <c r="L18" s="302">
        <f>IF(C1="",'数据-汇总表'!E3,SUMIF(项目类型,C1,'数据-汇总表'!E17:E26)+SUMIF(项目类型,C1,'数据-汇总表'!I17:I26))</f>
        <v>50816.34</v>
      </c>
      <c r="M18" s="302">
        <f>IF(C1="",'数据-汇总表'!E3,SUMIF(项目类型,C1,'数据-汇总表'!E17:E26))</f>
        <v>50816.34</v>
      </c>
    </row>
    <row r="19" spans="1:36" ht="15">
      <c r="A19" s="1758" t="s">
        <v>1288</v>
      </c>
      <c r="B19" s="1759" t="s">
        <v>1289</v>
      </c>
      <c r="C19" s="134">
        <f ca="1">SUMIF(INDIRECT("'"&amp;C4&amp;"'"&amp;"!A:A"),结果表!B19,INDIRECT("'"&amp;C4&amp;"'"&amp;"!B:B"))</f>
        <v>102106</v>
      </c>
      <c r="D19" s="135">
        <f ca="1">SUMIF(INDIRECT("'"&amp;D4&amp;"'"&amp;"!A:A"),结果表!B19,INDIRECT("'"&amp;D4&amp;"'"&amp;"!B:B"))</f>
        <v>92657</v>
      </c>
      <c r="E19" s="1758" t="s">
        <v>1290</v>
      </c>
      <c r="F19" s="1759" t="s">
        <v>1289</v>
      </c>
      <c r="G19" s="136">
        <f ca="1">ROUND(C19*$C$18+D19*$D$18,0)</f>
        <v>97382</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SUMIF(INDIRECT("'"&amp;C4&amp;"'"&amp;"!A:A"),结果表!B20,INDIRECT("'"&amp;C4&amp;"'"&amp;"!B:B"))</f>
        <v>20093</v>
      </c>
      <c r="D20" s="138">
        <f ca="1">SUMIF(INDIRECT("'"&amp;D4&amp;"'"&amp;"!A:A"),结果表!B20,INDIRECT("'"&amp;D4&amp;"'"&amp;"!B:B"))</f>
        <v>18234</v>
      </c>
      <c r="E20" s="1761"/>
      <c r="F20" s="1024" t="s">
        <v>1293</v>
      </c>
      <c r="G20" s="139">
        <f ca="1">ROUND(C20*$C$18+D20*$D$18,0)</f>
        <v>19164</v>
      </c>
      <c r="H20" s="807" t="s">
        <v>1294</v>
      </c>
      <c r="I20" s="129"/>
    </row>
    <row r="21" spans="1:36" ht="15" customHeight="1" thickBot="1">
      <c r="A21" s="827"/>
      <c r="B21" s="1762" t="s">
        <v>1295</v>
      </c>
      <c r="C21" s="718">
        <f ca="1">ROUND(C19*10000/L19,0)</f>
        <v>58851</v>
      </c>
      <c r="D21" s="719">
        <f ca="1">ROUND(D19*10000/L19,0)</f>
        <v>53405</v>
      </c>
      <c r="E21" s="827"/>
      <c r="F21" s="1762" t="s">
        <v>1295</v>
      </c>
      <c r="G21" s="140">
        <f ca="1">ROUND(G19*10000/L19,0)</f>
        <v>56128</v>
      </c>
      <c r="H21" s="1763" t="s">
        <v>1294</v>
      </c>
      <c r="I21" s="129"/>
    </row>
    <row r="22" spans="1:36" ht="15" thickBot="1">
      <c r="A22" s="1685" t="s">
        <v>1296</v>
      </c>
      <c r="B22" s="1764"/>
      <c r="C22" s="1765"/>
      <c r="D22" s="720">
        <f ca="1">IF(C19&lt;D19,D19/C19-1,C19/D19-1)</f>
        <v>0.10197826391961762</v>
      </c>
      <c r="E22" s="129"/>
      <c r="F22" s="129"/>
      <c r="G22" s="129"/>
      <c r="H22" s="129"/>
      <c r="I22" s="129"/>
    </row>
    <row r="23" spans="1:36" ht="13.5" thickBot="1">
      <c r="A23" s="1744"/>
      <c r="B23" s="1744"/>
      <c r="C23" s="1744"/>
      <c r="D23" s="1744"/>
      <c r="E23" s="129"/>
      <c r="F23" s="129"/>
      <c r="G23" s="129"/>
      <c r="H23" s="129"/>
      <c r="I23" s="129"/>
    </row>
    <row r="24" spans="1:36" ht="14.25">
      <c r="A24" s="3599" t="s">
        <v>1297</v>
      </c>
      <c r="B24" s="1759" t="s">
        <v>1289</v>
      </c>
      <c r="C24" s="136">
        <f>IF(B30=0,0,D30)</f>
        <v>0</v>
      </c>
      <c r="D24" s="1766"/>
      <c r="E24" s="129"/>
      <c r="F24" s="129"/>
      <c r="G24" s="129"/>
      <c r="H24" s="129"/>
      <c r="I24" s="129"/>
    </row>
    <row r="25" spans="1:36" ht="14.25">
      <c r="A25" s="3600"/>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97382</v>
      </c>
      <c r="D32" s="1772" t="s">
        <v>4092</v>
      </c>
      <c r="E32" s="129"/>
      <c r="F32" s="129"/>
      <c r="G32" s="129"/>
      <c r="H32" s="129"/>
      <c r="I32" s="129"/>
    </row>
    <row r="33" spans="1:15" ht="15">
      <c r="A33" s="785" t="s">
        <v>1304</v>
      </c>
      <c r="B33" s="1773"/>
      <c r="C33" s="1774" t="s">
        <v>4093</v>
      </c>
      <c r="D33" s="1775" t="s">
        <v>4089</v>
      </c>
      <c r="E33" s="1776" t="s">
        <v>1305</v>
      </c>
      <c r="F33" s="1777" t="str">
        <f>IF(D32="楼面单价","取值（单价）","取值（总价）")</f>
        <v>取值（总价）</v>
      </c>
      <c r="G33" s="129"/>
      <c r="H33" s="129"/>
      <c r="I33" s="129"/>
    </row>
    <row r="34" spans="1:15" ht="15">
      <c r="A34" s="1778"/>
      <c r="B34" s="1779" t="s">
        <v>1306</v>
      </c>
      <c r="C34" s="148">
        <f ca="1">IF(C33="自定义",F34,C32-C35)</f>
        <v>83359</v>
      </c>
      <c r="D34" s="860">
        <f ca="1">IF(C33="自定义",ROUND(C34/C32,3),IF(C33="收益比率",SUMIF(INDIRECT("'"&amp;D33&amp;"'"&amp;"!b:b"),"土地收益比率",INDIRECT("'"&amp;D33&amp;"'"&amp;"!c:c")),SUMIF(INDIRECT("'"&amp;D33&amp;"'"&amp;"!b:b"),"土地成本比率",INDIRECT("'"&amp;D33&amp;"'"&amp;"!c:c"))))</f>
        <v>0.85599999999999998</v>
      </c>
      <c r="E34" s="1780" t="s">
        <v>1307</v>
      </c>
      <c r="F34" s="1327"/>
      <c r="G34" s="129"/>
      <c r="H34" s="129"/>
      <c r="I34" s="129"/>
    </row>
    <row r="35" spans="1:15" ht="15.75" thickBot="1">
      <c r="A35" s="1781"/>
      <c r="B35" s="1782" t="s">
        <v>1308</v>
      </c>
      <c r="C35" s="1168">
        <f ca="1">IF(C33="自定义",F35,ROUND(C32*D35,0))</f>
        <v>14023</v>
      </c>
      <c r="D35" s="1169">
        <f ca="1">IF(C33="自定义",ROUND(C35/C32,3),IF(C33="收益比率",SUMIF(INDIRECT("'"&amp;D33&amp;"'"&amp;"!b:b"),"建筑物收益比率",INDIRECT("'"&amp;D33&amp;"'"&amp;"!c:c")),SUMIF(INDIRECT("'"&amp;D33&amp;"'"&amp;"!b:b"),"建筑物成本比率",INDIRECT("'"&amp;D33&amp;"'"&amp;"!c:c"))))</f>
        <v>0.14399999999999999</v>
      </c>
      <c r="E35" s="1783" t="s">
        <v>1309</v>
      </c>
      <c r="F35" s="154"/>
      <c r="G35" s="129"/>
      <c r="H35" s="129"/>
      <c r="I35" s="129"/>
    </row>
    <row r="36" spans="1:15" ht="15.75" thickBot="1">
      <c r="A36" s="3619" t="s">
        <v>1310</v>
      </c>
      <c r="B36" s="1784" t="s">
        <v>1311</v>
      </c>
      <c r="C36" s="145"/>
      <c r="D36" s="1785"/>
      <c r="E36" s="1786"/>
      <c r="F36" s="1787"/>
      <c r="G36" s="129"/>
      <c r="H36" s="129"/>
      <c r="I36" s="129"/>
    </row>
    <row r="37" spans="1:15" ht="15.75" thickBot="1">
      <c r="A37" s="3620"/>
      <c r="B37" s="1671" t="s">
        <v>1312</v>
      </c>
      <c r="C37" s="147"/>
      <c r="D37" s="1137"/>
      <c r="E37" s="1137"/>
      <c r="F37" s="1787"/>
      <c r="G37" s="129"/>
      <c r="H37" s="129"/>
      <c r="I37" s="129"/>
    </row>
    <row r="38" spans="1:15" ht="15.75" thickBot="1">
      <c r="A38" s="3621"/>
      <c r="B38" s="1788" t="s">
        <v>1313</v>
      </c>
      <c r="C38" s="673"/>
      <c r="D38" s="1789" t="s">
        <v>1314</v>
      </c>
      <c r="E38" s="1137"/>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596" t="s">
        <v>1324</v>
      </c>
      <c r="B45" s="3597"/>
      <c r="C45" s="3598"/>
      <c r="D45" s="155">
        <f ca="1">ROUND(H101*F45,0)</f>
        <v>97382</v>
      </c>
      <c r="E45" s="156" t="s">
        <v>1325</v>
      </c>
      <c r="F45" s="157">
        <v>1</v>
      </c>
      <c r="G45" s="158" t="s">
        <v>1326</v>
      </c>
      <c r="H45" s="129"/>
      <c r="I45" s="129"/>
      <c r="J45" s="3674" t="s">
        <v>1327</v>
      </c>
      <c r="K45" s="3674"/>
      <c r="L45" s="3674"/>
      <c r="M45" s="3674"/>
      <c r="N45" s="3674"/>
      <c r="O45" s="3674"/>
    </row>
    <row r="46" spans="1:15" ht="14.25" customHeight="1">
      <c r="A46" s="3593" t="s">
        <v>1328</v>
      </c>
      <c r="B46" s="3594"/>
      <c r="C46" s="3594"/>
      <c r="D46" s="3594"/>
      <c r="E46" s="3594"/>
      <c r="F46" s="3594"/>
      <c r="G46" s="3595"/>
      <c r="H46" s="1803"/>
      <c r="I46" s="159"/>
      <c r="J46" s="2518">
        <v>1</v>
      </c>
      <c r="K46" s="3655" t="s">
        <v>1329</v>
      </c>
      <c r="L46" s="3655"/>
      <c r="M46" s="3675"/>
      <c r="N46" s="3675"/>
      <c r="O46" s="3675"/>
    </row>
    <row r="47" spans="1:15" ht="12" customHeight="1">
      <c r="A47" s="160" t="s">
        <v>1330</v>
      </c>
      <c r="B47" s="161"/>
      <c r="C47" s="162"/>
      <c r="D47" s="1085" t="s">
        <v>1331</v>
      </c>
      <c r="E47" s="302" t="s">
        <v>1332</v>
      </c>
      <c r="F47" s="163" t="s">
        <v>1333</v>
      </c>
      <c r="G47" s="2541" t="s">
        <v>1334</v>
      </c>
      <c r="H47" s="2542"/>
      <c r="I47" s="159"/>
      <c r="J47" s="2518">
        <v>2</v>
      </c>
      <c r="K47" s="3655" t="s">
        <v>1335</v>
      </c>
      <c r="L47" s="3655"/>
      <c r="M47" s="3676">
        <f>'数据-取费表'!B2</f>
        <v>45216</v>
      </c>
      <c r="N47" s="3676"/>
      <c r="O47" s="3676"/>
    </row>
    <row r="48" spans="1:15" ht="25.5">
      <c r="A48" s="3624" t="s">
        <v>1336</v>
      </c>
      <c r="B48" s="3607"/>
      <c r="C48" s="3607"/>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1337</v>
      </c>
      <c r="H48" s="2545"/>
      <c r="I48" s="1803"/>
      <c r="J48" s="2518">
        <v>3</v>
      </c>
      <c r="K48" s="3655" t="s">
        <v>1338</v>
      </c>
      <c r="L48" s="3655"/>
      <c r="M48" s="3677">
        <f ca="1">H101</f>
        <v>97382</v>
      </c>
      <c r="N48" s="3677"/>
      <c r="O48" s="3677"/>
    </row>
    <row r="49" spans="1:35" ht="25.5" customHeight="1">
      <c r="A49" s="2328" t="s">
        <v>1339</v>
      </c>
      <c r="B49" s="3591" t="s">
        <v>1340</v>
      </c>
      <c r="C49" s="3591"/>
      <c r="D49" s="1587">
        <v>0</v>
      </c>
      <c r="E49" s="324" t="s">
        <v>1341</v>
      </c>
      <c r="F49" s="2419" t="s">
        <v>28</v>
      </c>
      <c r="G49" s="3661"/>
      <c r="H49" s="2305" t="s">
        <v>2131</v>
      </c>
      <c r="I49" s="2306"/>
      <c r="J49" s="2518">
        <v>4</v>
      </c>
      <c r="K49" s="3655" t="str">
        <f>IF(项目基本情况!E8="房地产抵押价值","房地产抵押价值","抵押担保权已注销时的房地产抵押价值")</f>
        <v>房地产抵押价值</v>
      </c>
      <c r="L49" s="3655"/>
      <c r="M49" s="3677">
        <f ca="1">IF(项目基本情况!E8="房地产抵押价值",H107,H109)</f>
        <v>97382</v>
      </c>
      <c r="N49" s="3677"/>
      <c r="O49" s="3677"/>
    </row>
    <row r="50" spans="1:35" ht="25.5" customHeight="1">
      <c r="A50" s="2546"/>
      <c r="B50" s="3591" t="s">
        <v>1342</v>
      </c>
      <c r="C50" s="3591"/>
      <c r="D50" s="2547"/>
      <c r="E50" s="332"/>
      <c r="F50" s="2419"/>
      <c r="G50" s="3662"/>
      <c r="H50" s="2307" t="s">
        <v>2132</v>
      </c>
      <c r="I50" s="2306"/>
      <c r="J50" s="3674" t="s">
        <v>1343</v>
      </c>
      <c r="K50" s="3674"/>
      <c r="L50" s="3674"/>
      <c r="M50" s="3674"/>
      <c r="N50" s="3674"/>
      <c r="O50" s="3674"/>
    </row>
    <row r="51" spans="1:35" ht="20.45" customHeight="1">
      <c r="A51" s="2548"/>
      <c r="B51" s="3591" t="s">
        <v>1344</v>
      </c>
      <c r="C51" s="3591"/>
      <c r="D51" s="1085"/>
      <c r="E51" s="327"/>
      <c r="F51" s="2419"/>
      <c r="G51" s="3663"/>
      <c r="H51" s="2307" t="s">
        <v>2133</v>
      </c>
      <c r="I51" s="2306"/>
      <c r="J51" s="2519" t="s">
        <v>1345</v>
      </c>
      <c r="K51" s="3655" t="s">
        <v>1346</v>
      </c>
      <c r="L51" s="3655"/>
      <c r="M51" s="2519" t="s">
        <v>1347</v>
      </c>
      <c r="N51" s="2519" t="s">
        <v>1348</v>
      </c>
      <c r="O51" s="2519" t="s">
        <v>1349</v>
      </c>
    </row>
    <row r="52" spans="1:35" ht="24" customHeight="1">
      <c r="A52" s="2330" t="s">
        <v>1350</v>
      </c>
      <c r="B52" s="3591" t="s">
        <v>1351</v>
      </c>
      <c r="C52" s="3591"/>
      <c r="D52" s="1085">
        <f ca="1">ROUND(D45*'数据-取费表'!B41/(1+'数据-取费表'!C42),0)</f>
        <v>5101</v>
      </c>
      <c r="E52" s="2329" t="s">
        <v>1352</v>
      </c>
      <c r="F52" s="2549">
        <f>'数据-取费表'!B41</f>
        <v>5.5000000000000007E-2</v>
      </c>
      <c r="G52" s="2550"/>
      <c r="H52" s="2539"/>
      <c r="I52" s="1804"/>
      <c r="J52" s="2518">
        <v>1</v>
      </c>
      <c r="K52" s="3656" t="s">
        <v>1353</v>
      </c>
      <c r="L52" s="3656"/>
      <c r="M52" s="2520" t="b">
        <f>D48</f>
        <v>0</v>
      </c>
      <c r="N52" s="2518" t="str">
        <f>E48</f>
        <v>销售额×税（费）率</v>
      </c>
      <c r="O52" s="2521">
        <f>F48</f>
        <v>5.5000000000000007E-2</v>
      </c>
    </row>
    <row r="53" spans="1:35" ht="12" customHeight="1">
      <c r="A53" s="2330" t="s">
        <v>1354</v>
      </c>
      <c r="B53" s="3617" t="s">
        <v>2288</v>
      </c>
      <c r="C53" s="3618"/>
      <c r="D53" s="1085">
        <f ca="1">ROUND(D45*'数据-取费表'!B41/(1+'数据-取费表'!C42),0)</f>
        <v>5101</v>
      </c>
      <c r="E53" s="2329" t="s">
        <v>1352</v>
      </c>
      <c r="F53" s="2549">
        <f>'数据-取费表'!B41</f>
        <v>5.5000000000000007E-2</v>
      </c>
      <c r="G53" s="2550"/>
      <c r="H53" s="2539"/>
      <c r="I53" s="1804"/>
      <c r="J53" s="2518">
        <v>2</v>
      </c>
      <c r="K53" s="3656" t="s">
        <v>1355</v>
      </c>
      <c r="L53" s="3656"/>
      <c r="M53" s="2520">
        <f t="shared" ref="M53:O54" ca="1" si="0">D55</f>
        <v>49</v>
      </c>
      <c r="N53" s="2518" t="str">
        <f t="shared" si="0"/>
        <v>销售额×税（费）率</v>
      </c>
      <c r="O53" s="2521" t="str">
        <f t="shared" si="0"/>
        <v>免征</v>
      </c>
    </row>
    <row r="54" spans="1:35" ht="12" customHeight="1">
      <c r="A54" s="2330" t="s">
        <v>1356</v>
      </c>
      <c r="B54" s="3617" t="s">
        <v>2289</v>
      </c>
      <c r="C54" s="3618"/>
      <c r="D54" s="1085">
        <f ca="1">C68</f>
        <v>5101</v>
      </c>
      <c r="E54" s="327" t="s">
        <v>1357</v>
      </c>
      <c r="F54" s="2549">
        <f>'数据-取费表'!B41</f>
        <v>5.5000000000000007E-2</v>
      </c>
      <c r="G54" s="2550"/>
      <c r="H54" s="2551"/>
      <c r="I54" s="1804"/>
      <c r="J54" s="2518">
        <v>3</v>
      </c>
      <c r="K54" s="3656" t="s">
        <v>1358</v>
      </c>
      <c r="L54" s="3656"/>
      <c r="M54" s="2520">
        <f t="shared" ca="1" si="0"/>
        <v>55206</v>
      </c>
      <c r="N54" s="2518" t="str">
        <f t="shared" si="0"/>
        <v>增值额×税（费）率</v>
      </c>
      <c r="O54" s="2522" t="str">
        <f t="shared" si="0"/>
        <v>免征</v>
      </c>
    </row>
    <row r="55" spans="1:35" ht="24" customHeight="1">
      <c r="A55" s="3606" t="s">
        <v>1359</v>
      </c>
      <c r="B55" s="3607"/>
      <c r="C55" s="3607"/>
      <c r="D55" s="2319">
        <f ca="1">IF(H55="个人住宅",0,ROUND(D45*I55,0))</f>
        <v>49</v>
      </c>
      <c r="E55" s="2329" t="s">
        <v>1360</v>
      </c>
      <c r="F55" s="2549" t="str">
        <f>IF(H55="正常",I55,"免征")</f>
        <v>免征</v>
      </c>
      <c r="G55" s="2550"/>
      <c r="H55" s="2545"/>
      <c r="I55" s="165">
        <f>'数据-取费表'!B49</f>
        <v>5.0000000000000001E-4</v>
      </c>
      <c r="J55" s="2518">
        <f>IF(H59="非个人房产","",4)</f>
        <v>4</v>
      </c>
      <c r="K55" s="3656" t="str">
        <f>IF(H59="非个人房产","——","个人所得税")</f>
        <v>个人所得税</v>
      </c>
      <c r="L55" s="3656"/>
      <c r="M55" s="2523">
        <f ca="1">D59</f>
        <v>927</v>
      </c>
      <c r="N55" s="2035" t="str">
        <f>E59</f>
        <v>差额计税</v>
      </c>
      <c r="O55" s="2524">
        <f>F59</f>
        <v>0.01</v>
      </c>
    </row>
    <row r="56" spans="1:35" ht="24.75">
      <c r="A56" s="3606" t="s">
        <v>1361</v>
      </c>
      <c r="B56" s="3607"/>
      <c r="C56" s="3607"/>
      <c r="D56" s="2319">
        <f ca="1">IF(H56="个人住宅",D57,D58)</f>
        <v>55206</v>
      </c>
      <c r="E56" s="2329" t="s">
        <v>1362</v>
      </c>
      <c r="F56" s="2549" t="str">
        <f>IF(H56="正常",F58,"免征")</f>
        <v>免征</v>
      </c>
      <c r="G56" s="2552" t="s">
        <v>1363</v>
      </c>
      <c r="H56" s="2553"/>
      <c r="I56" s="1805"/>
      <c r="J56" s="2518" t="str">
        <f>IF(项目基本情况!K6="上海银行",IF(J55="",4,J55+1),"")</f>
        <v/>
      </c>
      <c r="K56" s="3679" t="str">
        <f>IF(项目基本情况!K6="上海银行","其他处置费用","")</f>
        <v/>
      </c>
      <c r="L56" s="3680"/>
      <c r="M56" s="2520" t="str">
        <f>IF(项目基本情况!K6="上海银行",M69,"")</f>
        <v/>
      </c>
      <c r="N56" s="3679" t="str">
        <f>IF(项目基本情况!K6="上海银行","包含处置中涉及的律师、诉讼、拍卖、评估等费用","")</f>
        <v/>
      </c>
      <c r="O56" s="3682"/>
    </row>
    <row r="57" spans="1:35" ht="12.75">
      <c r="A57" s="2330" t="s">
        <v>1339</v>
      </c>
      <c r="B57" s="3617" t="s">
        <v>1364</v>
      </c>
      <c r="C57" s="3618"/>
      <c r="D57" s="1587">
        <v>0</v>
      </c>
      <c r="E57" s="324" t="s">
        <v>1341</v>
      </c>
      <c r="F57" s="302"/>
      <c r="G57" s="2550"/>
      <c r="H57" s="2554"/>
      <c r="I57" s="1805"/>
      <c r="J57" s="3656">
        <f>IF(AND(J55="",J56=""),4,IF(项目基本情况!K6="上海银行",结果表!J56+1,结果表!J55+1))</f>
        <v>5</v>
      </c>
      <c r="K57" s="3656" t="s">
        <v>1365</v>
      </c>
      <c r="L57" s="2525" t="s">
        <v>1366</v>
      </c>
      <c r="M57" s="2526"/>
      <c r="N57" s="2527">
        <f ca="1">SUMIF(M52:M56,"&lt;9e307")</f>
        <v>56182</v>
      </c>
      <c r="O57" s="2528"/>
      <c r="P57" s="2685">
        <f ca="1">N57/M49</f>
        <v>0.57692386683370644</v>
      </c>
    </row>
    <row r="58" spans="1:35" ht="24.75">
      <c r="A58" s="2330" t="s">
        <v>1350</v>
      </c>
      <c r="B58" s="3617" t="s">
        <v>1367</v>
      </c>
      <c r="C58" s="3591"/>
      <c r="D58" s="2319">
        <f ca="1">IF(H58="转让取得",C81,C97)</f>
        <v>55206</v>
      </c>
      <c r="E58" s="2329" t="s">
        <v>1362</v>
      </c>
      <c r="F58" s="302" t="s">
        <v>28</v>
      </c>
      <c r="G58" s="2550"/>
      <c r="H58" s="2553"/>
      <c r="I58" s="1805"/>
      <c r="J58" s="3656"/>
      <c r="K58" s="3656"/>
      <c r="L58" s="2525" t="s">
        <v>1368</v>
      </c>
      <c r="M58" s="2529"/>
      <c r="N58" s="2530" t="str">
        <f ca="1">NUMBERSTRING(INT(N57*10000),2)&amp;"元整"</f>
        <v>伍亿陆仟壹佰捌拾贰万元整</v>
      </c>
      <c r="O58" s="2531"/>
    </row>
    <row r="59" spans="1:35" ht="24.75" thickBot="1">
      <c r="A59" s="3659" t="s">
        <v>1369</v>
      </c>
      <c r="B59" s="3660"/>
      <c r="C59" s="3660"/>
      <c r="D59" s="2555">
        <f ca="1">IF(H59="非个人房产","——",IF(H59="个人住宅（满五唯一有凭证）",0,IF(H59="个人其他（无凭证）",ROUND(D45*F59,0),ROUND(C67*F59,0))))</f>
        <v>927</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09"/>
      <c r="I59" s="2308" t="s">
        <v>2134</v>
      </c>
      <c r="J59" s="3657">
        <f>J57+1</f>
        <v>6</v>
      </c>
      <c r="K59" s="3656" t="s">
        <v>1370</v>
      </c>
      <c r="L59" s="2518" t="s">
        <v>1366</v>
      </c>
      <c r="M59" s="2532"/>
      <c r="N59" s="2533">
        <f ca="1">M49-N57</f>
        <v>41200</v>
      </c>
      <c r="O59" s="2534"/>
    </row>
    <row r="60" spans="1:35" ht="12" customHeight="1">
      <c r="A60" s="1806"/>
      <c r="B60" s="1744"/>
      <c r="C60" s="1744"/>
      <c r="D60" s="1744"/>
      <c r="E60" s="1575"/>
      <c r="F60" s="1805"/>
      <c r="G60" s="1805"/>
      <c r="H60" s="1807"/>
      <c r="I60" s="129"/>
      <c r="J60" s="3658"/>
      <c r="K60" s="3656"/>
      <c r="L60" s="2525" t="s">
        <v>1368</v>
      </c>
      <c r="M60" s="2529"/>
      <c r="N60" s="2530" t="str">
        <f ca="1">NUMBERSTRING(INT(N59*10000),2)&amp;"元整"</f>
        <v>肆亿壹仟贰佰万元整</v>
      </c>
      <c r="O60" s="2531"/>
    </row>
    <row r="61" spans="1:35" ht="13.5" thickBot="1">
      <c r="A61" s="3604" t="s">
        <v>1371</v>
      </c>
      <c r="B61" s="3604"/>
      <c r="C61" s="3604"/>
      <c r="D61" s="3604"/>
      <c r="E61" s="3604"/>
      <c r="F61" s="1805"/>
      <c r="G61" s="1805"/>
      <c r="H61" s="1807"/>
      <c r="I61" s="129"/>
      <c r="J61" s="2518">
        <f>J59+1</f>
        <v>7</v>
      </c>
      <c r="K61" s="3656" t="s">
        <v>1372</v>
      </c>
      <c r="L61" s="3656"/>
      <c r="M61" s="2535"/>
      <c r="N61" s="2536">
        <f ca="1">ROUND(N59*10000/'数据-汇总表'!E3,0)</f>
        <v>8108</v>
      </c>
      <c r="O61" s="2537"/>
    </row>
    <row r="62" spans="1:35" ht="12.75">
      <c r="A62" s="3622" t="s">
        <v>1373</v>
      </c>
      <c r="B62" s="3623"/>
      <c r="C62" s="2016"/>
      <c r="D62" s="2016" t="s">
        <v>1374</v>
      </c>
      <c r="E62" s="166" t="s">
        <v>1375</v>
      </c>
      <c r="F62" s="1805"/>
      <c r="G62" s="1805"/>
      <c r="H62" s="1807"/>
      <c r="I62" s="129"/>
    </row>
    <row r="63" spans="1:35" ht="12.75">
      <c r="A63" s="173" t="s">
        <v>330</v>
      </c>
      <c r="B63" s="167" t="s">
        <v>1376</v>
      </c>
      <c r="C63" s="2559">
        <f ca="1">ROUND((C64+C65)/(1+'数据-取费表'!C42),0)</f>
        <v>92745</v>
      </c>
      <c r="D63" s="167"/>
      <c r="E63" s="168"/>
      <c r="F63" s="1805"/>
      <c r="G63" s="1805"/>
      <c r="H63" s="1807"/>
      <c r="I63" s="129"/>
      <c r="J63" s="3681" t="s">
        <v>1377</v>
      </c>
      <c r="K63" s="1329" t="s">
        <v>1378</v>
      </c>
      <c r="L63" s="1329">
        <f ca="1">IF(M49&gt;10000,M49*0.5%,IF(AND(M49&gt;1000,M49&lt;=10000),M49*1%,IF(AND(M49&gt;100,M49&lt;=1000),M49*3%,IF(AND(M49&gt;10,M49&lt;=100),M49*5%,M49*8%))))</f>
        <v>486.91</v>
      </c>
      <c r="M63" s="302">
        <f ca="1">ROUND(L63,1)</f>
        <v>486.9</v>
      </c>
      <c r="N63" s="2538"/>
      <c r="Z63" s="1749"/>
      <c r="AI63" s="1750"/>
    </row>
    <row r="64" spans="1:35" ht="14.25" customHeight="1">
      <c r="A64" s="169" t="s">
        <v>325</v>
      </c>
      <c r="B64" s="170" t="s">
        <v>1379</v>
      </c>
      <c r="C64" s="2560">
        <f ca="1">D45</f>
        <v>97382</v>
      </c>
      <c r="D64" s="170" t="s">
        <v>26</v>
      </c>
      <c r="E64" s="172"/>
      <c r="F64" s="1805"/>
      <c r="G64" s="1805"/>
      <c r="H64" s="1807"/>
      <c r="I64" s="129"/>
      <c r="J64" s="3681"/>
      <c r="K64" s="1329" t="s">
        <v>1380</v>
      </c>
      <c r="L64" s="1329">
        <f ca="1">IF(M49&gt;2000,M49*0.5%,IF(AND(M49&gt;1000,M49&lt;=2000),M49*0.6%,IF(AND(M49&gt;500,M49&lt;=1000),M49*0.7%,IF(AND(M49&gt;200,M49&lt;=500),M49*0.8%,IF(AND(M49&gt;100,M49&lt;=200),M49*0.9%,IF(AND(M49&gt;50,M49&lt;=100),M49*1%,IF(AND(M49&gt;20,M49&lt;=50),M49*1.5%,IF(AND(M49&gt;10,M49&lt;=20),M49*2%,IF(AND(M49&gt;1,M49&lt;=10),M49*2.5%)))))))))</f>
        <v>486.91</v>
      </c>
      <c r="M64" s="302">
        <f t="shared" ref="M64:M65" ca="1" si="1">ROUND(L64,1)</f>
        <v>486.9</v>
      </c>
      <c r="N64" s="2539" t="s">
        <v>1381</v>
      </c>
      <c r="Z64" s="1749"/>
      <c r="AI64" s="1750"/>
    </row>
    <row r="65" spans="1:35" ht="14.25" customHeight="1">
      <c r="A65" s="169" t="s">
        <v>326</v>
      </c>
      <c r="B65" s="170" t="s">
        <v>1382</v>
      </c>
      <c r="C65" s="2561"/>
      <c r="D65" s="170"/>
      <c r="E65" s="172"/>
      <c r="F65" s="1805"/>
      <c r="G65" s="1805"/>
      <c r="H65" s="1807"/>
      <c r="I65" s="129"/>
      <c r="J65" s="3681"/>
      <c r="K65" s="1329" t="s">
        <v>1383</v>
      </c>
      <c r="L65" s="1329">
        <f ca="1">IF(M49&gt;1000,M49*0.1%,IF(AND(M49&gt;500,M49&lt;=1000),M49*0.5%,IF(AND(M49&gt;50,M49&lt;=500),M49*1%,IF(AND(M49&gt;1,M49&lt;=50),M49*1.5%))))</f>
        <v>97.382000000000005</v>
      </c>
      <c r="M65" s="302">
        <f t="shared" ca="1" si="1"/>
        <v>97.4</v>
      </c>
      <c r="N65" s="2539" t="s">
        <v>1381</v>
      </c>
      <c r="Z65" s="1749"/>
      <c r="AI65" s="1750"/>
    </row>
    <row r="66" spans="1:35" ht="14.25" customHeight="1">
      <c r="A66" s="173" t="s">
        <v>327</v>
      </c>
      <c r="B66" s="174" t="s">
        <v>1384</v>
      </c>
      <c r="C66" s="2562"/>
      <c r="D66" s="174" t="s">
        <v>26</v>
      </c>
      <c r="E66" s="1335" t="s">
        <v>669</v>
      </c>
      <c r="F66" s="1805"/>
      <c r="G66" s="1805"/>
      <c r="H66" s="1807"/>
      <c r="I66" s="129"/>
      <c r="J66" s="3681"/>
      <c r="K66" s="1329" t="s">
        <v>1385</v>
      </c>
      <c r="L66" s="1329">
        <f ca="1">M49*0.5%</f>
        <v>486.91</v>
      </c>
      <c r="M66" s="302">
        <f ca="1">IF(L66&gt;0.5,0.5,ROUND(L66,0))</f>
        <v>0.5</v>
      </c>
      <c r="N66" s="2539" t="s">
        <v>1386</v>
      </c>
      <c r="Z66" s="1749"/>
      <c r="AI66" s="1750"/>
    </row>
    <row r="67" spans="1:35" ht="14.25" customHeight="1">
      <c r="A67" s="173" t="s">
        <v>328</v>
      </c>
      <c r="B67" s="174" t="s">
        <v>1387</v>
      </c>
      <c r="C67" s="2563">
        <f ca="1">C63-C66</f>
        <v>92745</v>
      </c>
      <c r="D67" s="170" t="s">
        <v>26</v>
      </c>
      <c r="E67" s="172"/>
      <c r="F67" s="1805"/>
      <c r="G67" s="1805"/>
      <c r="H67" s="1807"/>
      <c r="I67" s="129"/>
      <c r="J67" s="3681"/>
      <c r="K67" s="1329" t="s">
        <v>1388</v>
      </c>
      <c r="L67" s="1329">
        <f ca="1">IF(M49&gt;=10000,(8.25+(M49-10000)*0.01%),IF(AND(M49&gt;=8000,M49&lt;10000),(7.85+(M49-8000)*0.02%),IF(AND(M49&gt;=5000,M49&lt;8000),(6.65+(M49-5000)*0.04%),IF(AND(M49&gt;=2000,M49&lt;5000),(4.25+(PM49-2000)*0.08%),IF(AND(M49&gt;=1000,M49&lt;2000),(2.75+(M49-1000)*0.15%),IF(AND(M49&gt;=100,M49&lt;1000),(0.5+(M49-100)*0.25%),IF(AND(M49&gt;0,M49&lt;100),M49*0.5%)))))))</f>
        <v>16.988199999999999</v>
      </c>
      <c r="M67" s="302">
        <f ca="1">ROUND(L67*0.9,1)</f>
        <v>15.3</v>
      </c>
      <c r="N67" s="2538"/>
      <c r="Z67" s="1749"/>
      <c r="AI67" s="1750"/>
    </row>
    <row r="68" spans="1:35" ht="14.25" customHeight="1" thickBot="1">
      <c r="A68" s="176" t="s">
        <v>329</v>
      </c>
      <c r="B68" s="177" t="s">
        <v>1389</v>
      </c>
      <c r="C68" s="2564">
        <f ca="1">IF(C67&lt;=0,0,ROUND(C67*D68,0))</f>
        <v>5101</v>
      </c>
      <c r="D68" s="2565">
        <f>'数据-取费表'!B41</f>
        <v>5.5000000000000007E-2</v>
      </c>
      <c r="E68" s="178"/>
      <c r="F68" s="1805"/>
      <c r="G68" s="1805"/>
      <c r="H68" s="1807"/>
      <c r="I68" s="129"/>
      <c r="J68" s="3681"/>
      <c r="K68" s="1329" t="s">
        <v>1390</v>
      </c>
      <c r="L68" s="1329">
        <f ca="1">IF(M49&gt;10000,M49*0.5%,IF(AND(M49&gt;5000,M49&lt;=10000),M49*1%,IF(AND(M49&gt;1000,M49&lt;=5000),M49*2%,IF(AND(M49&gt;200,M49&lt;=1000),M49*3%,M49*5%))))</f>
        <v>486.91</v>
      </c>
      <c r="M68" s="302">
        <f ca="1">ROUND(L68,1)</f>
        <v>486.9</v>
      </c>
      <c r="N68" s="2538"/>
      <c r="Z68" s="1749"/>
      <c r="AI68" s="1750"/>
    </row>
    <row r="69" spans="1:35" s="1769" customFormat="1" ht="16.5" customHeight="1">
      <c r="A69" s="1808"/>
      <c r="B69" s="1809"/>
      <c r="C69" s="1810"/>
      <c r="D69" s="1811"/>
      <c r="E69" s="1812"/>
      <c r="F69" s="1575"/>
      <c r="G69" s="1575"/>
      <c r="H69" s="1574"/>
      <c r="I69" s="1744"/>
      <c r="J69" s="3681"/>
      <c r="K69" s="1329" t="s">
        <v>1391</v>
      </c>
      <c r="L69" s="1329"/>
      <c r="M69" s="302">
        <f ca="1">ROUND(SUM(M63:M68),0)</f>
        <v>1574</v>
      </c>
      <c r="N69" s="2540">
        <f ca="1">M69/M49</f>
        <v>1.6163151301061798E-2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3" t="s">
        <v>1392</v>
      </c>
      <c r="B70" s="3644"/>
      <c r="C70" s="3644"/>
      <c r="D70" s="3644"/>
      <c r="E70" s="3644"/>
      <c r="F70" s="3644"/>
      <c r="G70" s="3644"/>
      <c r="H70" s="364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2" t="s">
        <v>1373</v>
      </c>
      <c r="B71" s="3623"/>
      <c r="C71" s="2016"/>
      <c r="D71" s="2016"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f ca="1">ROUND(D45/(1+'数据-取费表'!C42),0)</f>
        <v>92745</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f ca="1">C74+C78</f>
        <v>464</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17" t="s">
        <v>1400</v>
      </c>
      <c r="F76" s="3591"/>
      <c r="G76" s="3591"/>
      <c r="H76" s="364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2319" t="s">
        <v>1402</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f ca="1">ROUND(D45*D78/(1+'数据-取费表'!C42),0)</f>
        <v>464</v>
      </c>
      <c r="D78" s="2572">
        <f>'数据-取费表'!B43</f>
        <v>5.000000000000001E-3</v>
      </c>
      <c r="E78" s="3601" t="s">
        <v>1404</v>
      </c>
      <c r="F78" s="3602"/>
      <c r="G78" s="3602"/>
      <c r="H78" s="361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1405</v>
      </c>
      <c r="C79" s="2563">
        <f ca="1">C72-C73</f>
        <v>92281</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f ca="1">IF(C79&lt;=0,0,C79/C73)</f>
        <v>198.88146551724137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f ca="1">ROUND(IF(C79&lt;=0,0,IF(C80&gt;=200%,C79*60%-C73*35%,IF(C80&gt;=100%,C79*50%-C73*15%,IF(C80&gt;=50%,C79*40%-C73*5%,IF(C80&lt;50%,C79*30%,0))))),0)</f>
        <v>55206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3" t="s">
        <v>1408</v>
      </c>
      <c r="B83" s="3644"/>
      <c r="C83" s="3644"/>
      <c r="D83" s="3644"/>
      <c r="E83" s="3644"/>
      <c r="F83" s="3644"/>
      <c r="G83" s="3644"/>
      <c r="H83" s="364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2" t="s">
        <v>1373</v>
      </c>
      <c r="B84" s="3623"/>
      <c r="C84" s="2016"/>
      <c r="D84" s="2016"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f ca="1">ROUND(D45/(1+'数据-取费表'!C42),0)</f>
        <v>92745</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f ca="1">IF(H88="仅含出让金",C87+C90+C91+C92+C93+C94,C87+C91+C92+C93+C94)</f>
        <v>464</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2322"/>
      <c r="G88" s="194" t="s">
        <v>1412</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2322"/>
      <c r="G90" s="3683" t="s">
        <v>2126</v>
      </c>
      <c r="H90" s="368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IF(H91="——",成本法!C33,I91)</f>
        <v>0</v>
      </c>
      <c r="D91" s="2572"/>
      <c r="E91" s="3601" t="s">
        <v>1417</v>
      </c>
      <c r="F91" s="3602"/>
      <c r="G91" s="3602"/>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601" t="s">
        <v>1420</v>
      </c>
      <c r="F92" s="3602"/>
      <c r="G92" s="3602"/>
      <c r="H92" s="3611"/>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f ca="1">ROUND(D45*D93/(1+'数据-取费表'!C42),0)</f>
        <v>464</v>
      </c>
      <c r="D93" s="2572">
        <f>'数据-取费表'!B43</f>
        <v>5.000000000000001E-3</v>
      </c>
      <c r="E93" s="3601" t="s">
        <v>1404</v>
      </c>
      <c r="F93" s="3602"/>
      <c r="G93" s="3602"/>
      <c r="H93" s="361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612" t="s">
        <v>1424</v>
      </c>
      <c r="F94" s="3613"/>
      <c r="G94" s="3613"/>
      <c r="H94" s="361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3">
        <f ca="1">ROUND(C85-C86,0)</f>
        <v>92281</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f ca="1">IF(C95&lt;=0,0,C95/C86)</f>
        <v>198.88146551724137</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f ca="1">ROUND(IF(C95&lt;=0,0,IF(C96&gt;=200%,C95*60%-C86*35%,IF(C96&gt;=100%,C95*50%-C86*15%,IF(C96&gt;=50%,C95*40%-C86*5%,IF(C96&lt;50%,C95*30%,0))))),0)</f>
        <v>55206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3" t="s">
        <v>1426</v>
      </c>
      <c r="B100" s="3584"/>
      <c r="C100" s="3584"/>
      <c r="D100" s="3603"/>
      <c r="E100" s="3584" t="s">
        <v>1427</v>
      </c>
      <c r="F100" s="3584"/>
      <c r="G100" s="3584"/>
      <c r="H100" s="3603"/>
      <c r="I100" s="129"/>
    </row>
    <row r="101" spans="1:35" ht="18.75" customHeight="1">
      <c r="A101" s="3664" t="s">
        <v>1428</v>
      </c>
      <c r="B101" s="3665"/>
      <c r="C101" s="2580" t="str">
        <f>C4</f>
        <v>成本法</v>
      </c>
      <c r="D101" s="2581" t="str">
        <f>D4</f>
        <v>假设开发法</v>
      </c>
      <c r="E101" s="3678" t="s">
        <v>1429</v>
      </c>
      <c r="F101" s="3635"/>
      <c r="G101" s="1824" t="s">
        <v>1430</v>
      </c>
      <c r="H101" s="2590">
        <f ca="1">H118</f>
        <v>97382</v>
      </c>
      <c r="I101" s="129"/>
    </row>
    <row r="102" spans="1:35" ht="18.75" customHeight="1">
      <c r="A102" s="3637" t="s">
        <v>1431</v>
      </c>
      <c r="B102" s="2579" t="s">
        <v>1430</v>
      </c>
      <c r="C102" s="2580">
        <f ca="1">IF(D32="楼面单价",ROUND(C19,0),C19)</f>
        <v>102106</v>
      </c>
      <c r="D102" s="2581">
        <f ca="1">IF(D32="楼面单价",ROUND(D19,0),D19)</f>
        <v>92657</v>
      </c>
      <c r="E102" s="3678"/>
      <c r="F102" s="3635"/>
      <c r="G102" s="1824" t="s">
        <v>1432</v>
      </c>
      <c r="H102" s="2550">
        <f ca="1">I118</f>
        <v>19164</v>
      </c>
      <c r="I102" s="129"/>
    </row>
    <row r="103" spans="1:35" ht="42.75" customHeight="1">
      <c r="A103" s="3637"/>
      <c r="B103" s="2579" t="s">
        <v>1432</v>
      </c>
      <c r="C103" s="2582">
        <f ca="1">C20</f>
        <v>20093</v>
      </c>
      <c r="D103" s="2583">
        <f ca="1">D20</f>
        <v>18234</v>
      </c>
      <c r="E103" s="3672" t="s">
        <v>1433</v>
      </c>
      <c r="F103" s="3673"/>
      <c r="G103" s="1825" t="s">
        <v>1434</v>
      </c>
      <c r="H103" s="2590">
        <f>IF(D36="正常操作",H104+H105+H106,H105+H106)</f>
        <v>0</v>
      </c>
      <c r="I103" s="129"/>
    </row>
    <row r="104" spans="1:35" ht="18.75" customHeight="1">
      <c r="A104" s="3637" t="s">
        <v>1435</v>
      </c>
      <c r="B104" s="2584" t="s">
        <v>1430</v>
      </c>
      <c r="C104" s="2585">
        <f ca="1">H118</f>
        <v>97382</v>
      </c>
      <c r="D104" s="2586"/>
      <c r="E104" s="1671" t="s">
        <v>1436</v>
      </c>
      <c r="F104" s="1663"/>
      <c r="G104" s="1825" t="s">
        <v>1434</v>
      </c>
      <c r="H104" s="2591">
        <f>IF(D36="同一抵押权人同一抵押物续贷",C36&amp;"（续贷，未扣减，详见特别提示）",C36)</f>
        <v>0</v>
      </c>
      <c r="I104" s="129"/>
    </row>
    <row r="105" spans="1:35" ht="18.75" customHeight="1" thickBot="1">
      <c r="A105" s="3638"/>
      <c r="B105" s="2587" t="s">
        <v>1432</v>
      </c>
      <c r="C105" s="2588">
        <f ca="1">I118</f>
        <v>19164</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634" t="str">
        <f>IF(项目基本情况!E8="已注销","——","3.房地产抵押价值")</f>
        <v>3.房地产抵押价值</v>
      </c>
      <c r="F107" s="3635"/>
      <c r="G107" s="1824" t="s">
        <v>1430</v>
      </c>
      <c r="H107" s="2590">
        <f ca="1">IF(E107="——","——",H101-H103)</f>
        <v>97382</v>
      </c>
      <c r="I107" s="129"/>
    </row>
    <row r="108" spans="1:35" ht="18.75" customHeight="1">
      <c r="A108" s="129"/>
      <c r="B108" s="129"/>
      <c r="C108" s="129"/>
      <c r="D108" s="129"/>
      <c r="E108" s="3634"/>
      <c r="F108" s="3635"/>
      <c r="G108" s="1824" t="s">
        <v>1432</v>
      </c>
      <c r="H108" s="2550">
        <f ca="1">IF(H107=H101,H102,ROUND(H107*10000/'数据-汇总表'!E3,0))</f>
        <v>19164</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35"/>
      <c r="G109" s="1824" t="s">
        <v>1430</v>
      </c>
      <c r="H109" s="2593" t="str">
        <f>IF(E109="——","——",H101-H105-H106)</f>
        <v>——</v>
      </c>
      <c r="I109" s="129"/>
    </row>
    <row r="110" spans="1:35" ht="18.75" customHeight="1">
      <c r="A110" s="129"/>
      <c r="B110" s="129"/>
      <c r="C110" s="129"/>
      <c r="D110" s="129"/>
      <c r="E110" s="3634"/>
      <c r="F110" s="3635"/>
      <c r="G110" s="1824" t="s">
        <v>1432</v>
      </c>
      <c r="H110" s="2550" t="str">
        <f>IF(H109="——","——",ROUND(H109*10000/'数据-汇总表'!E3,0))</f>
        <v>——</v>
      </c>
      <c r="I110" s="129"/>
    </row>
    <row r="111" spans="1:35" ht="18.75" customHeight="1">
      <c r="A111" s="129"/>
      <c r="B111" s="129"/>
      <c r="C111" s="129"/>
      <c r="D111" s="129"/>
      <c r="E111" s="3666" t="str">
        <f>IF(项目基本情况!E9="抵押净值",IF(OR(项目基本情况!E8="已注销",项目基本情况!E8="房地产抵押价值"),"4.抵押净值","5.抵押净值"),"——")</f>
        <v>——</v>
      </c>
      <c r="F111" s="3636"/>
      <c r="G111" s="1824" t="s">
        <v>1430</v>
      </c>
      <c r="H111" s="2590" t="str">
        <f>IF(E111="——","——",N59)</f>
        <v>——</v>
      </c>
      <c r="I111" s="129"/>
    </row>
    <row r="112" spans="1:35" ht="18.75" customHeight="1" thickBot="1">
      <c r="A112" s="129"/>
      <c r="B112" s="129"/>
      <c r="C112" s="129"/>
      <c r="D112" s="129"/>
      <c r="E112" s="3667"/>
      <c r="F112" s="3668"/>
      <c r="G112" s="1827" t="s">
        <v>1432</v>
      </c>
      <c r="H112" s="2594" t="str">
        <f>IF(E111="——","——",N61)</f>
        <v>——</v>
      </c>
      <c r="I112" s="129"/>
    </row>
    <row r="113" spans="1:27" ht="18.75" customHeight="1">
      <c r="A113" s="129"/>
      <c r="B113" s="129"/>
      <c r="C113" s="129"/>
      <c r="D113" s="129"/>
      <c r="E113" s="3639" t="s">
        <v>1438</v>
      </c>
      <c r="F113" s="3639"/>
      <c r="G113" s="3639"/>
      <c r="H113" s="3639"/>
      <c r="I113" s="129"/>
    </row>
    <row r="114" spans="1:27" ht="3.75" customHeight="1">
      <c r="A114" s="1744"/>
      <c r="B114" s="1744"/>
      <c r="C114" s="1744"/>
      <c r="D114" s="1744"/>
      <c r="E114" s="1806"/>
      <c r="F114" s="1806"/>
      <c r="G114" s="1806"/>
      <c r="H114" s="1806"/>
      <c r="I114" s="1744"/>
    </row>
    <row r="115" spans="1:27" ht="18.75" customHeight="1">
      <c r="A115" s="3649" t="s">
        <v>1440</v>
      </c>
      <c r="B115" s="3650"/>
      <c r="C115" s="3650"/>
      <c r="D115" s="3650"/>
      <c r="E115" s="3650"/>
      <c r="F115" s="3650"/>
      <c r="G115" s="3650"/>
      <c r="H115" s="3650"/>
      <c r="I115" s="3651"/>
    </row>
    <row r="116" spans="1:27" ht="27" customHeight="1">
      <c r="A116" s="3605" t="s">
        <v>1441</v>
      </c>
      <c r="B116" s="3640" t="s">
        <v>1442</v>
      </c>
      <c r="C116" s="3640" t="s">
        <v>1443</v>
      </c>
      <c r="D116" s="3653" t="s">
        <v>1444</v>
      </c>
      <c r="E116" s="3654"/>
      <c r="F116" s="3648" t="s">
        <v>1445</v>
      </c>
      <c r="G116" s="3648"/>
      <c r="H116" s="3605" t="s">
        <v>1446</v>
      </c>
      <c r="I116" s="3605"/>
    </row>
    <row r="117" spans="1:27" ht="18.75" customHeight="1">
      <c r="A117" s="3605"/>
      <c r="B117" s="3641"/>
      <c r="C117" s="3641"/>
      <c r="D117" s="2324" t="s">
        <v>1447</v>
      </c>
      <c r="E117" s="2324" t="s">
        <v>1448</v>
      </c>
      <c r="F117" s="2324" t="s">
        <v>1447</v>
      </c>
      <c r="G117" s="2324" t="s">
        <v>1449</v>
      </c>
      <c r="H117" s="2324" t="s">
        <v>1447</v>
      </c>
      <c r="I117" s="2324" t="s">
        <v>1449</v>
      </c>
    </row>
    <row r="118" spans="1:27" ht="24.75" customHeight="1">
      <c r="A118" s="2595" t="str">
        <f>项目基本情况!S2</f>
        <v>北京市房地产</v>
      </c>
      <c r="B118" s="2324">
        <f>M18</f>
        <v>50816.34</v>
      </c>
      <c r="C118" s="2324">
        <f>M19</f>
        <v>17349.990000000002</v>
      </c>
      <c r="D118" s="2324">
        <f ca="1">ROUND(IF(D32="总价",C34,E118*B118/10000),0)</f>
        <v>83359</v>
      </c>
      <c r="E118" s="2324">
        <f ca="1">ROUND(IF(C33="自定义",IF(D32="楼面单价",C34,D118*10000/B118),I118-G118),0)</f>
        <v>16404</v>
      </c>
      <c r="F118" s="2324">
        <f ca="1">ROUND(IF(D32="总价",C35,G118*B118/10000),0)</f>
        <v>14023</v>
      </c>
      <c r="G118" s="2324">
        <f ca="1">ROUND(IF(D32="楼面单价",C35,F118*10000/B118),0)</f>
        <v>2760</v>
      </c>
      <c r="H118" s="2324">
        <f ca="1">ROUND(IF(D32="总价",C32,I118*B118/10000),0)</f>
        <v>97382</v>
      </c>
      <c r="I118" s="2324">
        <f ca="1">ROUND(IF(D32="楼面单价",C32,H118*10000/B118),0)</f>
        <v>19164</v>
      </c>
    </row>
    <row r="119" spans="1:27" ht="18.75" customHeight="1">
      <c r="A119" s="3605" t="s">
        <v>1450</v>
      </c>
      <c r="B119" s="3605"/>
      <c r="C119" s="3605"/>
      <c r="D119" s="3645" t="str">
        <f ca="1">NUMBERSTRING(INT(D118*10000),2)&amp;"元整"</f>
        <v>捌亿叁仟叁佰伍拾玖万元整</v>
      </c>
      <c r="E119" s="3647"/>
      <c r="F119" s="3645" t="str">
        <f ca="1">NUMBERSTRING(INT(F118*10000),2)&amp;"元整"</f>
        <v>壹亿肆仟零贰拾叁万元整</v>
      </c>
      <c r="G119" s="3647"/>
      <c r="H119" s="3645" t="str">
        <f ca="1">NUMBERSTRING(INT(H118*10000),2)&amp;"元整"</f>
        <v>玖亿柒仟叁佰捌拾贰万元整</v>
      </c>
      <c r="I119" s="3647"/>
    </row>
    <row r="120" spans="1:27" ht="18.75" customHeight="1">
      <c r="A120" s="3669" t="str">
        <f>IF(项目基本情况!B9="房地产市场价值","",MID(E103,3,LEN(E103)-2))</f>
        <v>估价师知悉的法定优先受偿款</v>
      </c>
      <c r="B120" s="3670"/>
      <c r="C120" s="3671"/>
      <c r="D120" s="3669">
        <f>H103</f>
        <v>0</v>
      </c>
      <c r="E120" s="3670"/>
      <c r="F120" s="3670"/>
      <c r="G120" s="3670"/>
      <c r="H120" s="3670"/>
      <c r="I120" s="367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5" t="s">
        <v>1450</v>
      </c>
      <c r="B121" s="3646"/>
      <c r="C121" s="3647"/>
      <c r="D121" s="3645" t="str">
        <f>IF(D120=0,"零元整",NUMBERSTRING(INT(D120*10000),2)&amp;"元整")</f>
        <v>零元整</v>
      </c>
      <c r="E121" s="3646"/>
      <c r="F121" s="3646"/>
      <c r="G121" s="3646"/>
      <c r="H121" s="3646"/>
      <c r="I121" s="3647"/>
      <c r="AA121" s="724"/>
    </row>
    <row r="122" spans="1:27" ht="18.75" customHeight="1">
      <c r="A122" s="3636" t="str">
        <f>IF(项目基本情况!B9="房地产市场价值","",MID(E107,3,LEN(E107)-2))</f>
        <v>房地产抵押价值</v>
      </c>
      <c r="B122" s="3636"/>
      <c r="C122" s="3636"/>
      <c r="D122" s="3669">
        <f ca="1">H107</f>
        <v>97382</v>
      </c>
      <c r="E122" s="3670"/>
      <c r="F122" s="3670"/>
      <c r="G122" s="3670"/>
      <c r="H122" s="3670"/>
      <c r="I122" s="3671"/>
      <c r="AA122" s="724"/>
    </row>
    <row r="123" spans="1:27" ht="18.75" customHeight="1">
      <c r="A123" s="3605" t="s">
        <v>1450</v>
      </c>
      <c r="B123" s="3605"/>
      <c r="C123" s="3605"/>
      <c r="D123" s="3645" t="str">
        <f ca="1">NUMBERSTRING(INT(D122*10000),2)&amp;"元整"</f>
        <v>玖亿柒仟叁佰捌拾贰万元整</v>
      </c>
      <c r="E123" s="3646"/>
      <c r="F123" s="3646"/>
      <c r="G123" s="3646"/>
      <c r="H123" s="3646"/>
      <c r="I123" s="3647"/>
      <c r="AA123" s="724"/>
    </row>
    <row r="124" spans="1:27" ht="18.75" customHeight="1">
      <c r="A124" s="3636" t="str">
        <f>IF(项目基本情况!B9="房地产市场价值","",MID(E109,3,LEN(E109)-2))</f>
        <v/>
      </c>
      <c r="B124" s="3636"/>
      <c r="C124" s="3636"/>
      <c r="D124" s="3669" t="str">
        <f>H109</f>
        <v>——</v>
      </c>
      <c r="E124" s="3670"/>
      <c r="F124" s="3670"/>
      <c r="G124" s="3670"/>
      <c r="H124" s="3670"/>
      <c r="I124" s="3671"/>
      <c r="AA124" s="724"/>
    </row>
    <row r="125" spans="1:27" ht="18.75" customHeight="1">
      <c r="A125" s="3605" t="s">
        <v>1450</v>
      </c>
      <c r="B125" s="3605"/>
      <c r="C125" s="3605"/>
      <c r="D125" s="3645" t="e">
        <f>NUMBERSTRING(INT(D124*10000),2)&amp;"元整"</f>
        <v>#VALUE!</v>
      </c>
      <c r="E125" s="3646"/>
      <c r="F125" s="3646"/>
      <c r="G125" s="3646"/>
      <c r="H125" s="3646"/>
      <c r="I125" s="3647"/>
      <c r="AA125" s="724"/>
    </row>
    <row r="126" spans="1:27" ht="18.75" customHeight="1">
      <c r="A126" s="3636" t="str">
        <f>IF(项目基本情况!B9="房地产市场价值","",MID(E111,3,LEN(E111)-2))</f>
        <v/>
      </c>
      <c r="B126" s="3636"/>
      <c r="C126" s="3636"/>
      <c r="D126" s="3669" t="str">
        <f>H111</f>
        <v>——</v>
      </c>
      <c r="E126" s="3670"/>
      <c r="F126" s="3670"/>
      <c r="G126" s="3670"/>
      <c r="H126" s="3670"/>
      <c r="I126" s="3671"/>
      <c r="AA126" s="724"/>
    </row>
    <row r="127" spans="1:27" ht="18.75" customHeight="1">
      <c r="A127" s="3605" t="s">
        <v>1450</v>
      </c>
      <c r="B127" s="3605"/>
      <c r="C127" s="3605"/>
      <c r="D127" s="3645" t="e">
        <f>NUMBERSTRING(INT(D126*10000),2)&amp;"元整"</f>
        <v>#VALUE!</v>
      </c>
      <c r="E127" s="3646"/>
      <c r="F127" s="3646"/>
      <c r="G127" s="3646"/>
      <c r="H127" s="3646"/>
      <c r="I127" s="3647"/>
      <c r="AA127" s="724"/>
    </row>
    <row r="128" spans="1:27" ht="21.75" customHeight="1">
      <c r="A128" s="3652" t="s">
        <v>1451</v>
      </c>
      <c r="B128" s="3652"/>
      <c r="C128" s="3652"/>
      <c r="D128" s="3652"/>
      <c r="E128" s="3652"/>
      <c r="F128" s="3652"/>
      <c r="G128" s="3652"/>
      <c r="H128" s="3652"/>
      <c r="I128" s="3652"/>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0" t="str">
        <f>项目基本情况!B1</f>
        <v>北京市房地产抵押价值预评估</v>
      </c>
      <c r="C37" s="3500"/>
      <c r="D37" s="3500"/>
      <c r="E37" s="3500"/>
      <c r="F37" s="3500"/>
      <c r="G37" s="3500"/>
      <c r="H37" s="3500"/>
      <c r="I37" s="3500"/>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0" sqref="M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4">
        <f>MATCH(B1,'数据-取费表'!A6:A16,0)+5</f>
        <v>8</v>
      </c>
    </row>
    <row r="2" spans="1:9" s="200" customFormat="1" ht="18" customHeight="1">
      <c r="A2" s="201" t="s">
        <v>1460</v>
      </c>
      <c r="B2" s="202">
        <f ca="1">IF(D2="——",C52,C52-E2)</f>
        <v>102106</v>
      </c>
      <c r="C2" s="199" t="s">
        <v>1461</v>
      </c>
      <c r="D2" s="1850" t="s">
        <v>43</v>
      </c>
      <c r="E2" s="1167"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20093</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71747</v>
      </c>
      <c r="D5" s="211" t="s">
        <v>1467</v>
      </c>
      <c r="E5" s="212" t="s">
        <v>1468</v>
      </c>
      <c r="F5" s="212" t="s">
        <v>1469</v>
      </c>
      <c r="G5" s="213"/>
    </row>
    <row r="6" spans="1:9" s="214" customFormat="1" ht="13.5" customHeight="1">
      <c r="A6" s="777" t="s">
        <v>1470</v>
      </c>
      <c r="B6" s="215" t="s">
        <v>1471</v>
      </c>
      <c r="C6" s="216">
        <f>'土地比较法-住宅、综合'!B2</f>
        <v>68820</v>
      </c>
      <c r="D6" s="217"/>
      <c r="E6" s="218"/>
      <c r="F6" s="218"/>
      <c r="G6" s="219"/>
    </row>
    <row r="7" spans="1:9" s="214" customFormat="1" ht="13.5" customHeight="1">
      <c r="A7" s="777" t="s">
        <v>1472</v>
      </c>
      <c r="B7" s="215" t="s">
        <v>1473</v>
      </c>
      <c r="C7" s="220">
        <f>ROUND(C6*F7,0)</f>
        <v>2099</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828</v>
      </c>
      <c r="D8" s="222"/>
      <c r="E8" s="220"/>
      <c r="F8" s="221"/>
      <c r="G8" s="1853" t="s">
        <v>3606</v>
      </c>
    </row>
    <row r="9" spans="1:9" s="214" customFormat="1" ht="13.5" customHeight="1">
      <c r="A9" s="778" t="s">
        <v>355</v>
      </c>
      <c r="B9" s="224" t="s">
        <v>1476</v>
      </c>
      <c r="C9" s="225">
        <f ca="1">ROUND(D9*E9/10000,0)</f>
        <v>516</v>
      </c>
      <c r="D9" s="844">
        <f ca="1">IF(B1="",'数据-汇总表'!E5,IF(INDIRECT("'数据-取费表'!c"&amp;$G$1)="住宅",INDIRECT("'数据-取费表'!k"&amp;$G$1),0))</f>
        <v>34383.439999999995</v>
      </c>
      <c r="E9" s="225">
        <f>'数据-取费表'!B27</f>
        <v>150</v>
      </c>
      <c r="F9" s="221"/>
      <c r="G9" s="1854" t="s">
        <v>4083</v>
      </c>
      <c r="H9" s="1135"/>
      <c r="I9" s="1855" t="s">
        <v>1477</v>
      </c>
    </row>
    <row r="10" spans="1:9" s="214" customFormat="1" ht="13.5" customHeight="1">
      <c r="A10" s="778" t="s">
        <v>356</v>
      </c>
      <c r="B10" s="224" t="s">
        <v>1478</v>
      </c>
      <c r="C10" s="225">
        <f ca="1">ROUND(D10*E10/10000,0)</f>
        <v>312</v>
      </c>
      <c r="D10" s="844">
        <f ca="1">IF(B1="",'数据-汇总表'!E6,IF(INDIRECT("'数据-取费表'!c"&amp;$G$1)="住宅",INDIRECT("'数据-取费表'!s"&amp;$G$1),INDIRECT("'数据-取费表'!k"&amp;$G$1)+INDIRECT("'数据-取费表'!s"&amp;$G$1)))</f>
        <v>16432.900000000001</v>
      </c>
      <c r="E10" s="225">
        <f>'数据-取费表'!B28</f>
        <v>190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50816.34</v>
      </c>
      <c r="E19" s="211">
        <f>'数据-取费表'!B31</f>
        <v>200</v>
      </c>
      <c r="F19" s="231"/>
      <c r="G19" s="1853" t="s">
        <v>3607</v>
      </c>
    </row>
    <row r="20" spans="1:7" s="214" customFormat="1" ht="13.5" customHeight="1">
      <c r="A20" s="255" t="s">
        <v>1491</v>
      </c>
      <c r="B20" s="210" t="s">
        <v>1492</v>
      </c>
      <c r="C20" s="232">
        <f ca="1">ROUND((C5+C19)*F20,0)</f>
        <v>1435</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2652</v>
      </c>
      <c r="D22" s="235">
        <f ca="1">C26</f>
        <v>4.0000000000000002E-4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3">
        <f ca="1">ROUND(IF('数据-取费表'!B22&lt;=1,C5*F22*'数据-取费表'!B23,C5*(POWER((1+F22),'数据-取费表'!B23)-1)),0)</f>
        <v>2626</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3">
        <f ca="1">ROUND(IF('数据-取费表'!B22&lt;=1,C20*F22*'数据-取费表'!B23/2,C20*(POWER((1+F22),'数据-取费表'!B23/2)-1)),0)</f>
        <v>26</v>
      </c>
      <c r="D25" s="238"/>
      <c r="E25" s="241"/>
      <c r="F25" s="239"/>
      <c r="G25" s="242" t="s">
        <v>1508</v>
      </c>
    </row>
    <row r="26" spans="1:7" s="214" customFormat="1">
      <c r="A26" s="779" t="s">
        <v>350</v>
      </c>
      <c r="B26" s="215" t="s">
        <v>1509</v>
      </c>
      <c r="C26" s="238">
        <f ca="1">ROUND(IF('数据-取费表'!B22&lt;=1,F21*F22*'数据-取费表'!B23/2,F21*(POWER((1+F22),'数据-取费表'!B23/2)-1)),4)</f>
        <v>4.0000000000000002E-4</v>
      </c>
      <c r="D26" s="238"/>
      <c r="E26" s="241"/>
      <c r="F26" s="239"/>
      <c r="G26" s="243"/>
    </row>
    <row r="27" spans="1:7" s="214" customFormat="1" ht="24.75">
      <c r="A27" s="255" t="s">
        <v>1510</v>
      </c>
      <c r="B27" s="244" t="s">
        <v>1511</v>
      </c>
      <c r="C27" s="245">
        <f ca="1">C28</f>
        <v>5042</v>
      </c>
      <c r="D27" s="235">
        <f ca="1">C29</f>
        <v>1.4E-3</v>
      </c>
      <c r="E27" s="236" t="s">
        <v>1512</v>
      </c>
      <c r="F27" s="246">
        <f ca="1">IF(B1="",'数据-取费表'!Q16,INDIRECT("'数据-取费表'!q"&amp;$G$1))</f>
        <v>0.13</v>
      </c>
      <c r="G27" s="247" t="s">
        <v>1513</v>
      </c>
    </row>
    <row r="28" spans="1:7" s="214" customFormat="1" ht="13.5" customHeight="1">
      <c r="A28" s="779" t="s">
        <v>346</v>
      </c>
      <c r="B28" s="248" t="s">
        <v>1514</v>
      </c>
      <c r="C28" s="249">
        <f ca="1">ROUND((C5+C19+C20)*F27*'数据-取费表'!B21/'数据-取费表'!B20,0)</f>
        <v>5042</v>
      </c>
      <c r="D28" s="235"/>
      <c r="E28" s="236"/>
      <c r="F28" s="246"/>
      <c r="G28" s="247"/>
    </row>
    <row r="29" spans="1:7" s="214" customFormat="1" ht="13.5" customHeight="1">
      <c r="A29" s="779" t="s">
        <v>347</v>
      </c>
      <c r="B29" s="248" t="s">
        <v>1515</v>
      </c>
      <c r="C29" s="238">
        <f ca="1">ROUND(C21*F27*'数据-取费表'!B21/'数据-取费表'!B20,4)</f>
        <v>1.4E-3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87358</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11644</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10086</v>
      </c>
      <c r="D34" s="217"/>
      <c r="E34" s="220"/>
      <c r="F34" s="257">
        <f ca="1">IF('数据-取费表'!B24=0,1,IF(B1="",'数据-取费表'!N16,INDIRECT("'数据-取费表'!n"&amp;$G$1)))</f>
        <v>0.53</v>
      </c>
      <c r="G34" s="219" t="s">
        <v>1524</v>
      </c>
    </row>
    <row r="35" spans="1:7" ht="13.5" customHeight="1">
      <c r="A35" s="779" t="s">
        <v>351</v>
      </c>
      <c r="B35" s="215" t="s">
        <v>1525</v>
      </c>
      <c r="C35" s="220">
        <f ca="1">ROUND(C34*F35,0)</f>
        <v>504</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364</v>
      </c>
      <c r="D36" s="220"/>
      <c r="E36" s="220"/>
      <c r="F36" s="259">
        <f>'数据-取费表'!B34</f>
        <v>0.05</v>
      </c>
      <c r="G36" s="260" t="s">
        <v>1528</v>
      </c>
    </row>
    <row r="37" spans="1:7" s="258" customFormat="1" ht="13.5" customHeight="1">
      <c r="A37" s="779" t="s">
        <v>353</v>
      </c>
      <c r="B37" s="215" t="s">
        <v>1529</v>
      </c>
      <c r="C37" s="249">
        <f ca="1">ROUND(E37*D37*F34/10000,0)</f>
        <v>539</v>
      </c>
      <c r="D37" s="217">
        <f ca="1">D19</f>
        <v>50816.34</v>
      </c>
      <c r="E37" s="249">
        <f>'数据-取费表'!B35</f>
        <v>200</v>
      </c>
      <c r="F37" s="259"/>
      <c r="G37" s="261" t="s">
        <v>1530</v>
      </c>
    </row>
    <row r="38" spans="1:7" ht="13.5" customHeight="1">
      <c r="A38" s="779" t="s">
        <v>354</v>
      </c>
      <c r="B38" s="215" t="s">
        <v>1531</v>
      </c>
      <c r="C38" s="220">
        <f ca="1">ROUND(C34*F38,0)</f>
        <v>151</v>
      </c>
      <c r="D38" s="220"/>
      <c r="E38" s="220"/>
      <c r="F38" s="259">
        <f>'数据-取费表'!B36</f>
        <v>1.4999999999999999E-2</v>
      </c>
      <c r="G38" s="219" t="s">
        <v>1526</v>
      </c>
    </row>
    <row r="39" spans="1:7" s="214" customFormat="1" ht="13.5" customHeight="1">
      <c r="A39" s="255" t="s">
        <v>1532</v>
      </c>
      <c r="B39" s="210" t="s">
        <v>1533</v>
      </c>
      <c r="C39" s="232">
        <f ca="1">ROUND(C33*F20,0)</f>
        <v>233</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215</v>
      </c>
      <c r="D41" s="235">
        <f ca="1">C44</f>
        <v>4.0000000000000002E-4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211</v>
      </c>
      <c r="D42" s="238"/>
      <c r="E42" s="238"/>
      <c r="F42" s="239"/>
      <c r="G42" s="3685" t="s">
        <v>1542</v>
      </c>
    </row>
    <row r="43" spans="1:7" ht="13.5" customHeight="1">
      <c r="A43" s="779" t="s">
        <v>347</v>
      </c>
      <c r="B43" s="215" t="s">
        <v>1543</v>
      </c>
      <c r="C43" s="238">
        <f ca="1">ROUND(IF('数据-取费表'!B22&lt;=1,C39*F22*'数据-取费表'!B21/2,C39*(POWER((1+F22),'数据-取费表'!B21/2)-1)),0)</f>
        <v>4</v>
      </c>
      <c r="D43" s="238"/>
      <c r="E43" s="238"/>
      <c r="F43" s="239"/>
      <c r="G43" s="3686"/>
    </row>
    <row r="44" spans="1:7" ht="13.5" customHeight="1">
      <c r="A44" s="779" t="s">
        <v>348</v>
      </c>
      <c r="B44" s="215" t="s">
        <v>1544</v>
      </c>
      <c r="C44" s="238">
        <f ca="1">ROUND(IF('数据-取费表'!B22&lt;=1,C40*F22*'数据-取费表'!B21/2,C40*(POWER((1+F22),'数据-取费表'!B21/2)-1)),4)</f>
        <v>4.0000000000000002E-4</v>
      </c>
      <c r="D44" s="238"/>
      <c r="E44" s="238"/>
      <c r="F44" s="239"/>
      <c r="G44" s="3687"/>
    </row>
    <row r="45" spans="1:7" s="214" customFormat="1" ht="13.5" customHeight="1">
      <c r="A45" s="255" t="s">
        <v>1545</v>
      </c>
      <c r="B45" s="244" t="s">
        <v>1511</v>
      </c>
      <c r="C45" s="245">
        <f ca="1">C46</f>
        <v>1544</v>
      </c>
      <c r="D45" s="235">
        <f ca="1">C47</f>
        <v>2.5999999999999999E-3</v>
      </c>
      <c r="E45" s="236" t="s">
        <v>1537</v>
      </c>
      <c r="F45" s="246">
        <f ca="1">F27</f>
        <v>0.13</v>
      </c>
      <c r="G45" s="247" t="s">
        <v>1546</v>
      </c>
    </row>
    <row r="46" spans="1:7" s="214" customFormat="1" ht="13.5" customHeight="1">
      <c r="A46" s="779" t="s">
        <v>346</v>
      </c>
      <c r="B46" s="248" t="s">
        <v>1547</v>
      </c>
      <c r="C46" s="249">
        <f ca="1">ROUND((C33+C39)*F27,0)</f>
        <v>1544</v>
      </c>
      <c r="D46" s="263"/>
      <c r="E46" s="236"/>
      <c r="F46" s="246"/>
      <c r="G46" s="247"/>
    </row>
    <row r="47" spans="1:7" s="214" customFormat="1" ht="13.5" customHeight="1">
      <c r="A47" s="779" t="s">
        <v>347</v>
      </c>
      <c r="B47" s="248" t="s">
        <v>1548</v>
      </c>
      <c r="C47" s="238">
        <f ca="1">ROUND(C40*F27,4)</f>
        <v>2.5999999999999999E-3</v>
      </c>
      <c r="D47" s="263"/>
      <c r="E47" s="236"/>
      <c r="F47" s="246"/>
      <c r="G47" s="247"/>
    </row>
    <row r="48" spans="1:7" s="214" customFormat="1" ht="13.5" customHeight="1">
      <c r="A48" s="255" t="s">
        <v>1510</v>
      </c>
      <c r="B48" s="210" t="s">
        <v>1549</v>
      </c>
      <c r="C48" s="1324">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14748</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14748</v>
      </c>
      <c r="D51" s="232"/>
      <c r="E51" s="232"/>
      <c r="F51" s="264"/>
      <c r="G51" s="234" t="s">
        <v>1558</v>
      </c>
    </row>
    <row r="52" spans="1:7" s="208" customFormat="1" ht="16.5" thickBot="1">
      <c r="A52" s="265" t="s">
        <v>1559</v>
      </c>
      <c r="B52" s="266"/>
      <c r="C52" s="267">
        <f ca="1">C31+C51</f>
        <v>102106</v>
      </c>
      <c r="D52" s="266"/>
      <c r="E52" s="266"/>
      <c r="F52" s="266"/>
      <c r="G52" s="268"/>
    </row>
    <row r="55" spans="1:7" ht="15">
      <c r="B55" s="270" t="s">
        <v>1560</v>
      </c>
      <c r="C55" s="271"/>
    </row>
    <row r="56" spans="1:7">
      <c r="B56" s="273" t="s">
        <v>800</v>
      </c>
      <c r="C56" s="275">
        <f ca="1">1-C57</f>
        <v>0.85599999999999998</v>
      </c>
    </row>
    <row r="57" spans="1:7">
      <c r="B57" s="273" t="s">
        <v>801</v>
      </c>
      <c r="C57" s="274">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N32" sqref="N32"/>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9">
        <f>F65</f>
        <v>68820</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13543</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30" ht="15">
      <c r="A5" s="358"/>
      <c r="B5" s="359"/>
      <c r="C5" s="3721" t="s">
        <v>1671</v>
      </c>
      <c r="D5" s="3722"/>
      <c r="E5" s="3728" t="str">
        <f>土地案例!$A$6</f>
        <v>北京市大兴区大兴新城西片区一期A组团土地一级开发项目DX00-0407-0002地块R2二类居住用地</v>
      </c>
      <c r="F5" s="3729"/>
      <c r="G5" s="3721" t="str">
        <f>土地案例!$A$13</f>
        <v>北京市房山区良乡大学城主园区FS00-0120-0023地块R2二类居住用地</v>
      </c>
      <c r="H5" s="3722"/>
      <c r="I5" s="3721" t="str">
        <f>土地案例!$A$14</f>
        <v>北京市门头沟区永定镇南区棚户区改造和环境整治项目MC00-0015-6050地块R2二类居住用地</v>
      </c>
      <c r="J5" s="3722"/>
      <c r="K5" s="559"/>
      <c r="L5" s="2710"/>
      <c r="M5" s="2711"/>
      <c r="N5" s="2711"/>
      <c r="O5" s="2711"/>
      <c r="P5" s="3709"/>
      <c r="Q5" s="3710"/>
      <c r="R5" s="3715"/>
      <c r="S5" s="3716"/>
      <c r="T5" s="3715"/>
      <c r="U5" s="3716"/>
      <c r="V5" s="3700"/>
      <c r="W5" s="3700"/>
      <c r="X5" s="1352"/>
      <c r="Y5" s="3715"/>
      <c r="Z5" s="3716"/>
      <c r="AA5" s="3702"/>
      <c r="AB5" s="3702"/>
      <c r="AC5" s="3702"/>
    </row>
    <row r="6" spans="1:30" ht="15.75" thickBot="1">
      <c r="A6" s="360"/>
      <c r="B6" s="361"/>
      <c r="C6" s="3719" t="s">
        <v>1675</v>
      </c>
      <c r="D6" s="3720"/>
      <c r="E6" s="3726" t="s">
        <v>1675</v>
      </c>
      <c r="F6" s="3727"/>
      <c r="G6" s="3719" t="s">
        <v>1675</v>
      </c>
      <c r="H6" s="3720"/>
      <c r="I6" s="3719" t="s">
        <v>1675</v>
      </c>
      <c r="J6" s="3720"/>
      <c r="K6" s="559" t="s">
        <v>1676</v>
      </c>
      <c r="L6" s="2710"/>
      <c r="M6" s="2711"/>
      <c r="N6" s="2711"/>
      <c r="O6" s="2711"/>
      <c r="P6" s="3711"/>
      <c r="Q6" s="3712"/>
      <c r="R6" s="3715"/>
      <c r="S6" s="3716"/>
      <c r="T6" s="3717"/>
      <c r="U6" s="3718"/>
      <c r="V6" s="3700"/>
      <c r="W6" s="3700"/>
      <c r="X6" s="1352"/>
      <c r="Y6" s="3717"/>
      <c r="Z6" s="3718"/>
      <c r="AA6" s="3703"/>
      <c r="AB6" s="3703"/>
      <c r="AC6" s="3703"/>
    </row>
    <row r="7" spans="1:30" s="108" customFormat="1" ht="15.75" thickBot="1">
      <c r="A7" s="362" t="s">
        <v>1677</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23" t="s">
        <v>1678</v>
      </c>
      <c r="Q7" s="3725"/>
      <c r="R7" s="700" t="s">
        <v>14</v>
      </c>
      <c r="S7" s="701">
        <f t="shared" ref="S7:S15" si="0">F7</f>
        <v>99</v>
      </c>
      <c r="T7" s="700" t="s">
        <v>14</v>
      </c>
      <c r="U7" s="701">
        <f t="shared" ref="U7:U15" si="1">H7</f>
        <v>98.5</v>
      </c>
      <c r="V7" s="700" t="s">
        <v>14</v>
      </c>
      <c r="W7" s="701">
        <f t="shared" ref="W7:W15" si="2">J7</f>
        <v>98</v>
      </c>
      <c r="X7" s="702"/>
      <c r="Y7" s="3723" t="s">
        <v>1678</v>
      </c>
      <c r="Z7" s="3724"/>
      <c r="AA7" s="703">
        <f>D7/F7</f>
        <v>1.0101010101010102</v>
      </c>
      <c r="AB7" s="703">
        <f>D7/H7</f>
        <v>1.015228426395939</v>
      </c>
      <c r="AC7" s="703">
        <f>D7/J7</f>
        <v>1.0204081632653061</v>
      </c>
    </row>
    <row r="8" spans="1:30" s="108" customFormat="1" ht="15.75" thickBot="1">
      <c r="A8" s="362" t="s">
        <v>1679</v>
      </c>
      <c r="B8" s="363"/>
      <c r="C8" s="368" t="s">
        <v>1680</v>
      </c>
      <c r="D8" s="365">
        <v>100</v>
      </c>
      <c r="E8" s="368" t="s">
        <v>3405</v>
      </c>
      <c r="F8" s="367">
        <f>SUMIF(72:72,E8,73:73)-SUMIF(72:72,C8,73:73)+100</f>
        <v>100</v>
      </c>
      <c r="G8" s="368" t="s">
        <v>3405</v>
      </c>
      <c r="H8" s="365">
        <f>SUMIF(72:72,G8,73:73)-SUMIF(72:72,C8,73:73)+100</f>
        <v>100</v>
      </c>
      <c r="I8" s="368" t="s">
        <v>3405</v>
      </c>
      <c r="J8" s="365">
        <f>SUMIF(72:72,I8,73:73)-SUMIF(72:72,C8,73:73)+100</f>
        <v>100</v>
      </c>
      <c r="K8" s="560"/>
      <c r="L8" s="2712"/>
      <c r="M8" s="2713"/>
      <c r="N8" s="2713"/>
      <c r="O8" s="2713"/>
      <c r="P8" s="3723" t="s">
        <v>1681</v>
      </c>
      <c r="Q8" s="3724"/>
      <c r="R8" s="700" t="s">
        <v>14</v>
      </c>
      <c r="S8" s="701">
        <f t="shared" si="0"/>
        <v>100</v>
      </c>
      <c r="T8" s="700" t="s">
        <v>14</v>
      </c>
      <c r="U8" s="701">
        <f t="shared" si="1"/>
        <v>100</v>
      </c>
      <c r="V8" s="700" t="s">
        <v>14</v>
      </c>
      <c r="W8" s="701">
        <f t="shared" si="2"/>
        <v>100</v>
      </c>
      <c r="X8" s="702"/>
      <c r="Y8" s="3723" t="s">
        <v>1681</v>
      </c>
      <c r="Z8" s="3724"/>
      <c r="AA8" s="703">
        <f t="shared" ref="AA8:AA45" si="3">D8/F8</f>
        <v>1</v>
      </c>
      <c r="AB8" s="703">
        <f t="shared" ref="AB8:AB45" si="4">D8/H8</f>
        <v>1</v>
      </c>
      <c r="AC8" s="703">
        <f t="shared" ref="AC8:AC45" si="5">D8/J8</f>
        <v>1</v>
      </c>
    </row>
    <row r="9" spans="1:30" s="108" customFormat="1">
      <c r="A9" s="369" t="s">
        <v>1682</v>
      </c>
      <c r="B9" s="63" t="s">
        <v>1683</v>
      </c>
      <c r="C9" s="1972" t="s">
        <v>3392</v>
      </c>
      <c r="D9" s="126">
        <v>100</v>
      </c>
      <c r="E9" s="1972" t="s">
        <v>3392</v>
      </c>
      <c r="F9" s="126">
        <f>SUMIF(74:74,E9,75:75)-SUMIF(74:74,C9,75:75)+100</f>
        <v>100</v>
      </c>
      <c r="G9" s="1972" t="s">
        <v>3392</v>
      </c>
      <c r="H9" s="126">
        <f>SUMIF(74:74,G9,75:75)-SUMIF(74:74,C9,75:75)+100</f>
        <v>100</v>
      </c>
      <c r="I9" s="1972" t="s">
        <v>3392</v>
      </c>
      <c r="J9" s="126">
        <f>SUMIF(74:74,I9,75:75)-SUMIF(74:74,C9,75:75)+100</f>
        <v>100</v>
      </c>
      <c r="K9" s="560"/>
      <c r="L9" s="2712"/>
      <c r="M9" s="2713"/>
      <c r="N9" s="2713"/>
      <c r="O9" s="2767"/>
      <c r="P9" s="3695"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695"/>
      <c r="Q10" s="1340" t="str">
        <f t="shared" si="6"/>
        <v>土地使用年限（年）</v>
      </c>
      <c r="R10" s="700" t="s">
        <v>14</v>
      </c>
      <c r="S10" s="701">
        <f t="shared" si="0"/>
        <v>101</v>
      </c>
      <c r="T10" s="700" t="s">
        <v>14</v>
      </c>
      <c r="U10" s="701">
        <f t="shared" si="1"/>
        <v>101</v>
      </c>
      <c r="V10" s="700" t="s">
        <v>14</v>
      </c>
      <c r="W10" s="701">
        <f t="shared" si="2"/>
        <v>101</v>
      </c>
      <c r="X10" s="702"/>
      <c r="Y10" s="3592"/>
      <c r="Z10" s="52" t="str">
        <f t="shared" si="7"/>
        <v>土地使用年限（年）</v>
      </c>
      <c r="AA10" s="703">
        <f t="shared" si="3"/>
        <v>0.99009900990099009</v>
      </c>
      <c r="AB10" s="703">
        <f t="shared" si="4"/>
        <v>0.99009900990099009</v>
      </c>
      <c r="AC10" s="703">
        <f t="shared" si="5"/>
        <v>0.99009900990099009</v>
      </c>
    </row>
    <row r="11" spans="1:30" ht="15">
      <c r="A11" s="379"/>
      <c r="B11" s="375" t="s">
        <v>1687</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695"/>
      <c r="Q11" s="1340" t="str">
        <f t="shared" si="6"/>
        <v>容积率</v>
      </c>
      <c r="R11" s="700" t="s">
        <v>14</v>
      </c>
      <c r="S11" s="701">
        <f t="shared" si="0"/>
        <v>103</v>
      </c>
      <c r="T11" s="700" t="s">
        <v>14</v>
      </c>
      <c r="U11" s="701">
        <f t="shared" si="1"/>
        <v>97</v>
      </c>
      <c r="V11" s="700" t="s">
        <v>14</v>
      </c>
      <c r="W11" s="701">
        <f t="shared" si="2"/>
        <v>106</v>
      </c>
      <c r="X11" s="702"/>
      <c r="Y11" s="3592"/>
      <c r="Z11" s="52" t="str">
        <f t="shared" si="7"/>
        <v>容积率</v>
      </c>
      <c r="AA11" s="703">
        <f t="shared" si="3"/>
        <v>0.970873786407767</v>
      </c>
      <c r="AB11" s="703">
        <f t="shared" si="4"/>
        <v>1.0309278350515463</v>
      </c>
      <c r="AC11" s="703">
        <f t="shared" si="5"/>
        <v>0.94339622641509435</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5"/>
      <c r="Q12" s="1340" t="str">
        <f t="shared" si="6"/>
        <v>配建</v>
      </c>
      <c r="R12" s="700" t="s">
        <v>14</v>
      </c>
      <c r="S12" s="701">
        <f t="shared" si="0"/>
        <v>100</v>
      </c>
      <c r="T12" s="700" t="s">
        <v>14</v>
      </c>
      <c r="U12" s="701">
        <f t="shared" si="1"/>
        <v>100</v>
      </c>
      <c r="V12" s="700" t="s">
        <v>14</v>
      </c>
      <c r="W12" s="701">
        <f t="shared" si="2"/>
        <v>100</v>
      </c>
      <c r="X12" s="702"/>
      <c r="Y12" s="3592"/>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5"/>
      <c r="Q14" s="1340">
        <f t="shared" si="6"/>
        <v>111</v>
      </c>
      <c r="R14" s="700" t="s">
        <v>14</v>
      </c>
      <c r="S14" s="701">
        <f t="shared" si="0"/>
        <v>100</v>
      </c>
      <c r="T14" s="700" t="s">
        <v>14</v>
      </c>
      <c r="U14" s="701">
        <f t="shared" si="1"/>
        <v>100</v>
      </c>
      <c r="V14" s="700" t="s">
        <v>14</v>
      </c>
      <c r="W14" s="701">
        <f t="shared" si="2"/>
        <v>100</v>
      </c>
      <c r="X14" s="702"/>
      <c r="Y14" s="3592"/>
      <c r="Z14" s="52">
        <f t="shared" si="7"/>
        <v>111</v>
      </c>
      <c r="AA14" s="703">
        <f>D14/F14</f>
        <v>1</v>
      </c>
      <c r="AB14" s="703">
        <f>D14/H14</f>
        <v>1</v>
      </c>
      <c r="AC14" s="703">
        <f>D14/J14</f>
        <v>1</v>
      </c>
    </row>
    <row r="15" spans="1:30" ht="85.5">
      <c r="A15" s="391" t="s">
        <v>1688</v>
      </c>
      <c r="B15" s="61" t="s">
        <v>1255</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696" t="s">
        <v>1689</v>
      </c>
      <c r="Q15" s="1349" t="str">
        <f t="shared" si="6"/>
        <v>居住社区成熟度</v>
      </c>
      <c r="R15" s="704" t="s">
        <v>14</v>
      </c>
      <c r="S15" s="705">
        <f t="shared" si="0"/>
        <v>100</v>
      </c>
      <c r="T15" s="704" t="s">
        <v>14</v>
      </c>
      <c r="U15" s="705">
        <f t="shared" si="1"/>
        <v>110</v>
      </c>
      <c r="V15" s="704" t="s">
        <v>14</v>
      </c>
      <c r="W15" s="705">
        <f t="shared" si="2"/>
        <v>110</v>
      </c>
      <c r="X15" s="1352"/>
      <c r="Y15" s="3696" t="s">
        <v>1689</v>
      </c>
      <c r="Z15" s="1353" t="str">
        <f t="shared" si="7"/>
        <v>居住社区成熟度</v>
      </c>
      <c r="AA15" s="1350">
        <f t="shared" si="3"/>
        <v>1</v>
      </c>
      <c r="AB15" s="1350">
        <f t="shared" si="4"/>
        <v>0.90909090909090906</v>
      </c>
      <c r="AC15" s="1350">
        <f t="shared" si="5"/>
        <v>0.90909090909090906</v>
      </c>
    </row>
    <row r="16" spans="1:30" ht="15">
      <c r="A16" s="379"/>
      <c r="B16" s="397"/>
      <c r="C16" s="398" t="s">
        <v>3411</v>
      </c>
      <c r="D16" s="399"/>
      <c r="E16" s="1894" t="s">
        <v>3411</v>
      </c>
      <c r="F16" s="399"/>
      <c r="G16" s="1894" t="s">
        <v>3427</v>
      </c>
      <c r="H16" s="401"/>
      <c r="I16" s="1893" t="s">
        <v>3427</v>
      </c>
      <c r="J16" s="399"/>
      <c r="K16" s="620"/>
      <c r="L16" s="2717"/>
      <c r="M16" s="2711"/>
      <c r="N16" s="2711"/>
      <c r="O16" s="2769"/>
      <c r="P16" s="3697"/>
      <c r="Q16" s="1349"/>
      <c r="R16" s="704"/>
      <c r="S16" s="705"/>
      <c r="T16" s="704"/>
      <c r="U16" s="705"/>
      <c r="V16" s="704"/>
      <c r="W16" s="705"/>
      <c r="X16" s="1352"/>
      <c r="Y16" s="3697"/>
      <c r="Z16" s="1353"/>
      <c r="AA16" s="1350">
        <v>1</v>
      </c>
      <c r="AB16" s="1350">
        <v>1</v>
      </c>
      <c r="AC16" s="1350">
        <v>1</v>
      </c>
    </row>
    <row r="17" spans="1:29" ht="57" hidden="1">
      <c r="A17" s="379"/>
      <c r="B17" s="402" t="s">
        <v>1775</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97"/>
      <c r="Q17" s="1349" t="str">
        <f>B17</f>
        <v>商业繁华度</v>
      </c>
      <c r="R17" s="704" t="s">
        <v>14</v>
      </c>
      <c r="S17" s="705">
        <f>F17</f>
        <v>100</v>
      </c>
      <c r="T17" s="704" t="s">
        <v>14</v>
      </c>
      <c r="U17" s="705">
        <f>H17</f>
        <v>100</v>
      </c>
      <c r="V17" s="704" t="s">
        <v>14</v>
      </c>
      <c r="W17" s="705">
        <f>J17</f>
        <v>100</v>
      </c>
      <c r="X17" s="1352"/>
      <c r="Y17" s="3697"/>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697"/>
      <c r="Q18" s="1349"/>
      <c r="R18" s="704"/>
      <c r="S18" s="705"/>
      <c r="T18" s="704"/>
      <c r="U18" s="705"/>
      <c r="V18" s="704"/>
      <c r="W18" s="705"/>
      <c r="X18" s="1352"/>
      <c r="Y18" s="3697"/>
      <c r="Z18" s="1353"/>
      <c r="AA18" s="1350">
        <v>1</v>
      </c>
      <c r="AB18" s="1350">
        <v>1</v>
      </c>
      <c r="AC18" s="1350">
        <v>1</v>
      </c>
    </row>
    <row r="19" spans="1:29" ht="71.25" hidden="1">
      <c r="A19" s="379"/>
      <c r="B19" s="402" t="s">
        <v>1809</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7"/>
      <c r="Q19" s="1349" t="str">
        <f>B19</f>
        <v>办公集聚程度</v>
      </c>
      <c r="R19" s="704" t="s">
        <v>14</v>
      </c>
      <c r="S19" s="705">
        <f>F19</f>
        <v>100</v>
      </c>
      <c r="T19" s="704" t="s">
        <v>14</v>
      </c>
      <c r="U19" s="705">
        <f>H19</f>
        <v>100</v>
      </c>
      <c r="V19" s="704" t="s">
        <v>14</v>
      </c>
      <c r="W19" s="705">
        <f>J19</f>
        <v>100</v>
      </c>
      <c r="X19" s="1352"/>
      <c r="Y19" s="3697"/>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697"/>
      <c r="Q20" s="1349"/>
      <c r="R20" s="704"/>
      <c r="S20" s="705"/>
      <c r="T20" s="704"/>
      <c r="U20" s="705"/>
      <c r="V20" s="704"/>
      <c r="W20" s="705"/>
      <c r="X20" s="1352"/>
      <c r="Y20" s="3697"/>
      <c r="Z20" s="1353"/>
      <c r="AA20" s="1350">
        <v>1</v>
      </c>
      <c r="AB20" s="1350">
        <v>1</v>
      </c>
      <c r="AC20" s="1350">
        <v>1</v>
      </c>
    </row>
    <row r="21" spans="1:29" ht="71.25">
      <c r="A21" s="379"/>
      <c r="B21" s="402" t="s">
        <v>1831</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697"/>
      <c r="Q21" s="1349" t="str">
        <f>B21</f>
        <v>交通便捷度</v>
      </c>
      <c r="R21" s="704" t="s">
        <v>14</v>
      </c>
      <c r="S21" s="705">
        <f>F21</f>
        <v>100</v>
      </c>
      <c r="T21" s="704" t="s">
        <v>14</v>
      </c>
      <c r="U21" s="705">
        <f>H21</f>
        <v>103</v>
      </c>
      <c r="V21" s="704" t="s">
        <v>14</v>
      </c>
      <c r="W21" s="705">
        <f>J21</f>
        <v>103</v>
      </c>
      <c r="X21" s="1352"/>
      <c r="Y21" s="3697"/>
      <c r="Z21" s="1353" t="str">
        <f>Q21</f>
        <v>交通便捷度</v>
      </c>
      <c r="AA21" s="1350">
        <f t="shared" si="3"/>
        <v>1</v>
      </c>
      <c r="AB21" s="1350">
        <f t="shared" si="4"/>
        <v>0.970873786407767</v>
      </c>
      <c r="AC21" s="1350">
        <f t="shared" si="5"/>
        <v>0.970873786407767</v>
      </c>
    </row>
    <row r="22" spans="1:29" ht="15">
      <c r="A22" s="379"/>
      <c r="B22" s="1129"/>
      <c r="C22" s="398" t="s">
        <v>3410</v>
      </c>
      <c r="D22" s="401"/>
      <c r="E22" s="1894" t="s">
        <v>3410</v>
      </c>
      <c r="F22" s="399"/>
      <c r="G22" s="1894" t="s">
        <v>3427</v>
      </c>
      <c r="H22" s="399"/>
      <c r="I22" s="1894" t="s">
        <v>3427</v>
      </c>
      <c r="J22" s="399"/>
      <c r="K22" s="620"/>
      <c r="L22" s="2717"/>
      <c r="M22" s="2711"/>
      <c r="N22" s="2711"/>
      <c r="O22" s="2769"/>
      <c r="P22" s="3697"/>
      <c r="Q22" s="1349"/>
      <c r="R22" s="704"/>
      <c r="S22" s="705"/>
      <c r="T22" s="704"/>
      <c r="U22" s="705"/>
      <c r="V22" s="704"/>
      <c r="W22" s="705"/>
      <c r="X22" s="1352"/>
      <c r="Y22" s="3697"/>
      <c r="Z22" s="1353"/>
      <c r="AA22" s="1350">
        <v>1</v>
      </c>
      <c r="AB22" s="1350">
        <v>1</v>
      </c>
      <c r="AC22" s="1350">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697"/>
      <c r="Q23" s="1349" t="str">
        <f t="shared" ref="Q23:Q37" si="8">B23</f>
        <v>区域土地利用方向</v>
      </c>
      <c r="R23" s="704" t="s">
        <v>14</v>
      </c>
      <c r="S23" s="705">
        <f>F23</f>
        <v>100</v>
      </c>
      <c r="T23" s="704" t="s">
        <v>14</v>
      </c>
      <c r="U23" s="705">
        <f>H23</f>
        <v>100</v>
      </c>
      <c r="V23" s="704" t="s">
        <v>14</v>
      </c>
      <c r="W23" s="705">
        <f>J23</f>
        <v>100</v>
      </c>
      <c r="X23" s="1352"/>
      <c r="Y23" s="3697"/>
      <c r="Z23" s="1353" t="str">
        <f>Q23</f>
        <v>区域土地利用方向</v>
      </c>
      <c r="AA23" s="1350">
        <f t="shared" si="3"/>
        <v>1</v>
      </c>
      <c r="AB23" s="1350">
        <f t="shared" si="4"/>
        <v>1</v>
      </c>
      <c r="AC23" s="1350">
        <f t="shared" si="5"/>
        <v>1</v>
      </c>
    </row>
    <row r="24" spans="1:29" ht="15">
      <c r="A24" s="358"/>
      <c r="B24" s="407"/>
      <c r="C24" s="565" t="s">
        <v>3427</v>
      </c>
      <c r="D24" s="399"/>
      <c r="E24" s="565" t="s">
        <v>3427</v>
      </c>
      <c r="F24" s="399"/>
      <c r="G24" s="565" t="s">
        <v>3427</v>
      </c>
      <c r="H24" s="399"/>
      <c r="I24" s="565" t="s">
        <v>3427</v>
      </c>
      <c r="J24" s="399"/>
      <c r="K24" s="739"/>
      <c r="L24" s="2717"/>
      <c r="M24" s="2711"/>
      <c r="N24" s="2711"/>
      <c r="O24" s="2769"/>
      <c r="P24" s="3697"/>
      <c r="Q24" s="1349"/>
      <c r="R24" s="704"/>
      <c r="S24" s="705"/>
      <c r="T24" s="704"/>
      <c r="U24" s="705"/>
      <c r="V24" s="704"/>
      <c r="W24" s="705"/>
      <c r="X24" s="1352"/>
      <c r="Y24" s="3697"/>
      <c r="Z24" s="1353"/>
      <c r="AA24" s="1350"/>
      <c r="AB24" s="1350"/>
      <c r="AC24" s="1350"/>
    </row>
    <row r="25" spans="1:29" ht="42.75">
      <c r="A25" s="358"/>
      <c r="B25" s="1129" t="s">
        <v>1870</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697"/>
      <c r="Q25" s="1349" t="str">
        <f t="shared" si="8"/>
        <v>自然及人文环境状况</v>
      </c>
      <c r="R25" s="704" t="s">
        <v>14</v>
      </c>
      <c r="S25" s="705">
        <f>F25</f>
        <v>103</v>
      </c>
      <c r="T25" s="704" t="s">
        <v>14</v>
      </c>
      <c r="U25" s="705">
        <f>H25</f>
        <v>103</v>
      </c>
      <c r="V25" s="704" t="s">
        <v>14</v>
      </c>
      <c r="W25" s="705">
        <f>J25</f>
        <v>100</v>
      </c>
      <c r="X25" s="1352"/>
      <c r="Y25" s="3697"/>
      <c r="Z25" s="1353" t="str">
        <f>Q25</f>
        <v>自然及人文环境状况</v>
      </c>
      <c r="AA25" s="1350">
        <f t="shared" si="3"/>
        <v>0.970873786407767</v>
      </c>
      <c r="AB25" s="1350">
        <f t="shared" si="4"/>
        <v>0.970873786407767</v>
      </c>
      <c r="AC25" s="1350">
        <f t="shared" si="5"/>
        <v>1</v>
      </c>
    </row>
    <row r="26" spans="1:29" ht="15">
      <c r="A26" s="358"/>
      <c r="B26" s="407"/>
      <c r="C26" s="398" t="s">
        <v>3410</v>
      </c>
      <c r="D26" s="399"/>
      <c r="E26" s="1900" t="s">
        <v>3427</v>
      </c>
      <c r="F26" s="399"/>
      <c r="G26" s="1900" t="s">
        <v>3427</v>
      </c>
      <c r="H26" s="399"/>
      <c r="I26" s="1900" t="s">
        <v>3410</v>
      </c>
      <c r="J26" s="399"/>
      <c r="K26" s="620"/>
      <c r="L26" s="2717"/>
      <c r="M26" s="2711"/>
      <c r="N26" s="2711"/>
      <c r="O26" s="2769"/>
      <c r="P26" s="3697"/>
      <c r="Q26" s="1349"/>
      <c r="R26" s="704"/>
      <c r="S26" s="705"/>
      <c r="T26" s="704"/>
      <c r="U26" s="705"/>
      <c r="V26" s="704"/>
      <c r="W26" s="705"/>
      <c r="X26" s="1352"/>
      <c r="Y26" s="3697"/>
      <c r="Z26" s="1353"/>
      <c r="AA26" s="1350">
        <v>1</v>
      </c>
      <c r="AB26" s="1350">
        <v>1</v>
      </c>
      <c r="AC26" s="1350">
        <v>1</v>
      </c>
    </row>
    <row r="27" spans="1:29" s="108" customFormat="1" ht="42.75">
      <c r="A27" s="597"/>
      <c r="B27" s="1129" t="s">
        <v>1776</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697"/>
      <c r="Q27" s="1340" t="str">
        <f t="shared" si="8"/>
        <v>公共配套设施</v>
      </c>
      <c r="R27" s="700" t="s">
        <v>14</v>
      </c>
      <c r="S27" s="701">
        <f>F27</f>
        <v>100</v>
      </c>
      <c r="T27" s="700" t="s">
        <v>14</v>
      </c>
      <c r="U27" s="701">
        <f>H27</f>
        <v>103</v>
      </c>
      <c r="V27" s="700" t="s">
        <v>14</v>
      </c>
      <c r="W27" s="701">
        <f>J27</f>
        <v>103</v>
      </c>
      <c r="X27" s="702"/>
      <c r="Y27" s="3697"/>
      <c r="Z27" s="52" t="str">
        <f>Q27</f>
        <v>公共配套设施</v>
      </c>
      <c r="AA27" s="1350">
        <f>D27/F27</f>
        <v>1</v>
      </c>
      <c r="AB27" s="1350">
        <f>D27/H27</f>
        <v>0.970873786407767</v>
      </c>
      <c r="AC27" s="1350">
        <f>D27/J27</f>
        <v>0.970873786407767</v>
      </c>
    </row>
    <row r="28" spans="1:29" s="108" customFormat="1" ht="15">
      <c r="A28" s="597"/>
      <c r="B28" s="407"/>
      <c r="C28" s="1973" t="s">
        <v>3410</v>
      </c>
      <c r="D28" s="399"/>
      <c r="E28" s="1973" t="s">
        <v>3410</v>
      </c>
      <c r="F28" s="399"/>
      <c r="G28" s="1900" t="s">
        <v>3427</v>
      </c>
      <c r="H28" s="399"/>
      <c r="I28" s="1900" t="s">
        <v>3427</v>
      </c>
      <c r="J28" s="399"/>
      <c r="K28" s="620"/>
      <c r="L28" s="2712"/>
      <c r="M28" s="2713"/>
      <c r="N28" s="2713"/>
      <c r="O28" s="2767"/>
      <c r="P28" s="3697"/>
      <c r="Q28" s="1340"/>
      <c r="R28" s="700"/>
      <c r="S28" s="701"/>
      <c r="T28" s="700"/>
      <c r="U28" s="701"/>
      <c r="V28" s="700"/>
      <c r="W28" s="701"/>
      <c r="X28" s="702"/>
      <c r="Y28" s="3697"/>
      <c r="Z28" s="52"/>
      <c r="AA28" s="1350">
        <v>1</v>
      </c>
      <c r="AB28" s="1350">
        <v>1</v>
      </c>
      <c r="AC28" s="1350">
        <v>1</v>
      </c>
    </row>
    <row r="29" spans="1:29" s="108" customFormat="1" ht="28.5">
      <c r="A29" s="597"/>
      <c r="B29" s="1129" t="s">
        <v>1777</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697"/>
      <c r="Q29" s="1340" t="str">
        <f t="shared" ref="Q29" si="9">B29</f>
        <v>基础设施水平</v>
      </c>
      <c r="R29" s="700" t="s">
        <v>14</v>
      </c>
      <c r="S29" s="701">
        <f>F29</f>
        <v>100</v>
      </c>
      <c r="T29" s="700" t="s">
        <v>14</v>
      </c>
      <c r="U29" s="701">
        <f>H29</f>
        <v>100</v>
      </c>
      <c r="V29" s="700" t="s">
        <v>14</v>
      </c>
      <c r="W29" s="701">
        <f>J29</f>
        <v>100</v>
      </c>
      <c r="X29" s="702"/>
      <c r="Y29" s="3697"/>
      <c r="Z29" s="52" t="str">
        <f>Q29</f>
        <v>基础设施水平</v>
      </c>
      <c r="AA29" s="1350">
        <f>D29/F29</f>
        <v>1</v>
      </c>
      <c r="AB29" s="1350">
        <f>D29/H29</f>
        <v>1</v>
      </c>
      <c r="AC29" s="1350">
        <f>D29/J29</f>
        <v>1</v>
      </c>
    </row>
    <row r="30" spans="1:29" s="108" customFormat="1" ht="15">
      <c r="A30" s="597"/>
      <c r="B30" s="407"/>
      <c r="C30" s="1973" t="s">
        <v>3412</v>
      </c>
      <c r="D30" s="399"/>
      <c r="E30" s="1973" t="s">
        <v>3412</v>
      </c>
      <c r="F30" s="399"/>
      <c r="G30" s="1973" t="s">
        <v>3412</v>
      </c>
      <c r="H30" s="399"/>
      <c r="I30" s="1973" t="s">
        <v>3412</v>
      </c>
      <c r="J30" s="399"/>
      <c r="K30" s="620"/>
      <c r="L30" s="2712"/>
      <c r="M30" s="2713"/>
      <c r="N30" s="2713"/>
      <c r="O30" s="2767"/>
      <c r="P30" s="3697"/>
      <c r="Q30" s="1340"/>
      <c r="R30" s="700"/>
      <c r="S30" s="701"/>
      <c r="T30" s="700"/>
      <c r="U30" s="701"/>
      <c r="V30" s="700"/>
      <c r="W30" s="701"/>
      <c r="X30" s="702"/>
      <c r="Y30" s="3697"/>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7"/>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697"/>
      <c r="Z31" s="1353" t="str">
        <f t="shared" ref="Z31:Z45" si="13">Q31</f>
        <v>临街状况</v>
      </c>
      <c r="AA31" s="1350">
        <f t="shared" si="3"/>
        <v>1</v>
      </c>
      <c r="AB31" s="1350">
        <f t="shared" si="4"/>
        <v>1</v>
      </c>
      <c r="AC31" s="1350">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7"/>
      <c r="Q32" s="1349" t="str">
        <f t="shared" si="8"/>
        <v>毗邻道路的类型与等级</v>
      </c>
      <c r="R32" s="704" t="s">
        <v>14</v>
      </c>
      <c r="S32" s="705">
        <f t="shared" si="10"/>
        <v>100</v>
      </c>
      <c r="T32" s="704" t="s">
        <v>14</v>
      </c>
      <c r="U32" s="705">
        <f t="shared" si="11"/>
        <v>100</v>
      </c>
      <c r="V32" s="704" t="s">
        <v>14</v>
      </c>
      <c r="W32" s="705">
        <f t="shared" si="12"/>
        <v>100</v>
      </c>
      <c r="X32" s="1352"/>
      <c r="Y32" s="3697"/>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697"/>
      <c r="Q33" s="1349"/>
      <c r="R33" s="704"/>
      <c r="S33" s="705"/>
      <c r="T33" s="704"/>
      <c r="U33" s="705"/>
      <c r="V33" s="704"/>
      <c r="W33" s="705"/>
      <c r="X33" s="1352"/>
      <c r="Y33" s="3697"/>
      <c r="Z33" s="1353"/>
      <c r="AA33" s="1350">
        <v>1</v>
      </c>
      <c r="AB33" s="1350">
        <v>1</v>
      </c>
      <c r="AC33" s="1350">
        <v>1</v>
      </c>
    </row>
    <row r="34" spans="1:29" ht="15">
      <c r="A34" s="379"/>
      <c r="B34" s="375" t="s">
        <v>1871</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697"/>
      <c r="Q34" s="1349" t="str">
        <f t="shared" si="8"/>
        <v>土地级别</v>
      </c>
      <c r="R34" s="704" t="s">
        <v>14</v>
      </c>
      <c r="S34" s="705">
        <f t="shared" si="10"/>
        <v>102</v>
      </c>
      <c r="T34" s="704" t="s">
        <v>14</v>
      </c>
      <c r="U34" s="705">
        <f t="shared" si="11"/>
        <v>104</v>
      </c>
      <c r="V34" s="704" t="s">
        <v>14</v>
      </c>
      <c r="W34" s="705">
        <f t="shared" si="12"/>
        <v>104</v>
      </c>
      <c r="X34" s="1352"/>
      <c r="Y34" s="3697"/>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7"/>
      <c r="Q35" s="1349">
        <f t="shared" si="8"/>
        <v>111</v>
      </c>
      <c r="R35" s="704" t="s">
        <v>14</v>
      </c>
      <c r="S35" s="705">
        <f t="shared" si="10"/>
        <v>100</v>
      </c>
      <c r="T35" s="704" t="s">
        <v>14</v>
      </c>
      <c r="U35" s="705">
        <f t="shared" si="11"/>
        <v>100</v>
      </c>
      <c r="V35" s="704" t="s">
        <v>14</v>
      </c>
      <c r="W35" s="705">
        <f t="shared" si="12"/>
        <v>100</v>
      </c>
      <c r="X35" s="1352"/>
      <c r="Y35" s="3697"/>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698" t="s">
        <v>1694</v>
      </c>
      <c r="Q36" s="1349">
        <f t="shared" si="8"/>
        <v>111</v>
      </c>
      <c r="R36" s="704" t="s">
        <v>14</v>
      </c>
      <c r="S36" s="705">
        <f t="shared" si="10"/>
        <v>100</v>
      </c>
      <c r="T36" s="704" t="s">
        <v>14</v>
      </c>
      <c r="U36" s="705">
        <f t="shared" si="11"/>
        <v>100</v>
      </c>
      <c r="V36" s="704" t="s">
        <v>14</v>
      </c>
      <c r="W36" s="705">
        <f t="shared" si="12"/>
        <v>100</v>
      </c>
      <c r="X36" s="1352"/>
      <c r="Y36" s="3699" t="s">
        <v>1694</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99"/>
      <c r="Q37" s="1349">
        <f t="shared" si="8"/>
        <v>111</v>
      </c>
      <c r="R37" s="707" t="s">
        <v>14</v>
      </c>
      <c r="S37" s="708">
        <f t="shared" si="10"/>
        <v>100</v>
      </c>
      <c r="T37" s="707" t="s">
        <v>14</v>
      </c>
      <c r="U37" s="708">
        <f t="shared" si="11"/>
        <v>100</v>
      </c>
      <c r="V37" s="707" t="s">
        <v>14</v>
      </c>
      <c r="W37" s="708">
        <f t="shared" si="12"/>
        <v>100</v>
      </c>
      <c r="X37" s="709"/>
      <c r="Y37" s="3699"/>
      <c r="Z37" s="710">
        <f t="shared" si="13"/>
        <v>111</v>
      </c>
      <c r="AA37" s="1350">
        <f t="shared" si="3"/>
        <v>1</v>
      </c>
      <c r="AB37" s="1350">
        <f t="shared" si="4"/>
        <v>1</v>
      </c>
      <c r="AC37" s="1350">
        <f t="shared" si="5"/>
        <v>1</v>
      </c>
    </row>
    <row r="38" spans="1:29" ht="15">
      <c r="A38" s="423" t="s">
        <v>1692</v>
      </c>
      <c r="B38" s="407" t="s">
        <v>1872</v>
      </c>
      <c r="C38" s="3499">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699"/>
      <c r="Q38" s="1349" t="str">
        <f>B38</f>
        <v>宗地面积</v>
      </c>
      <c r="R38" s="704" t="s">
        <v>14</v>
      </c>
      <c r="S38" s="705">
        <f t="shared" si="10"/>
        <v>99</v>
      </c>
      <c r="T38" s="704" t="s">
        <v>14</v>
      </c>
      <c r="U38" s="705">
        <f t="shared" si="11"/>
        <v>99</v>
      </c>
      <c r="V38" s="704" t="s">
        <v>14</v>
      </c>
      <c r="W38" s="705">
        <f t="shared" si="12"/>
        <v>99</v>
      </c>
      <c r="X38" s="1352"/>
      <c r="Y38" s="3699"/>
      <c r="Z38" s="1353" t="str">
        <f t="shared" si="13"/>
        <v>宗地面积</v>
      </c>
      <c r="AA38" s="1350">
        <f t="shared" si="3"/>
        <v>1.0101010101010102</v>
      </c>
      <c r="AB38" s="1350">
        <f t="shared" si="4"/>
        <v>1.0101010101010102</v>
      </c>
      <c r="AC38" s="1350">
        <f t="shared" si="5"/>
        <v>1.0101010101010102</v>
      </c>
    </row>
    <row r="39" spans="1:29" ht="15">
      <c r="A39" s="423"/>
      <c r="B39" s="375" t="s">
        <v>1873</v>
      </c>
      <c r="C39" s="1902" t="s">
        <v>3596</v>
      </c>
      <c r="D39" s="386">
        <v>100</v>
      </c>
      <c r="E39" s="1902" t="s">
        <v>3596</v>
      </c>
      <c r="F39" s="386">
        <f>SUMIF(118:118,E39,119:119)-SUMIF(118:118,C39,119:119)+100</f>
        <v>100</v>
      </c>
      <c r="G39" s="1902" t="s">
        <v>3596</v>
      </c>
      <c r="H39" s="386">
        <f>SUMIF(118:118,G39,119:119)-SUMIF(118:118,C39,119:119)+100</f>
        <v>100</v>
      </c>
      <c r="I39" s="1902" t="s">
        <v>3596</v>
      </c>
      <c r="J39" s="386">
        <f>SUMIF(118:118,I39,119:119)-SUMIF(118:118,C39,119:119)+100</f>
        <v>100</v>
      </c>
      <c r="K39" s="561">
        <v>2</v>
      </c>
      <c r="L39" s="2717"/>
      <c r="M39" s="2711"/>
      <c r="N39" s="2711"/>
      <c r="O39" s="2769"/>
      <c r="P39" s="3699"/>
      <c r="Q39" s="1349" t="str">
        <f t="shared" ref="Q39:Q45" si="14">B39</f>
        <v>宗地形状</v>
      </c>
      <c r="R39" s="704" t="s">
        <v>14</v>
      </c>
      <c r="S39" s="705">
        <f t="shared" si="10"/>
        <v>100</v>
      </c>
      <c r="T39" s="704" t="s">
        <v>14</v>
      </c>
      <c r="U39" s="705">
        <f t="shared" si="11"/>
        <v>100</v>
      </c>
      <c r="V39" s="704" t="s">
        <v>14</v>
      </c>
      <c r="W39" s="705">
        <f t="shared" si="12"/>
        <v>100</v>
      </c>
      <c r="X39" s="1352"/>
      <c r="Y39" s="3699"/>
      <c r="Z39" s="1353" t="str">
        <f t="shared" si="13"/>
        <v>宗地形状</v>
      </c>
      <c r="AA39" s="1350">
        <f t="shared" si="3"/>
        <v>1</v>
      </c>
      <c r="AB39" s="1350">
        <f t="shared" si="4"/>
        <v>1</v>
      </c>
      <c r="AC39" s="1350">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699"/>
      <c r="Q40" s="1349" t="str">
        <f t="shared" si="14"/>
        <v>临街宽度及深度</v>
      </c>
      <c r="R40" s="704" t="s">
        <v>14</v>
      </c>
      <c r="S40" s="705">
        <f t="shared" si="10"/>
        <v>100</v>
      </c>
      <c r="T40" s="704" t="s">
        <v>14</v>
      </c>
      <c r="U40" s="705">
        <f t="shared" si="11"/>
        <v>100</v>
      </c>
      <c r="V40" s="704" t="s">
        <v>14</v>
      </c>
      <c r="W40" s="705">
        <f t="shared" si="12"/>
        <v>100</v>
      </c>
      <c r="X40" s="1352"/>
      <c r="Y40" s="3699"/>
      <c r="Z40" s="1353" t="str">
        <f t="shared" si="13"/>
        <v>临街宽度及深度</v>
      </c>
      <c r="AA40" s="1350">
        <f t="shared" si="3"/>
        <v>1</v>
      </c>
      <c r="AB40" s="1350">
        <f t="shared" si="4"/>
        <v>1</v>
      </c>
      <c r="AC40" s="1350">
        <f t="shared" si="5"/>
        <v>1</v>
      </c>
    </row>
    <row r="41" spans="1:29" s="108" customFormat="1" ht="15">
      <c r="A41" s="424"/>
      <c r="B41" s="375" t="s">
        <v>1875</v>
      </c>
      <c r="C41" s="1975" t="s">
        <v>3412</v>
      </c>
      <c r="D41" s="127">
        <v>100</v>
      </c>
      <c r="E41" s="1975" t="s">
        <v>3601</v>
      </c>
      <c r="F41" s="386">
        <f>SUMIF(122:122,E41,123:123)-SUMIF(122:122,C41,123:123)+100</f>
        <v>99</v>
      </c>
      <c r="G41" s="1975" t="s">
        <v>3601</v>
      </c>
      <c r="H41" s="386">
        <f>SUMIF(122:122,G41,123:123)-SUMIF(122:122,C41,123:123)+100</f>
        <v>99</v>
      </c>
      <c r="I41" s="1975" t="s">
        <v>3603</v>
      </c>
      <c r="J41" s="386">
        <f>SUMIF(122:122,I41,123:123)-SUMIF(122:122,C41,123:123)+100</f>
        <v>98</v>
      </c>
      <c r="K41" s="561">
        <v>1</v>
      </c>
      <c r="L41" s="2712"/>
      <c r="M41" s="2713"/>
      <c r="N41" s="2713"/>
      <c r="O41" s="2767"/>
      <c r="P41" s="3699"/>
      <c r="Q41" s="1349" t="str">
        <f t="shared" si="14"/>
        <v>宗地开发程度</v>
      </c>
      <c r="R41" s="700" t="s">
        <v>14</v>
      </c>
      <c r="S41" s="701">
        <f t="shared" si="10"/>
        <v>99</v>
      </c>
      <c r="T41" s="700" t="s">
        <v>14</v>
      </c>
      <c r="U41" s="701">
        <f t="shared" si="11"/>
        <v>99</v>
      </c>
      <c r="V41" s="700" t="s">
        <v>14</v>
      </c>
      <c r="W41" s="701">
        <f t="shared" si="12"/>
        <v>98</v>
      </c>
      <c r="X41" s="702"/>
      <c r="Y41" s="3699"/>
      <c r="Z41" s="52" t="str">
        <f t="shared" si="13"/>
        <v>宗地开发程度</v>
      </c>
      <c r="AA41" s="703">
        <f t="shared" si="3"/>
        <v>1.0101010101010102</v>
      </c>
      <c r="AB41" s="703">
        <f t="shared" si="4"/>
        <v>1.0101010101010102</v>
      </c>
      <c r="AC41" s="703">
        <f t="shared" si="5"/>
        <v>1.0204081632653061</v>
      </c>
    </row>
    <row r="42" spans="1:29" ht="15">
      <c r="A42" s="423"/>
      <c r="B42" s="375" t="s">
        <v>1876</v>
      </c>
      <c r="C42" s="1902" t="s">
        <v>3427</v>
      </c>
      <c r="D42" s="386">
        <v>100</v>
      </c>
      <c r="E42" s="1902" t="s">
        <v>3427</v>
      </c>
      <c r="F42" s="386">
        <f>SUMIF(124:124,E42,125:125)-SUMIF(124:124,C42,125:125)+100</f>
        <v>100</v>
      </c>
      <c r="G42" s="1902" t="s">
        <v>3427</v>
      </c>
      <c r="H42" s="386">
        <f>SUMIF(124:124,G42,125:125)-SUMIF(124:124,C42,125:125)+100</f>
        <v>100</v>
      </c>
      <c r="I42" s="1902" t="s">
        <v>3427</v>
      </c>
      <c r="J42" s="386">
        <f>SUMIF(124:124,I42,125:125)-SUMIF(124:124,C42,125:125)+100</f>
        <v>100</v>
      </c>
      <c r="K42" s="561">
        <v>2</v>
      </c>
      <c r="L42" s="2717"/>
      <c r="M42" s="2711"/>
      <c r="N42" s="2711"/>
      <c r="O42" s="2769"/>
      <c r="P42" s="3699" t="s">
        <v>1694</v>
      </c>
      <c r="Q42" s="1349" t="str">
        <f t="shared" si="14"/>
        <v>工程地质条件</v>
      </c>
      <c r="R42" s="704" t="s">
        <v>14</v>
      </c>
      <c r="S42" s="705">
        <f t="shared" si="10"/>
        <v>100</v>
      </c>
      <c r="T42" s="704" t="s">
        <v>14</v>
      </c>
      <c r="U42" s="705">
        <f t="shared" si="11"/>
        <v>100</v>
      </c>
      <c r="V42" s="704" t="s">
        <v>14</v>
      </c>
      <c r="W42" s="705">
        <f t="shared" si="12"/>
        <v>100</v>
      </c>
      <c r="X42" s="1352"/>
      <c r="Y42" s="3699" t="s">
        <v>1694</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99"/>
      <c r="Q43" s="1349">
        <f t="shared" si="14"/>
        <v>111</v>
      </c>
      <c r="R43" s="704" t="s">
        <v>14</v>
      </c>
      <c r="S43" s="705">
        <f t="shared" si="10"/>
        <v>100</v>
      </c>
      <c r="T43" s="704" t="s">
        <v>14</v>
      </c>
      <c r="U43" s="705">
        <f t="shared" si="11"/>
        <v>100</v>
      </c>
      <c r="V43" s="704" t="s">
        <v>14</v>
      </c>
      <c r="W43" s="705">
        <f t="shared" si="12"/>
        <v>100</v>
      </c>
      <c r="X43" s="1352"/>
      <c r="Y43" s="3699"/>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99"/>
      <c r="Q44" s="1349">
        <f t="shared" si="14"/>
        <v>111</v>
      </c>
      <c r="R44" s="704" t="s">
        <v>14</v>
      </c>
      <c r="S44" s="705">
        <f t="shared" si="10"/>
        <v>100</v>
      </c>
      <c r="T44" s="704" t="s">
        <v>14</v>
      </c>
      <c r="U44" s="705">
        <f t="shared" si="11"/>
        <v>100</v>
      </c>
      <c r="V44" s="704" t="s">
        <v>14</v>
      </c>
      <c r="W44" s="705">
        <f t="shared" si="12"/>
        <v>100</v>
      </c>
      <c r="X44" s="1352"/>
      <c r="Y44" s="3699"/>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99"/>
      <c r="Q45" s="1349">
        <f t="shared" si="14"/>
        <v>111</v>
      </c>
      <c r="R45" s="707" t="s">
        <v>14</v>
      </c>
      <c r="S45" s="708">
        <f t="shared" si="10"/>
        <v>100</v>
      </c>
      <c r="T45" s="707" t="s">
        <v>14</v>
      </c>
      <c r="U45" s="708">
        <f t="shared" si="11"/>
        <v>100</v>
      </c>
      <c r="V45" s="707" t="s">
        <v>14</v>
      </c>
      <c r="W45" s="708">
        <f t="shared" si="12"/>
        <v>100</v>
      </c>
      <c r="X45" s="709"/>
      <c r="Y45" s="3699"/>
      <c r="Z45" s="710">
        <f t="shared" si="13"/>
        <v>111</v>
      </c>
      <c r="AA45" s="1350">
        <f t="shared" si="3"/>
        <v>1</v>
      </c>
      <c r="AB45" s="1350">
        <f t="shared" si="4"/>
        <v>1</v>
      </c>
      <c r="AC45" s="1350">
        <f t="shared" si="5"/>
        <v>1</v>
      </c>
    </row>
    <row r="46" spans="1:29" ht="15">
      <c r="A46" s="430" t="s">
        <v>1842</v>
      </c>
      <c r="B46" s="1977" t="s">
        <v>1877</v>
      </c>
      <c r="C46" s="630" t="s">
        <v>0</v>
      </c>
      <c r="D46" s="432"/>
      <c r="E46" s="433">
        <v>22464</v>
      </c>
      <c r="F46" s="434"/>
      <c r="G46" s="435">
        <v>22029</v>
      </c>
      <c r="H46" s="436"/>
      <c r="I46" s="433">
        <v>24530</v>
      </c>
      <c r="J46" s="436"/>
      <c r="K46" s="713"/>
      <c r="L46" s="2719"/>
      <c r="M46" s="2720"/>
      <c r="N46" s="2711"/>
      <c r="O46" s="2720"/>
      <c r="P46" s="3695" t="str">
        <f>A46</f>
        <v>成交单价</v>
      </c>
      <c r="Q46" s="3695"/>
      <c r="R46" s="3700">
        <f>E46</f>
        <v>22464</v>
      </c>
      <c r="S46" s="3700"/>
      <c r="T46" s="3700">
        <f>G46</f>
        <v>22029</v>
      </c>
      <c r="U46" s="3700"/>
      <c r="V46" s="3700">
        <f>I46</f>
        <v>24530</v>
      </c>
      <c r="W46" s="3700"/>
      <c r="X46" s="689"/>
      <c r="Y46" s="711"/>
      <c r="Z46" s="689"/>
      <c r="AA46" s="689"/>
      <c r="AB46" s="689"/>
      <c r="AC46" s="689"/>
    </row>
    <row r="47" spans="1:29" ht="15.75" thickBot="1">
      <c r="A47" s="437" t="s">
        <v>1791</v>
      </c>
      <c r="B47" s="631"/>
      <c r="C47" s="440">
        <f>R48</f>
        <v>19890</v>
      </c>
      <c r="D47" s="2312" t="s">
        <v>2135</v>
      </c>
      <c r="E47" s="440">
        <f>R47</f>
        <v>21183</v>
      </c>
      <c r="F47" s="2313"/>
      <c r="G47" s="439">
        <f>T47</f>
        <v>18632</v>
      </c>
      <c r="H47" s="2313"/>
      <c r="I47" s="440">
        <f>V47</f>
        <v>19856</v>
      </c>
      <c r="J47" s="2313"/>
      <c r="K47" s="2315">
        <f>F47+H47+J47</f>
        <v>0</v>
      </c>
      <c r="L47" s="2719"/>
      <c r="M47" s="2720"/>
      <c r="N47" s="2720"/>
      <c r="O47" s="2720"/>
      <c r="P47" s="3695" t="str">
        <f>A47</f>
        <v>比较价值（元/平方米）</v>
      </c>
      <c r="Q47" s="3695"/>
      <c r="R47" s="3688">
        <f>ROUND(PRODUCT(R46,AA7:AA45),0)</f>
        <v>21183</v>
      </c>
      <c r="S47" s="3688"/>
      <c r="T47" s="3688">
        <f>ROUND(PRODUCT(T46,AB7:AB45),0)</f>
        <v>18632</v>
      </c>
      <c r="U47" s="3688"/>
      <c r="V47" s="3688">
        <f>ROUND(PRODUCT(V46,AC7:AC45),0)</f>
        <v>19856</v>
      </c>
      <c r="W47" s="3688"/>
      <c r="X47" s="689"/>
      <c r="Y47" s="689"/>
      <c r="Z47" s="689"/>
      <c r="AA47" s="689"/>
      <c r="AB47" s="689"/>
      <c r="AC47" s="689"/>
    </row>
    <row r="48" spans="1:29" ht="15.75" thickBot="1">
      <c r="A48" s="441" t="s">
        <v>1878</v>
      </c>
      <c r="B48" s="442"/>
      <c r="C48" s="443">
        <f>R48</f>
        <v>19890</v>
      </c>
      <c r="D48" s="443"/>
      <c r="E48" s="443"/>
      <c r="F48" s="443"/>
      <c r="G48" s="443"/>
      <c r="H48" s="443"/>
      <c r="I48" s="443"/>
      <c r="J48" s="443"/>
      <c r="K48" s="714"/>
      <c r="L48" s="2719"/>
      <c r="M48" s="2720"/>
      <c r="N48" s="2720"/>
      <c r="O48" s="2720"/>
      <c r="P48" s="3689" t="str">
        <f>A48</f>
        <v>估价对象XX用房的比较价值（楼面单价，元/平方米）</v>
      </c>
      <c r="Q48" s="3690"/>
      <c r="R48" s="3691">
        <f>ROUND(IF(D47="简单平均",AVERAGE(R47:W47),R47*F47+T47*H47+V47*J47),0)</f>
        <v>19890</v>
      </c>
      <c r="S48" s="3691"/>
      <c r="T48" s="3691"/>
      <c r="U48" s="3691"/>
      <c r="V48" s="3691"/>
      <c r="W48" s="3691"/>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78" t="s">
        <v>1881</v>
      </c>
      <c r="D55" s="1979" t="s">
        <v>1882</v>
      </c>
      <c r="E55" s="634" t="s">
        <v>1883</v>
      </c>
      <c r="F55" s="889" t="s">
        <v>1884</v>
      </c>
      <c r="G55" s="3692" t="s">
        <v>1885</v>
      </c>
      <c r="H55" s="3693"/>
      <c r="I55" s="135" t="s">
        <v>1886</v>
      </c>
      <c r="J55" s="1980">
        <f>项目基本情况!F35</f>
        <v>0</v>
      </c>
      <c r="K55" s="1981"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f>C48</f>
        <v>19890</v>
      </c>
      <c r="C56" s="638">
        <v>1</v>
      </c>
      <c r="D56" s="943">
        <v>1</v>
      </c>
      <c r="E56" s="638">
        <f>'数据-汇总表'!E8+'数据-汇总表'!E9</f>
        <v>34383.439999999995</v>
      </c>
      <c r="F56" s="885">
        <f t="shared" ref="F56:F64" si="15">ROUND(B56*E56/10000,0)</f>
        <v>68389</v>
      </c>
      <c r="G56" s="3694"/>
      <c r="H56" s="3695"/>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f>ROUND($C$48*C57*D57,0)</f>
        <v>0</v>
      </c>
      <c r="C57" s="171">
        <f t="shared" ref="C57:C64" si="16">IF($C$55="北京市系数",I57,J57)</f>
        <v>0</v>
      </c>
      <c r="D57" s="944">
        <v>0.25</v>
      </c>
      <c r="E57" s="642"/>
      <c r="F57" s="885">
        <f t="shared" si="15"/>
        <v>0</v>
      </c>
      <c r="G57" s="3001" t="s">
        <v>1890</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f t="shared" si="17"/>
        <v>0</v>
      </c>
      <c r="C60" s="171">
        <f t="shared" si="16"/>
        <v>0</v>
      </c>
      <c r="D60" s="944">
        <v>0.25</v>
      </c>
      <c r="E60" s="217">
        <f>'数据-汇总表'!E11</f>
        <v>0</v>
      </c>
      <c r="F60" s="885">
        <f t="shared" si="15"/>
        <v>0</v>
      </c>
      <c r="G60" s="1982" t="s">
        <v>1894</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f t="shared" si="17"/>
        <v>497</v>
      </c>
      <c r="C62" s="171">
        <f t="shared" si="16"/>
        <v>0.1</v>
      </c>
      <c r="D62" s="944">
        <v>0.25</v>
      </c>
      <c r="E62" s="217">
        <f>'数据-汇总表'!E13</f>
        <v>8677.7000000000007</v>
      </c>
      <c r="F62" s="885">
        <f t="shared" si="15"/>
        <v>431</v>
      </c>
      <c r="G62" s="891" t="s">
        <v>1898</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f t="shared" si="17"/>
        <v>0</v>
      </c>
      <c r="C63" s="171">
        <f t="shared" si="16"/>
        <v>0</v>
      </c>
      <c r="D63" s="944">
        <v>0.25</v>
      </c>
      <c r="E63" s="217">
        <f>'数据-汇总表'!E14</f>
        <v>0</v>
      </c>
      <c r="F63" s="885">
        <f t="shared" si="15"/>
        <v>0</v>
      </c>
      <c r="G63" s="1982" t="s">
        <v>1890</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f t="shared" si="17"/>
        <v>0</v>
      </c>
      <c r="C64" s="171">
        <f t="shared" si="16"/>
        <v>0</v>
      </c>
      <c r="D64" s="944">
        <v>0.25</v>
      </c>
      <c r="E64" s="217">
        <f>'数据-汇总表'!E15</f>
        <v>0</v>
      </c>
      <c r="F64" s="885">
        <f t="shared" si="15"/>
        <v>0</v>
      </c>
      <c r="G64" s="1983" t="s">
        <v>1894</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43061.14</v>
      </c>
      <c r="F65" s="645">
        <f>IF(B46="楼面地价",SUM(F56:F64),ROUND(C48*E65/10000,0))</f>
        <v>68820</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1796</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1902</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1903</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3468" t="s">
        <v>3583</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3470" t="s">
        <v>3592</v>
      </c>
      <c r="D107" s="3470" t="s">
        <v>3593</v>
      </c>
      <c r="E107" s="3470" t="s">
        <v>3594</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1692</v>
      </c>
      <c r="B115" s="477" t="s">
        <v>1911</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3470" t="s">
        <v>3595</v>
      </c>
      <c r="D118" s="3470" t="s">
        <v>3597</v>
      </c>
      <c r="E118" s="3470" t="s">
        <v>3598</v>
      </c>
      <c r="F118" s="3470" t="s">
        <v>3599</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3469" t="s">
        <v>3600</v>
      </c>
      <c r="D122" s="3469" t="s">
        <v>3602</v>
      </c>
      <c r="E122" s="3469" t="s">
        <v>3604</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3469" t="s">
        <v>3605</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7" priority="18" stopIfTrue="1" operator="containsText" text="超过">
      <formula>NOT(ISERROR(SEARCH("超过",F51)))</formula>
    </cfRule>
  </conditionalFormatting>
  <conditionalFormatting sqref="J53">
    <cfRule type="containsText" dxfId="176" priority="17" stopIfTrue="1" operator="containsText" text="超过">
      <formula>NOT(ISERROR(SEARCH("超过",J53)))</formula>
    </cfRule>
  </conditionalFormatting>
  <conditionalFormatting sqref="H53">
    <cfRule type="containsText" dxfId="175" priority="16" stopIfTrue="1" operator="containsText" text="超过">
      <formula>NOT(ISERROR(SEARCH("超过",H53)))</formula>
    </cfRule>
  </conditionalFormatting>
  <conditionalFormatting sqref="F53">
    <cfRule type="containsText" dxfId="174" priority="15" stopIfTrue="1" operator="containsText" text="超过">
      <formula>NOT(ISERROR(SEARCH("超过",F53)))</formula>
    </cfRule>
  </conditionalFormatting>
  <conditionalFormatting sqref="F52 H52 J52">
    <cfRule type="containsText" dxfId="173" priority="14" stopIfTrue="1" operator="containsText" text="超过">
      <formula>NOT(ISERROR(SEARCH("超过",F52)))</formula>
    </cfRule>
  </conditionalFormatting>
  <conditionalFormatting sqref="E51">
    <cfRule type="expression" dxfId="172" priority="13" stopIfTrue="1">
      <formula>$F$51="超过30%"</formula>
    </cfRule>
  </conditionalFormatting>
  <conditionalFormatting sqref="G53">
    <cfRule type="expression" dxfId="171" priority="12" stopIfTrue="1">
      <formula>$H$53="超过30%"</formula>
    </cfRule>
  </conditionalFormatting>
  <conditionalFormatting sqref="E52">
    <cfRule type="expression" dxfId="170" priority="11" stopIfTrue="1">
      <formula>$F$52="超过20%"</formula>
    </cfRule>
  </conditionalFormatting>
  <conditionalFormatting sqref="E53">
    <cfRule type="expression" dxfId="169" priority="10" stopIfTrue="1">
      <formula>$F$53="超过30%"</formula>
    </cfRule>
  </conditionalFormatting>
  <conditionalFormatting sqref="G51">
    <cfRule type="expression" dxfId="168" priority="9" stopIfTrue="1">
      <formula>$H$53+$H$51="超过30%"</formula>
    </cfRule>
  </conditionalFormatting>
  <conditionalFormatting sqref="G52">
    <cfRule type="expression" dxfId="167" priority="8" stopIfTrue="1">
      <formula>$H$52="超过20%"</formula>
    </cfRule>
  </conditionalFormatting>
  <conditionalFormatting sqref="I51">
    <cfRule type="expression" dxfId="166" priority="7" stopIfTrue="1">
      <formula>$J$51="超过30%"</formula>
    </cfRule>
  </conditionalFormatting>
  <conditionalFormatting sqref="I52">
    <cfRule type="expression" dxfId="165" priority="6" stopIfTrue="1">
      <formula>$J$52="超过20%"</formula>
    </cfRule>
  </conditionalFormatting>
  <conditionalFormatting sqref="I53">
    <cfRule type="expression" dxfId="164" priority="5" stopIfTrue="1">
      <formula>$J$53="超过30%"</formula>
    </cfRule>
  </conditionalFormatting>
  <conditionalFormatting sqref="F47">
    <cfRule type="expression" dxfId="163" priority="4">
      <formula>$D$47="简单平均"</formula>
    </cfRule>
  </conditionalFormatting>
  <conditionalFormatting sqref="H47">
    <cfRule type="expression" dxfId="162" priority="3">
      <formula>$D$47="简单平均"</formula>
    </cfRule>
  </conditionalFormatting>
  <conditionalFormatting sqref="J47">
    <cfRule type="expression" dxfId="161" priority="2">
      <formula>$D$47="简单平均"</formula>
    </cfRule>
  </conditionalFormatting>
  <conditionalFormatting sqref="F7:F45 H7:H45 J7:J45">
    <cfRule type="cellIs" dxfId="1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S27" sqref="S2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8"/>
      <c r="C1" s="1189"/>
      <c r="D1" s="1187"/>
      <c r="E1" s="2801"/>
      <c r="F1" s="2801"/>
      <c r="G1" s="2666"/>
      <c r="H1" s="2801"/>
      <c r="I1" s="2801"/>
      <c r="J1" s="2801"/>
      <c r="K1" s="2802">
        <f>MATCH(C1,'数据-取费表'!A6:A16,0)+5</f>
        <v>8</v>
      </c>
    </row>
    <row r="2" spans="1:33" ht="18" customHeight="1">
      <c r="A2" s="201" t="s">
        <v>1460</v>
      </c>
      <c r="B2" s="204">
        <f ca="1">C32</f>
        <v>92657</v>
      </c>
      <c r="C2" s="276" t="s">
        <v>1593</v>
      </c>
      <c r="D2" s="276"/>
      <c r="E2" s="2801"/>
      <c r="F2" s="2801"/>
      <c r="G2" s="2801"/>
      <c r="H2" s="2801"/>
      <c r="I2" s="2801"/>
      <c r="J2" s="2801"/>
      <c r="K2" s="2801"/>
    </row>
    <row r="3" spans="1:33" ht="18" customHeight="1" thickBot="1">
      <c r="A3" s="203" t="s">
        <v>1462</v>
      </c>
      <c r="B3" s="204">
        <f ca="1">ROUND(B2*10000/IF(C1="",'数据-汇总表'!E3,INDIRECT("'数据-取费表'!K"&amp;$K$1)),0)</f>
        <v>18234</v>
      </c>
      <c r="C3" s="276" t="s">
        <v>1594</v>
      </c>
      <c r="D3" s="276"/>
      <c r="E3" s="2801"/>
      <c r="F3" s="2801"/>
      <c r="G3" s="2801"/>
      <c r="H3" s="2801"/>
      <c r="I3" s="2801"/>
      <c r="J3" s="2801"/>
      <c r="K3" s="2801"/>
    </row>
    <row r="4" spans="1:33" s="784" customFormat="1" ht="16.5" customHeight="1">
      <c r="A4" s="781" t="s">
        <v>1595</v>
      </c>
      <c r="B4" s="782"/>
      <c r="C4" s="823">
        <f ca="1">SUM(C8:K8)</f>
        <v>124171</v>
      </c>
      <c r="D4" s="782"/>
      <c r="E4" s="782"/>
      <c r="F4" s="782"/>
      <c r="G4" s="782"/>
      <c r="H4" s="782"/>
      <c r="I4" s="782"/>
      <c r="J4" s="782"/>
      <c r="K4" s="783"/>
    </row>
    <row r="5" spans="1:33" s="788" customFormat="1" ht="15">
      <c r="A5" s="785" t="s">
        <v>1596</v>
      </c>
      <c r="B5" s="786" t="s">
        <v>1597</v>
      </c>
      <c r="C5" s="1857" t="s">
        <v>3392</v>
      </c>
      <c r="D5" s="1857" t="s">
        <v>3336</v>
      </c>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f>'比较法-住宅'!B3</f>
        <v>35321</v>
      </c>
      <c r="D6" s="790">
        <f ca="1">收益法!B2</f>
        <v>2725</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34383.439999999995</v>
      </c>
      <c r="D7" s="277">
        <f>SUMIF('数据-汇总表'!$C19:$C33,假设开发法!D5,'数据-汇总表'!$E19:$E33)</f>
        <v>8677.7000000000007</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1601</v>
      </c>
      <c r="B8" s="164" t="s">
        <v>1602</v>
      </c>
      <c r="C8" s="824">
        <f>'比较法-住宅'!B2</f>
        <v>121446</v>
      </c>
      <c r="D8" s="824">
        <f ca="1">收益法!B2</f>
        <v>2725</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8944</v>
      </c>
      <c r="D11" s="801"/>
      <c r="E11" s="329"/>
      <c r="F11" s="811">
        <f ca="1">1-IF('数据-取费表'!B24=0,1,IF(C1="",'数据-取费表'!N16,INDIRECT("'数据-取费表'!n"&amp;$K$1)))</f>
        <v>0.47</v>
      </c>
      <c r="G11" s="5"/>
      <c r="H11" s="796"/>
      <c r="I11" s="796"/>
      <c r="J11" s="796"/>
      <c r="K11" s="797"/>
    </row>
    <row r="12" spans="1:33" s="802" customFormat="1" ht="13.5" customHeight="1">
      <c r="A12" s="799" t="s">
        <v>636</v>
      </c>
      <c r="B12" s="800" t="s">
        <v>1611</v>
      </c>
      <c r="C12" s="21">
        <f ca="1">ROUND(C11*F12,0)</f>
        <v>447</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323</v>
      </c>
      <c r="D13" s="845"/>
      <c r="E13" s="329"/>
      <c r="F13" s="811">
        <f>'数据-取费表'!B34</f>
        <v>0.05</v>
      </c>
      <c r="G13" s="5" t="s">
        <v>1614</v>
      </c>
      <c r="H13" s="796"/>
      <c r="I13" s="796"/>
      <c r="J13" s="796"/>
      <c r="K13" s="797"/>
    </row>
    <row r="14" spans="1:33" s="804" customFormat="1" ht="13.5" customHeight="1">
      <c r="A14" s="799" t="s">
        <v>638</v>
      </c>
      <c r="B14" s="800" t="s">
        <v>1615</v>
      </c>
      <c r="C14" s="21">
        <f ca="1">ROUND(D14*E14*F11/10000,0)</f>
        <v>478</v>
      </c>
      <c r="D14" s="845">
        <f ca="1">IF(C1="",'数据-汇总表'!E3,INDIRECT("'数据-取费表'!K"&amp;$K$1)+INDIRECT("'数据-取费表'!S"&amp;$K$1))</f>
        <v>50816.34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134</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10326</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50816.34</v>
      </c>
      <c r="E17" s="21">
        <f>'数据-取费表'!B32</f>
        <v>0</v>
      </c>
      <c r="F17" s="805"/>
      <c r="G17" s="131" t="s">
        <v>1621</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59"/>
      <c r="H18" s="1184"/>
      <c r="I18" s="1860" t="s">
        <v>1623</v>
      </c>
      <c r="J18" s="806"/>
      <c r="K18" s="807"/>
    </row>
    <row r="19" spans="1:33" s="802" customFormat="1" ht="13.5" customHeight="1">
      <c r="A19" s="799" t="s">
        <v>360</v>
      </c>
      <c r="B19" s="800" t="s">
        <v>1624</v>
      </c>
      <c r="C19" s="21">
        <f ca="1">ROUND(D19*E19/10000,0)</f>
        <v>516</v>
      </c>
      <c r="D19" s="845">
        <f ca="1">IF(C1="",'数据-汇总表'!E5,IF(INDIRECT("'数据-取费表'!c"&amp;$K$1)="住宅",INDIRECT("'数据-取费表'!k"&amp;$K$1),0))</f>
        <v>34383.439999999995</v>
      </c>
      <c r="E19" s="21">
        <f>'数据-取费表'!B27</f>
        <v>150</v>
      </c>
      <c r="F19" s="803"/>
      <c r="G19" s="12"/>
      <c r="H19" s="1186"/>
      <c r="I19" s="808"/>
      <c r="J19" s="808"/>
      <c r="K19" s="809"/>
    </row>
    <row r="20" spans="1:33" s="802" customFormat="1" ht="13.5" customHeight="1">
      <c r="A20" s="799" t="s">
        <v>361</v>
      </c>
      <c r="B20" s="800" t="s">
        <v>1625</v>
      </c>
      <c r="C20" s="21">
        <f ca="1">ROUND(D20*E20/10000,0)</f>
        <v>312</v>
      </c>
      <c r="D20" s="845">
        <f ca="1">IF(C1="",'数据-汇总表'!E6,IF(INDIRECT("'数据-取费表'!c"&amp;$K$1)="住宅",INDIRECT("'数据-取费表'!s"&amp;$K$1),INDIRECT("'数据-取费表'!k"&amp;$K$1)+INDIRECT("'数据-取费表'!s"&amp;$K$1)))</f>
        <v>16432.900000000001</v>
      </c>
      <c r="E20" s="21">
        <f>'数据-取费表'!B28</f>
        <v>190</v>
      </c>
      <c r="F20" s="803"/>
      <c r="G20" s="12"/>
      <c r="H20" s="808"/>
      <c r="I20" s="808"/>
      <c r="J20" s="808"/>
      <c r="K20" s="809"/>
    </row>
    <row r="21" spans="1:33" s="802" customFormat="1" ht="13.5" customHeight="1">
      <c r="A21" s="789" t="s">
        <v>357</v>
      </c>
      <c r="B21" s="812" t="s">
        <v>1626</v>
      </c>
      <c r="C21" s="813">
        <f ca="1">C16+C17+C18</f>
        <v>10326</v>
      </c>
      <c r="D21" s="814"/>
      <c r="E21" s="281"/>
      <c r="F21" s="281"/>
      <c r="G21" s="131" t="s">
        <v>1627</v>
      </c>
      <c r="H21" s="806"/>
      <c r="I21" s="806"/>
      <c r="J21" s="806"/>
      <c r="K21" s="807"/>
    </row>
    <row r="22" spans="1:33" s="802" customFormat="1" ht="13.5" customHeight="1">
      <c r="A22" s="789" t="s">
        <v>1599</v>
      </c>
      <c r="B22" s="812" t="s">
        <v>1628</v>
      </c>
      <c r="C22" s="813">
        <f ca="1">ROUND(C21*F22,0)</f>
        <v>207</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1167</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188</v>
      </c>
      <c r="D25" s="280">
        <f ca="1">C26</f>
        <v>3.3300000000000003E-2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 ca="1">ROUND(IF('数据-取费表'!B22&lt;=1,(1+C24)*F25*'数据-取费表'!B24,(1+C24)*(POWER((1+F25),'数据-取费表'!B24)-1)),4)</f>
        <v>3.3300000000000003E-2</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188</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1639</v>
      </c>
      <c r="B28" s="1862" t="s">
        <v>1640</v>
      </c>
      <c r="C28" s="287">
        <f ca="1">C30</f>
        <v>1521</v>
      </c>
      <c r="D28" s="280">
        <f ca="1">C29</f>
        <v>6.2899999999999998E-2</v>
      </c>
      <c r="E28" s="282" t="s">
        <v>12</v>
      </c>
      <c r="F28" s="288">
        <f ca="1">IF(C1="",'数据-取费表'!Q16,INDIRECT("'数据-取费表'!q"&amp;$K$1))</f>
        <v>0.13</v>
      </c>
      <c r="G28" s="816"/>
      <c r="H28" s="817"/>
      <c r="I28" s="817"/>
      <c r="J28" s="817"/>
      <c r="K28" s="818"/>
    </row>
    <row r="29" spans="1:33" s="291" customFormat="1" ht="13.5" customHeight="1">
      <c r="A29" s="799" t="s">
        <v>358</v>
      </c>
      <c r="B29" s="821" t="s">
        <v>1641</v>
      </c>
      <c r="C29" s="284">
        <f ca="1">ROUND((1+C24)*F28*'数据-取费表'!B24/'数据-取费表'!B20,4)</f>
        <v>6.2899999999999998E-2</v>
      </c>
      <c r="D29" s="284"/>
      <c r="E29" s="285"/>
      <c r="F29" s="290"/>
      <c r="G29" s="131" t="s">
        <v>1642</v>
      </c>
      <c r="H29" s="806"/>
      <c r="I29" s="806"/>
      <c r="J29" s="806"/>
      <c r="K29" s="807"/>
    </row>
    <row r="30" spans="1:33" s="291" customFormat="1" ht="13.5" customHeight="1">
      <c r="A30" s="799" t="s">
        <v>359</v>
      </c>
      <c r="B30" s="821" t="s">
        <v>1643</v>
      </c>
      <c r="C30" s="292">
        <f ca="1">ROUND((C21+C22+C23)*F28,0)</f>
        <v>1521</v>
      </c>
      <c r="D30" s="284"/>
      <c r="E30" s="285"/>
      <c r="F30" s="290"/>
      <c r="G30" s="131"/>
      <c r="H30" s="806"/>
      <c r="I30" s="806"/>
      <c r="J30" s="806"/>
      <c r="K30" s="807"/>
    </row>
    <row r="31" spans="1:33" s="802" customFormat="1" ht="13.5" customHeight="1" thickBot="1">
      <c r="A31" s="1863" t="s">
        <v>1644</v>
      </c>
      <c r="B31" s="832" t="s">
        <v>1645</v>
      </c>
      <c r="C31" s="833">
        <f ca="1">ROUND(C4*F31/(1+'数据-取费表'!C42),0)</f>
        <v>6504</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92657</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t="s">
        <v>3392</v>
      </c>
      <c r="E1" s="3421" t="s">
        <v>4087</v>
      </c>
      <c r="F1" s="1876" t="s">
        <v>3404</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683</v>
      </c>
      <c r="B2" s="3422">
        <f>IF(E1="项目模式",IF(C2="——",ROUND(C49*D3/10000,0),ROUND(C49*D3/10000,0)-D2),IF(E1="单套模式",IF(C2="——",ROUND(C49*D3/10000,4),ROUND(C49*D3/10000,4)-D2)))</f>
        <v>121446</v>
      </c>
      <c r="C2" s="1878" t="s">
        <v>43</v>
      </c>
      <c r="D2" s="1113" t="e">
        <f ca="1">IF(E1="项目模式",SUMIF(INDIRECT("'"&amp;F2&amp;"'"&amp;"!A:A"),"承租人权益价值",INDIRECT("'"&amp;F2&amp;"'"&amp;"!c:c")),SUMIF(INDIRECT("'"&amp;F2&amp;"'"&amp;"!A:A"),"承租人权益价值（单套）",INDIRECT("'"&amp;F2&amp;"'"&amp;"!c:c")))</f>
        <v>#REF!</v>
      </c>
      <c r="E2" s="1879" t="s">
        <v>1662</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684</v>
      </c>
      <c r="B3" s="353">
        <f>IF(C2="——",C49,ROUND(B2*10000/D3,0))</f>
        <v>35321</v>
      </c>
      <c r="C3" s="354" t="s">
        <v>1663</v>
      </c>
      <c r="D3" s="353">
        <f>IF(D1="",'数据-汇总表'!E3,SUMIF('数据-汇总表'!$C19:$C33,D1,'数据-汇总表'!$E19:$E33))</f>
        <v>34383.439999999995</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1664</v>
      </c>
      <c r="B4" s="356"/>
      <c r="C4" s="3692" t="s">
        <v>1665</v>
      </c>
      <c r="D4" s="3704"/>
      <c r="E4" s="3705" t="s">
        <v>1666</v>
      </c>
      <c r="F4" s="3706"/>
      <c r="G4" s="3692" t="s">
        <v>1667</v>
      </c>
      <c r="H4" s="3704"/>
      <c r="I4" s="3692" t="s">
        <v>1668</v>
      </c>
      <c r="J4" s="3704"/>
      <c r="K4" s="1886" t="s">
        <v>1669</v>
      </c>
      <c r="L4" s="2710"/>
      <c r="M4" s="2711"/>
      <c r="N4" s="2711"/>
      <c r="O4" s="2711"/>
      <c r="P4" s="3707" t="s">
        <v>1670</v>
      </c>
      <c r="Q4" s="3708"/>
      <c r="R4" s="3713" t="s">
        <v>1666</v>
      </c>
      <c r="S4" s="3714"/>
      <c r="T4" s="3713" t="s">
        <v>1667</v>
      </c>
      <c r="U4" s="3714"/>
      <c r="V4" s="3700" t="s">
        <v>1668</v>
      </c>
      <c r="W4" s="3700"/>
      <c r="X4" s="1352"/>
      <c r="Y4" s="3713" t="s">
        <v>1670</v>
      </c>
      <c r="Z4" s="3714"/>
      <c r="AA4" s="3701" t="s">
        <v>1666</v>
      </c>
      <c r="AB4" s="3701" t="s">
        <v>1667</v>
      </c>
      <c r="AC4" s="3701" t="s">
        <v>1668</v>
      </c>
    </row>
    <row r="5" spans="1:29" ht="15">
      <c r="A5" s="358"/>
      <c r="B5" s="359"/>
      <c r="C5" s="3721" t="s">
        <v>1671</v>
      </c>
      <c r="D5" s="3722"/>
      <c r="E5" s="3739" t="s">
        <v>3409</v>
      </c>
      <c r="F5" s="3729"/>
      <c r="G5" s="3738" t="s">
        <v>3432</v>
      </c>
      <c r="H5" s="3722"/>
      <c r="I5" s="3738" t="s">
        <v>3433</v>
      </c>
      <c r="J5" s="3722"/>
      <c r="K5" s="1887"/>
      <c r="L5" s="2710"/>
      <c r="M5" s="2711"/>
      <c r="N5" s="2711"/>
      <c r="O5" s="2711"/>
      <c r="P5" s="3709"/>
      <c r="Q5" s="3710"/>
      <c r="R5" s="3715"/>
      <c r="S5" s="3716"/>
      <c r="T5" s="3715"/>
      <c r="U5" s="3716"/>
      <c r="V5" s="3700"/>
      <c r="W5" s="3700"/>
      <c r="X5" s="1352"/>
      <c r="Y5" s="3715"/>
      <c r="Z5" s="3716"/>
      <c r="AA5" s="3702"/>
      <c r="AB5" s="3702"/>
      <c r="AC5" s="3702"/>
    </row>
    <row r="6" spans="1:29" ht="15.75" thickBot="1">
      <c r="A6" s="360"/>
      <c r="B6" s="361"/>
      <c r="C6" s="3719" t="s">
        <v>1675</v>
      </c>
      <c r="D6" s="3720"/>
      <c r="E6" s="3726" t="s">
        <v>1675</v>
      </c>
      <c r="F6" s="3727"/>
      <c r="G6" s="3719" t="s">
        <v>1675</v>
      </c>
      <c r="H6" s="3720"/>
      <c r="I6" s="3719" t="s">
        <v>1675</v>
      </c>
      <c r="J6" s="3720"/>
      <c r="K6" s="1887" t="s">
        <v>1676</v>
      </c>
      <c r="L6" s="2710"/>
      <c r="M6" s="2711"/>
      <c r="N6" s="2711"/>
      <c r="O6" s="2711"/>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23" t="s">
        <v>1678</v>
      </c>
      <c r="Q7" s="3725"/>
      <c r="R7" s="700" t="s">
        <v>20</v>
      </c>
      <c r="S7" s="701">
        <f t="shared" ref="S7:S15" si="0">F7</f>
        <v>100</v>
      </c>
      <c r="T7" s="700" t="s">
        <v>20</v>
      </c>
      <c r="U7" s="701">
        <f t="shared" ref="U7:U15" si="1">H7</f>
        <v>100</v>
      </c>
      <c r="V7" s="700" t="s">
        <v>20</v>
      </c>
      <c r="W7" s="701">
        <f t="shared" ref="W7:W15" si="2">J7</f>
        <v>100</v>
      </c>
      <c r="X7" s="702"/>
      <c r="Y7" s="3723" t="s">
        <v>1678</v>
      </c>
      <c r="Z7" s="3724"/>
      <c r="AA7" s="703">
        <f>D7/F7</f>
        <v>1</v>
      </c>
      <c r="AB7" s="703">
        <f>D7/H7</f>
        <v>1</v>
      </c>
      <c r="AC7" s="703">
        <f>D7/J7</f>
        <v>1</v>
      </c>
    </row>
    <row r="8" spans="1:29" s="108" customFormat="1" ht="15.75" thickBot="1">
      <c r="A8" s="362" t="s">
        <v>1679</v>
      </c>
      <c r="B8" s="363"/>
      <c r="C8" s="368" t="s">
        <v>3405</v>
      </c>
      <c r="D8" s="365">
        <v>100</v>
      </c>
      <c r="E8" s="368" t="s">
        <v>3405</v>
      </c>
      <c r="F8" s="367">
        <f>SUMIF(61:61,E8,62:62)-SUMIF(61:61,C8,62:62)+100</f>
        <v>100</v>
      </c>
      <c r="G8" s="368" t="s">
        <v>3405</v>
      </c>
      <c r="H8" s="365">
        <f>SUMIF(61:61,G8,62:62)-SUMIF(61:61,C8,62:62)+100</f>
        <v>100</v>
      </c>
      <c r="I8" s="368" t="s">
        <v>3405</v>
      </c>
      <c r="J8" s="365">
        <f>SUMIF(61:61,I8,62:62)-SUMIF(61:61,C8,62:62)+100</f>
        <v>100</v>
      </c>
      <c r="K8" s="1888"/>
      <c r="L8" s="2712"/>
      <c r="M8" s="2713"/>
      <c r="N8" s="2713"/>
      <c r="O8" s="2713"/>
      <c r="P8" s="3723" t="s">
        <v>1681</v>
      </c>
      <c r="Q8" s="3724"/>
      <c r="R8" s="700" t="s">
        <v>20</v>
      </c>
      <c r="S8" s="701">
        <f t="shared" si="0"/>
        <v>100</v>
      </c>
      <c r="T8" s="700" t="s">
        <v>20</v>
      </c>
      <c r="U8" s="701">
        <f t="shared" si="1"/>
        <v>100</v>
      </c>
      <c r="V8" s="700" t="s">
        <v>20</v>
      </c>
      <c r="W8" s="701">
        <f t="shared" si="2"/>
        <v>100</v>
      </c>
      <c r="X8" s="702"/>
      <c r="Y8" s="3723" t="s">
        <v>1681</v>
      </c>
      <c r="Z8" s="3724"/>
      <c r="AA8" s="703">
        <f t="shared" ref="AA8:AA19" si="3">D8/F8</f>
        <v>1</v>
      </c>
      <c r="AB8" s="703">
        <f t="shared" ref="AB8:AB19" si="4">D8/H8</f>
        <v>1</v>
      </c>
      <c r="AC8" s="703">
        <f t="shared" ref="AC8:AC19" si="5">D8/J8</f>
        <v>1</v>
      </c>
    </row>
    <row r="9" spans="1:29" s="108" customFormat="1">
      <c r="A9" s="369" t="s">
        <v>1682</v>
      </c>
      <c r="B9" s="63" t="s">
        <v>1683</v>
      </c>
      <c r="C9" s="3467" t="s">
        <v>3406</v>
      </c>
      <c r="D9" s="126">
        <v>100</v>
      </c>
      <c r="E9" s="371" t="s">
        <v>3392</v>
      </c>
      <c r="F9" s="372">
        <f>SUMIF(63:63,E9,64:64)-SUMIF(63:63,C9,64:64)+100</f>
        <v>100</v>
      </c>
      <c r="G9" s="371" t="s">
        <v>3392</v>
      </c>
      <c r="H9" s="126">
        <f>SUMIF(63:63,G9,64:64)-SUMIF(63:63,C9,64:64)+100</f>
        <v>100</v>
      </c>
      <c r="I9" s="371" t="s">
        <v>3392</v>
      </c>
      <c r="J9" s="126">
        <f>SUMIF(63:63,I9,64:64)-SUMIF(63:63,C9,64:64)+100</f>
        <v>100</v>
      </c>
      <c r="K9" s="1888"/>
      <c r="L9" s="2712"/>
      <c r="M9" s="2713"/>
      <c r="N9" s="2713"/>
      <c r="O9" s="2713"/>
      <c r="P9" s="3694"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29" s="378" customFormat="1" ht="27">
      <c r="A10" s="374"/>
      <c r="B10" s="375" t="s">
        <v>1686</v>
      </c>
      <c r="C10" s="3429" t="s">
        <v>3408</v>
      </c>
      <c r="D10" s="127">
        <v>100</v>
      </c>
      <c r="E10" s="3429" t="s">
        <v>3408</v>
      </c>
      <c r="F10" s="376">
        <f>SUMIF(65:65,E10,66:66)-SUMIF(65:65,C10,66:66)+100</f>
        <v>100</v>
      </c>
      <c r="G10" s="3429" t="s">
        <v>3408</v>
      </c>
      <c r="H10" s="127">
        <f>SUMIF(65:65,G10,66:66)-SUMIF(65:65,C10,66:66)+100</f>
        <v>100</v>
      </c>
      <c r="I10" s="3429" t="s">
        <v>3434</v>
      </c>
      <c r="J10" s="127">
        <f>SUMIF(65:65,I10,66:66)-SUMIF(65:65,C10,66:66)+100</f>
        <v>95</v>
      </c>
      <c r="K10" s="1888"/>
      <c r="L10" s="2714"/>
      <c r="M10" s="2715"/>
      <c r="N10" s="2715"/>
      <c r="O10" s="2715"/>
      <c r="P10" s="3694"/>
      <c r="Q10" s="1340" t="str">
        <f t="shared" si="6"/>
        <v>土地使用年限（年）</v>
      </c>
      <c r="R10" s="700" t="s">
        <v>14</v>
      </c>
      <c r="S10" s="701">
        <f t="shared" si="0"/>
        <v>100</v>
      </c>
      <c r="T10" s="700" t="s">
        <v>14</v>
      </c>
      <c r="U10" s="701">
        <f t="shared" si="1"/>
        <v>100</v>
      </c>
      <c r="V10" s="700" t="s">
        <v>14</v>
      </c>
      <c r="W10" s="701">
        <f t="shared" si="2"/>
        <v>95</v>
      </c>
      <c r="X10" s="702"/>
      <c r="Y10" s="3592"/>
      <c r="Z10" s="52" t="str">
        <f t="shared" si="7"/>
        <v>土地使用年限（年）</v>
      </c>
      <c r="AA10" s="703">
        <f t="shared" si="3"/>
        <v>1</v>
      </c>
      <c r="AB10" s="703">
        <f t="shared" si="4"/>
        <v>1</v>
      </c>
      <c r="AC10" s="703">
        <f t="shared" si="5"/>
        <v>1.0526315789473684</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94"/>
      <c r="Q11" s="1340" t="str">
        <f t="shared" si="6"/>
        <v>容积率</v>
      </c>
      <c r="R11" s="700" t="s">
        <v>18</v>
      </c>
      <c r="S11" s="701">
        <f t="shared" si="0"/>
        <v>100</v>
      </c>
      <c r="T11" s="700" t="s">
        <v>18</v>
      </c>
      <c r="U11" s="701">
        <f t="shared" si="1"/>
        <v>100</v>
      </c>
      <c r="V11" s="700" t="s">
        <v>18</v>
      </c>
      <c r="W11" s="701">
        <f t="shared" si="2"/>
        <v>100</v>
      </c>
      <c r="X11" s="702"/>
      <c r="Y11" s="3592"/>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694"/>
      <c r="Q12" s="1340">
        <f t="shared" si="6"/>
        <v>111</v>
      </c>
      <c r="R12" s="700" t="s">
        <v>18</v>
      </c>
      <c r="S12" s="701">
        <f t="shared" si="0"/>
        <v>100</v>
      </c>
      <c r="T12" s="700" t="s">
        <v>18</v>
      </c>
      <c r="U12" s="701">
        <f t="shared" si="1"/>
        <v>100</v>
      </c>
      <c r="V12" s="700" t="s">
        <v>18</v>
      </c>
      <c r="W12" s="701">
        <f t="shared" si="2"/>
        <v>100</v>
      </c>
      <c r="X12" s="702"/>
      <c r="Y12" s="359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694"/>
      <c r="Q13" s="1340">
        <f t="shared" si="6"/>
        <v>111</v>
      </c>
      <c r="R13" s="700" t="s">
        <v>18</v>
      </c>
      <c r="S13" s="701">
        <f t="shared" si="0"/>
        <v>100</v>
      </c>
      <c r="T13" s="700" t="s">
        <v>18</v>
      </c>
      <c r="U13" s="701">
        <f t="shared" si="1"/>
        <v>100</v>
      </c>
      <c r="V13" s="700" t="s">
        <v>18</v>
      </c>
      <c r="W13" s="701">
        <f t="shared" si="2"/>
        <v>100</v>
      </c>
      <c r="X13" s="702"/>
      <c r="Y13" s="3592"/>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694"/>
      <c r="Q14" s="1340">
        <f t="shared" si="6"/>
        <v>111</v>
      </c>
      <c r="R14" s="700" t="s">
        <v>18</v>
      </c>
      <c r="S14" s="701">
        <f t="shared" si="0"/>
        <v>100</v>
      </c>
      <c r="T14" s="700" t="s">
        <v>18</v>
      </c>
      <c r="U14" s="701">
        <f t="shared" si="1"/>
        <v>100</v>
      </c>
      <c r="V14" s="700" t="s">
        <v>18</v>
      </c>
      <c r="W14" s="701">
        <f t="shared" si="2"/>
        <v>100</v>
      </c>
      <c r="X14" s="702"/>
      <c r="Y14" s="3592"/>
      <c r="Z14" s="52">
        <f t="shared" si="7"/>
        <v>111</v>
      </c>
      <c r="AA14" s="703">
        <f t="shared" si="3"/>
        <v>1</v>
      </c>
      <c r="AB14" s="703">
        <f t="shared" si="4"/>
        <v>1</v>
      </c>
      <c r="AC14" s="703">
        <f t="shared" si="5"/>
        <v>1</v>
      </c>
    </row>
    <row r="15" spans="1:29" ht="85.5">
      <c r="A15" s="391" t="s">
        <v>1688</v>
      </c>
      <c r="B15" s="61" t="s">
        <v>1255</v>
      </c>
      <c r="C15" s="1892" t="str">
        <f>估价对象房地状况!C3</f>
        <v>估价对象周边居住用地比例、居住小区规模和社区发展完善程度，综合评价居住社区成熟度一般</v>
      </c>
      <c r="D15" s="392">
        <v>100</v>
      </c>
      <c r="E15" s="395"/>
      <c r="F15" s="392">
        <f>SUMIF(76:76,E16,77:77)-SUMIF(76:76,C16,77:77)+100</f>
        <v>102</v>
      </c>
      <c r="G15" s="393"/>
      <c r="H15" s="392">
        <f>SUMIF(76:76,G16,77:77)-SUMIF(76:76,C16,77:77)+100</f>
        <v>100</v>
      </c>
      <c r="I15" s="393"/>
      <c r="J15" s="392">
        <f>SUMIF(76:76,I16,77:77)-SUMIF(76:76,C16,77:77)+100</f>
        <v>100</v>
      </c>
      <c r="K15" s="396">
        <v>2</v>
      </c>
      <c r="L15" s="2717"/>
      <c r="M15" s="2711"/>
      <c r="N15" s="2711"/>
      <c r="O15" s="2711"/>
      <c r="P15" s="3736" t="s">
        <v>1689</v>
      </c>
      <c r="Q15" s="1349" t="str">
        <f t="shared" si="6"/>
        <v>居住社区成熟度</v>
      </c>
      <c r="R15" s="704" t="s">
        <v>18</v>
      </c>
      <c r="S15" s="705">
        <f t="shared" si="0"/>
        <v>102</v>
      </c>
      <c r="T15" s="704" t="s">
        <v>18</v>
      </c>
      <c r="U15" s="705">
        <f t="shared" si="1"/>
        <v>100</v>
      </c>
      <c r="V15" s="704" t="s">
        <v>18</v>
      </c>
      <c r="W15" s="705">
        <f t="shared" si="2"/>
        <v>100</v>
      </c>
      <c r="X15" s="1352"/>
      <c r="Y15" s="3696" t="s">
        <v>1689</v>
      </c>
      <c r="Z15" s="1353" t="str">
        <f t="shared" si="7"/>
        <v>居住社区成熟度</v>
      </c>
      <c r="AA15" s="1350">
        <f t="shared" si="3"/>
        <v>0.98039215686274506</v>
      </c>
      <c r="AB15" s="1350">
        <f t="shared" si="4"/>
        <v>1</v>
      </c>
      <c r="AC15" s="1350">
        <f t="shared" si="5"/>
        <v>1</v>
      </c>
    </row>
    <row r="16" spans="1:29" ht="15">
      <c r="A16" s="379"/>
      <c r="B16" s="397"/>
      <c r="C16" s="398" t="s">
        <v>3411</v>
      </c>
      <c r="D16" s="399"/>
      <c r="E16" s="398" t="s">
        <v>3410</v>
      </c>
      <c r="F16" s="399"/>
      <c r="G16" s="1894" t="s">
        <v>3411</v>
      </c>
      <c r="H16" s="401"/>
      <c r="I16" s="1894" t="s">
        <v>3411</v>
      </c>
      <c r="J16" s="399"/>
      <c r="K16" s="1895"/>
      <c r="L16" s="2717"/>
      <c r="M16" s="2711"/>
      <c r="N16" s="2711"/>
      <c r="O16" s="2711"/>
      <c r="P16" s="3737"/>
      <c r="Q16" s="1349"/>
      <c r="R16" s="704"/>
      <c r="S16" s="705"/>
      <c r="T16" s="704"/>
      <c r="U16" s="705"/>
      <c r="V16" s="704"/>
      <c r="W16" s="705"/>
      <c r="X16" s="1352"/>
      <c r="Y16" s="3697"/>
      <c r="Z16" s="1353"/>
      <c r="AA16" s="1350">
        <v>1</v>
      </c>
      <c r="AB16" s="1350">
        <v>1</v>
      </c>
      <c r="AC16" s="1350">
        <v>1</v>
      </c>
    </row>
    <row r="17" spans="1:29" ht="71.25">
      <c r="A17" s="379"/>
      <c r="B17" s="402" t="s">
        <v>1257</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37"/>
      <c r="Q17" s="1349" t="str">
        <f>B17</f>
        <v>交通便捷度</v>
      </c>
      <c r="R17" s="704" t="s">
        <v>18</v>
      </c>
      <c r="S17" s="705">
        <f>F17</f>
        <v>100</v>
      </c>
      <c r="T17" s="704" t="s">
        <v>18</v>
      </c>
      <c r="U17" s="705">
        <f>H17</f>
        <v>100</v>
      </c>
      <c r="V17" s="704" t="s">
        <v>18</v>
      </c>
      <c r="W17" s="705">
        <f>J17</f>
        <v>100</v>
      </c>
      <c r="X17" s="1352"/>
      <c r="Y17" s="3697"/>
      <c r="Z17" s="1353" t="str">
        <f>Q17</f>
        <v>交通便捷度</v>
      </c>
      <c r="AA17" s="1350">
        <f t="shared" si="3"/>
        <v>1</v>
      </c>
      <c r="AB17" s="1350">
        <f t="shared" si="4"/>
        <v>1</v>
      </c>
      <c r="AC17" s="1350">
        <f t="shared" si="5"/>
        <v>1</v>
      </c>
    </row>
    <row r="18" spans="1:29" ht="15">
      <c r="A18" s="379"/>
      <c r="B18" s="407"/>
      <c r="C18" s="1897" t="s">
        <v>3410</v>
      </c>
      <c r="D18" s="401"/>
      <c r="E18" s="1897" t="s">
        <v>3410</v>
      </c>
      <c r="F18" s="401"/>
      <c r="G18" s="1899" t="s">
        <v>3410</v>
      </c>
      <c r="H18" s="399"/>
      <c r="I18" s="1899" t="s">
        <v>3410</v>
      </c>
      <c r="J18" s="399"/>
      <c r="K18" s="1895"/>
      <c r="L18" s="2717"/>
      <c r="M18" s="2711"/>
      <c r="N18" s="2711"/>
      <c r="O18" s="2711"/>
      <c r="P18" s="3737"/>
      <c r="Q18" s="1349"/>
      <c r="R18" s="704"/>
      <c r="S18" s="705"/>
      <c r="T18" s="704"/>
      <c r="U18" s="705"/>
      <c r="V18" s="704"/>
      <c r="W18" s="705"/>
      <c r="X18" s="1352"/>
      <c r="Y18" s="3697"/>
      <c r="Z18" s="1353"/>
      <c r="AA18" s="1350">
        <v>1</v>
      </c>
      <c r="AB18" s="1350">
        <v>1</v>
      </c>
      <c r="AC18" s="1350">
        <v>1</v>
      </c>
    </row>
    <row r="19" spans="1:29" ht="42.75">
      <c r="A19" s="379"/>
      <c r="B19" s="402" t="s">
        <v>1256</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37"/>
      <c r="Q19" s="1349" t="str">
        <f>B19</f>
        <v>公共配套设施</v>
      </c>
      <c r="R19" s="704" t="s">
        <v>18</v>
      </c>
      <c r="S19" s="705">
        <f>F19</f>
        <v>100</v>
      </c>
      <c r="T19" s="704" t="s">
        <v>18</v>
      </c>
      <c r="U19" s="705">
        <f>H19</f>
        <v>100</v>
      </c>
      <c r="V19" s="704" t="s">
        <v>18</v>
      </c>
      <c r="W19" s="705">
        <f>J19</f>
        <v>100</v>
      </c>
      <c r="X19" s="1352"/>
      <c r="Y19" s="3697"/>
      <c r="Z19" s="1353" t="str">
        <f>Q19</f>
        <v>公共配套设施</v>
      </c>
      <c r="AA19" s="1350">
        <f t="shared" si="3"/>
        <v>1</v>
      </c>
      <c r="AB19" s="1350">
        <f t="shared" si="4"/>
        <v>1</v>
      </c>
      <c r="AC19" s="1350">
        <f t="shared" si="5"/>
        <v>1</v>
      </c>
    </row>
    <row r="20" spans="1:29" ht="15">
      <c r="A20" s="379"/>
      <c r="B20" s="407"/>
      <c r="C20" s="398" t="s">
        <v>3410</v>
      </c>
      <c r="D20" s="399"/>
      <c r="E20" s="398" t="s">
        <v>3410</v>
      </c>
      <c r="F20" s="399"/>
      <c r="G20" s="1894" t="s">
        <v>3410</v>
      </c>
      <c r="H20" s="399"/>
      <c r="I20" s="1894" t="s">
        <v>3410</v>
      </c>
      <c r="J20" s="399"/>
      <c r="K20" s="1895"/>
      <c r="L20" s="2717"/>
      <c r="M20" s="2711"/>
      <c r="N20" s="2711"/>
      <c r="O20" s="2711"/>
      <c r="P20" s="3737"/>
      <c r="Q20" s="1349"/>
      <c r="R20" s="704"/>
      <c r="S20" s="705"/>
      <c r="T20" s="704"/>
      <c r="U20" s="705"/>
      <c r="V20" s="704"/>
      <c r="W20" s="705"/>
      <c r="X20" s="1352"/>
      <c r="Y20" s="3697"/>
      <c r="Z20" s="1353"/>
      <c r="AA20" s="1350">
        <v>1</v>
      </c>
      <c r="AB20" s="1350">
        <v>1</v>
      </c>
      <c r="AC20" s="1350">
        <v>1</v>
      </c>
    </row>
    <row r="21" spans="1:29" ht="28.5">
      <c r="A21" s="379"/>
      <c r="B21" s="1129" t="s">
        <v>1258</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37"/>
      <c r="Q21" s="1349" t="str">
        <f>B21</f>
        <v>基础设施水平</v>
      </c>
      <c r="R21" s="704" t="s">
        <v>14</v>
      </c>
      <c r="S21" s="705">
        <f>F21</f>
        <v>100</v>
      </c>
      <c r="T21" s="704" t="s">
        <v>14</v>
      </c>
      <c r="U21" s="705">
        <f>H21</f>
        <v>100</v>
      </c>
      <c r="V21" s="704" t="s">
        <v>14</v>
      </c>
      <c r="W21" s="705">
        <f>J21</f>
        <v>100</v>
      </c>
      <c r="X21" s="1352"/>
      <c r="Y21" s="3697"/>
      <c r="Z21" s="1353" t="str">
        <f>Q21</f>
        <v>基础设施水平</v>
      </c>
      <c r="AA21" s="1350">
        <f t="shared" ref="AA21" si="8">D21/F21</f>
        <v>1</v>
      </c>
      <c r="AB21" s="1350">
        <f t="shared" ref="AB21" si="9">D21/H21</f>
        <v>1</v>
      </c>
      <c r="AC21" s="1350">
        <f t="shared" ref="AC21" si="10">D21/J21</f>
        <v>1</v>
      </c>
    </row>
    <row r="22" spans="1:29" ht="15">
      <c r="A22" s="379"/>
      <c r="B22" s="1129"/>
      <c r="C22" s="1897" t="s">
        <v>3412</v>
      </c>
      <c r="D22" s="399"/>
      <c r="E22" s="1897" t="s">
        <v>3412</v>
      </c>
      <c r="F22" s="399"/>
      <c r="G22" s="1897" t="s">
        <v>3412</v>
      </c>
      <c r="H22" s="399"/>
      <c r="I22" s="1897" t="s">
        <v>3412</v>
      </c>
      <c r="J22" s="399"/>
      <c r="K22" s="1901"/>
      <c r="L22" s="2717"/>
      <c r="M22" s="2711"/>
      <c r="N22" s="2711"/>
      <c r="O22" s="2711"/>
      <c r="P22" s="3737"/>
      <c r="Q22" s="1349"/>
      <c r="R22" s="704"/>
      <c r="S22" s="705"/>
      <c r="T22" s="704"/>
      <c r="U22" s="705"/>
      <c r="V22" s="704"/>
      <c r="W22" s="705"/>
      <c r="X22" s="1352"/>
      <c r="Y22" s="3697"/>
      <c r="Z22" s="1353"/>
      <c r="AA22" s="1350">
        <v>1</v>
      </c>
      <c r="AB22" s="1350">
        <v>1</v>
      </c>
      <c r="AC22" s="1350">
        <v>1</v>
      </c>
    </row>
    <row r="23" spans="1:29" ht="42.75">
      <c r="A23" s="379"/>
      <c r="B23" s="402" t="s">
        <v>1259</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37"/>
      <c r="Q23" s="1349" t="str">
        <f>B23</f>
        <v>自然及人文环境</v>
      </c>
      <c r="R23" s="704" t="s">
        <v>18</v>
      </c>
      <c r="S23" s="705">
        <f>F23</f>
        <v>100</v>
      </c>
      <c r="T23" s="704" t="s">
        <v>18</v>
      </c>
      <c r="U23" s="705">
        <f>H23</f>
        <v>100</v>
      </c>
      <c r="V23" s="704" t="s">
        <v>18</v>
      </c>
      <c r="W23" s="705">
        <f>J23</f>
        <v>100</v>
      </c>
      <c r="X23" s="1352"/>
      <c r="Y23" s="3697"/>
      <c r="Z23" s="1353" t="str">
        <f>Q23</f>
        <v>自然及人文环境</v>
      </c>
      <c r="AA23" s="1350">
        <f>D23/F23</f>
        <v>1</v>
      </c>
      <c r="AB23" s="1350">
        <f>D23/H23</f>
        <v>1</v>
      </c>
      <c r="AC23" s="1350">
        <f>D23/J23</f>
        <v>1</v>
      </c>
    </row>
    <row r="24" spans="1:29" ht="15">
      <c r="A24" s="379"/>
      <c r="B24" s="407"/>
      <c r="C24" s="398" t="s">
        <v>3410</v>
      </c>
      <c r="D24" s="399"/>
      <c r="E24" s="398" t="s">
        <v>3410</v>
      </c>
      <c r="F24" s="399"/>
      <c r="G24" s="1894" t="s">
        <v>3410</v>
      </c>
      <c r="H24" s="399"/>
      <c r="I24" s="1894" t="s">
        <v>3410</v>
      </c>
      <c r="J24" s="399"/>
      <c r="K24" s="1895"/>
      <c r="L24" s="2717"/>
      <c r="M24" s="2711"/>
      <c r="N24" s="2711"/>
      <c r="O24" s="2711"/>
      <c r="P24" s="3737"/>
      <c r="Q24" s="1349"/>
      <c r="R24" s="704"/>
      <c r="S24" s="705"/>
      <c r="T24" s="704"/>
      <c r="U24" s="705"/>
      <c r="V24" s="704"/>
      <c r="W24" s="705"/>
      <c r="X24" s="1352"/>
      <c r="Y24" s="3697"/>
      <c r="Z24" s="1353"/>
      <c r="AA24" s="1350">
        <v>1</v>
      </c>
      <c r="AB24" s="1350">
        <v>1</v>
      </c>
      <c r="AC24" s="1350">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37"/>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697"/>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37"/>
      <c r="Q26" s="1349" t="str">
        <f t="shared" si="11"/>
        <v>朝向</v>
      </c>
      <c r="R26" s="704" t="s">
        <v>18</v>
      </c>
      <c r="S26" s="705">
        <f t="shared" si="12"/>
        <v>100</v>
      </c>
      <c r="T26" s="704" t="s">
        <v>18</v>
      </c>
      <c r="U26" s="705">
        <f t="shared" si="13"/>
        <v>100</v>
      </c>
      <c r="V26" s="704" t="s">
        <v>18</v>
      </c>
      <c r="W26" s="705">
        <f t="shared" si="14"/>
        <v>100</v>
      </c>
      <c r="X26" s="1352"/>
      <c r="Y26" s="3697"/>
      <c r="Z26" s="1353" t="str">
        <f>Q26</f>
        <v>朝向</v>
      </c>
      <c r="AA26" s="1350">
        <f t="shared" si="15"/>
        <v>1</v>
      </c>
      <c r="AB26" s="1350">
        <f t="shared" si="16"/>
        <v>1</v>
      </c>
      <c r="AC26" s="1350">
        <f t="shared" si="17"/>
        <v>1</v>
      </c>
    </row>
    <row r="27" spans="1:29" s="108" customFormat="1" ht="15">
      <c r="A27" s="382"/>
      <c r="B27" s="3471" t="s">
        <v>3608</v>
      </c>
      <c r="C27" s="3479" t="s">
        <v>3609</v>
      </c>
      <c r="D27" s="413">
        <v>100</v>
      </c>
      <c r="E27" s="3479" t="s">
        <v>3609</v>
      </c>
      <c r="F27" s="413">
        <f>SUMIF(90:90,E27,91:91)-SUMIF(90:90,C27,91:91)+100</f>
        <v>100</v>
      </c>
      <c r="G27" s="3479" t="s">
        <v>3609</v>
      </c>
      <c r="H27" s="413">
        <f>SUMIF(90:90,G27,91:91)-SUMIF(90:90,C27,91:91)+100</f>
        <v>100</v>
      </c>
      <c r="I27" s="3479" t="s">
        <v>3609</v>
      </c>
      <c r="J27" s="413">
        <f>SUMIF(90:90,I27,91:91)-SUMIF(90:90,C27,91:91)+100</f>
        <v>100</v>
      </c>
      <c r="K27" s="1890"/>
      <c r="L27" s="2712"/>
      <c r="M27" s="2713"/>
      <c r="N27" s="2713"/>
      <c r="O27" s="2713"/>
      <c r="P27" s="3737"/>
      <c r="Q27" s="1340" t="str">
        <f t="shared" si="11"/>
        <v>楼层</v>
      </c>
      <c r="R27" s="700" t="s">
        <v>18</v>
      </c>
      <c r="S27" s="701">
        <f t="shared" si="12"/>
        <v>100</v>
      </c>
      <c r="T27" s="700" t="s">
        <v>18</v>
      </c>
      <c r="U27" s="701">
        <f t="shared" si="13"/>
        <v>100</v>
      </c>
      <c r="V27" s="700" t="s">
        <v>18</v>
      </c>
      <c r="W27" s="701">
        <f t="shared" si="14"/>
        <v>100</v>
      </c>
      <c r="X27" s="702"/>
      <c r="Y27" s="3697"/>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37"/>
      <c r="Q28" s="1349">
        <f t="shared" si="11"/>
        <v>111</v>
      </c>
      <c r="R28" s="704" t="s">
        <v>18</v>
      </c>
      <c r="S28" s="705">
        <f t="shared" si="12"/>
        <v>100</v>
      </c>
      <c r="T28" s="704" t="s">
        <v>18</v>
      </c>
      <c r="U28" s="705">
        <f t="shared" si="13"/>
        <v>100</v>
      </c>
      <c r="V28" s="704" t="s">
        <v>18</v>
      </c>
      <c r="W28" s="705">
        <f t="shared" si="14"/>
        <v>100</v>
      </c>
      <c r="X28" s="1352"/>
      <c r="Y28" s="3697"/>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37"/>
      <c r="Q29" s="1349">
        <f t="shared" si="11"/>
        <v>111</v>
      </c>
      <c r="R29" s="704" t="s">
        <v>18</v>
      </c>
      <c r="S29" s="705">
        <f t="shared" si="12"/>
        <v>100</v>
      </c>
      <c r="T29" s="704" t="s">
        <v>18</v>
      </c>
      <c r="U29" s="705">
        <f t="shared" si="13"/>
        <v>100</v>
      </c>
      <c r="V29" s="704" t="s">
        <v>18</v>
      </c>
      <c r="W29" s="705">
        <f t="shared" si="14"/>
        <v>100</v>
      </c>
      <c r="X29" s="1352"/>
      <c r="Y29" s="3697"/>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37"/>
      <c r="Q30" s="1349">
        <f t="shared" si="11"/>
        <v>111</v>
      </c>
      <c r="R30" s="704" t="s">
        <v>18</v>
      </c>
      <c r="S30" s="705">
        <f t="shared" si="12"/>
        <v>100</v>
      </c>
      <c r="T30" s="704" t="s">
        <v>18</v>
      </c>
      <c r="U30" s="705">
        <f t="shared" si="13"/>
        <v>100</v>
      </c>
      <c r="V30" s="704" t="s">
        <v>18</v>
      </c>
      <c r="W30" s="705">
        <f t="shared" si="14"/>
        <v>100</v>
      </c>
      <c r="X30" s="1352"/>
      <c r="Y30" s="3697"/>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37"/>
      <c r="Q31" s="1349">
        <f t="shared" si="11"/>
        <v>111</v>
      </c>
      <c r="R31" s="704" t="s">
        <v>18</v>
      </c>
      <c r="S31" s="705">
        <f t="shared" si="12"/>
        <v>100</v>
      </c>
      <c r="T31" s="704" t="s">
        <v>18</v>
      </c>
      <c r="U31" s="705">
        <f t="shared" si="13"/>
        <v>100</v>
      </c>
      <c r="V31" s="704" t="s">
        <v>18</v>
      </c>
      <c r="W31" s="705">
        <f t="shared" si="14"/>
        <v>100</v>
      </c>
      <c r="X31" s="1352"/>
      <c r="Y31" s="3697"/>
      <c r="Z31" s="1353">
        <f t="shared" si="18"/>
        <v>111</v>
      </c>
      <c r="AA31" s="1350">
        <f t="shared" si="15"/>
        <v>1</v>
      </c>
      <c r="AB31" s="1350">
        <f t="shared" si="16"/>
        <v>1</v>
      </c>
      <c r="AC31" s="1350">
        <f t="shared" si="17"/>
        <v>1</v>
      </c>
    </row>
    <row r="32" spans="1:29" ht="15">
      <c r="A32" s="391" t="s">
        <v>1692</v>
      </c>
      <c r="B32" s="63" t="s">
        <v>1693</v>
      </c>
      <c r="C32" s="1906" t="s">
        <v>3413</v>
      </c>
      <c r="D32" s="418">
        <v>100</v>
      </c>
      <c r="E32" s="1906" t="s">
        <v>3413</v>
      </c>
      <c r="F32" s="412">
        <f>SUMIF(100:100,E32,101:101)-SUMIF(100:100,C32,101:101)+100</f>
        <v>100</v>
      </c>
      <c r="G32" s="1906" t="s">
        <v>3415</v>
      </c>
      <c r="H32" s="418">
        <f>SUMIF(100:100,G32,101:101)-SUMIF(100:100,C32,101:101)+100</f>
        <v>98</v>
      </c>
      <c r="I32" s="1907" t="s">
        <v>3415</v>
      </c>
      <c r="J32" s="386">
        <f>SUMIF(100:100,I32,101:101)-SUMIF(100:100,C32,101:101)+100</f>
        <v>98</v>
      </c>
      <c r="K32" s="377">
        <v>2</v>
      </c>
      <c r="L32" s="2717"/>
      <c r="M32" s="2711"/>
      <c r="N32" s="2711"/>
      <c r="O32" s="2711"/>
      <c r="P32" s="3732" t="s">
        <v>1694</v>
      </c>
      <c r="Q32" s="1349" t="str">
        <f t="shared" si="11"/>
        <v>建筑类型</v>
      </c>
      <c r="R32" s="704" t="s">
        <v>18</v>
      </c>
      <c r="S32" s="705">
        <f t="shared" si="12"/>
        <v>100</v>
      </c>
      <c r="T32" s="704" t="s">
        <v>18</v>
      </c>
      <c r="U32" s="705">
        <f t="shared" si="13"/>
        <v>98</v>
      </c>
      <c r="V32" s="704" t="s">
        <v>18</v>
      </c>
      <c r="W32" s="705">
        <f t="shared" si="14"/>
        <v>98</v>
      </c>
      <c r="X32" s="1352"/>
      <c r="Y32" s="3699" t="s">
        <v>1694</v>
      </c>
      <c r="Z32" s="1353" t="str">
        <f t="shared" si="18"/>
        <v>建筑类型</v>
      </c>
      <c r="AA32" s="1350">
        <f t="shared" si="15"/>
        <v>1</v>
      </c>
      <c r="AB32" s="1350">
        <f t="shared" si="16"/>
        <v>1.0204081632653061</v>
      </c>
      <c r="AC32" s="1350">
        <f t="shared" si="17"/>
        <v>1.0204081632653061</v>
      </c>
    </row>
    <row r="33" spans="1:29" s="422" customFormat="1" ht="15">
      <c r="A33" s="419"/>
      <c r="B33" s="375" t="s">
        <v>1695</v>
      </c>
      <c r="C33" s="420">
        <f>'数据-基础表'!I13</f>
        <v>34383.439999999995</v>
      </c>
      <c r="D33" s="127">
        <v>100</v>
      </c>
      <c r="E33" s="381">
        <v>225648</v>
      </c>
      <c r="F33" s="376">
        <f>LOOKUP(E33,103:103,104:104)-LOOKUP(C33,103:103,104:104)+100</f>
        <v>103</v>
      </c>
      <c r="G33" s="380">
        <v>106896</v>
      </c>
      <c r="H33" s="127">
        <f>LOOKUP(G33,103:103,104:104)-LOOKUP(C33,103:103,104:104)+100</f>
        <v>102</v>
      </c>
      <c r="I33" s="381">
        <v>241540.85</v>
      </c>
      <c r="J33" s="127">
        <f>LOOKUP(I33,103:103,104:104)-LOOKUP(C33,103:103,104:104)+100</f>
        <v>103</v>
      </c>
      <c r="K33" s="1890"/>
      <c r="L33" s="2716"/>
      <c r="M33" s="2718"/>
      <c r="N33" s="2718"/>
      <c r="O33" s="2718"/>
      <c r="P33" s="3733"/>
      <c r="Q33" s="706" t="str">
        <f t="shared" si="11"/>
        <v>项目建筑规模</v>
      </c>
      <c r="R33" s="707" t="s">
        <v>18</v>
      </c>
      <c r="S33" s="708">
        <f t="shared" si="12"/>
        <v>103</v>
      </c>
      <c r="T33" s="707" t="s">
        <v>18</v>
      </c>
      <c r="U33" s="708">
        <f t="shared" si="13"/>
        <v>102</v>
      </c>
      <c r="V33" s="707" t="s">
        <v>18</v>
      </c>
      <c r="W33" s="708">
        <f t="shared" si="14"/>
        <v>103</v>
      </c>
      <c r="X33" s="709"/>
      <c r="Y33" s="3699"/>
      <c r="Z33" s="710" t="str">
        <f t="shared" si="18"/>
        <v>项目建筑规模</v>
      </c>
      <c r="AA33" s="1350">
        <f t="shared" si="15"/>
        <v>0.970873786407767</v>
      </c>
      <c r="AB33" s="1350">
        <f t="shared" si="16"/>
        <v>0.98039215686274506</v>
      </c>
      <c r="AC33" s="1350">
        <f t="shared" si="17"/>
        <v>0.970873786407767</v>
      </c>
    </row>
    <row r="34" spans="1:29" ht="15">
      <c r="A34" s="423"/>
      <c r="B34" s="375" t="s">
        <v>1696</v>
      </c>
      <c r="C34" s="1908" t="s">
        <v>3400</v>
      </c>
      <c r="D34" s="386">
        <v>100</v>
      </c>
      <c r="E34" s="1908" t="s">
        <v>3400</v>
      </c>
      <c r="F34" s="412">
        <f>SUMIF(105:105,E34,106:106)-SUMIF(105:105,C34,106:106)+100</f>
        <v>100</v>
      </c>
      <c r="G34" s="1908" t="s">
        <v>3400</v>
      </c>
      <c r="H34" s="386">
        <f>SUMIF(105:105,G34,106:106)-SUMIF(105:105,C34,106:106)+100</f>
        <v>100</v>
      </c>
      <c r="I34" s="1908" t="s">
        <v>3400</v>
      </c>
      <c r="J34" s="386">
        <f>SUMIF(105:105,I34,106:106)-SUMIF(105:105,C34,106:106)+100</f>
        <v>100</v>
      </c>
      <c r="K34" s="377">
        <v>2</v>
      </c>
      <c r="L34" s="2717"/>
      <c r="M34" s="2711"/>
      <c r="N34" s="2711"/>
      <c r="O34" s="2711"/>
      <c r="P34" s="3733"/>
      <c r="Q34" s="1349" t="str">
        <f t="shared" si="11"/>
        <v>建筑结构</v>
      </c>
      <c r="R34" s="704" t="s">
        <v>18</v>
      </c>
      <c r="S34" s="705">
        <f t="shared" si="12"/>
        <v>100</v>
      </c>
      <c r="T34" s="704" t="s">
        <v>18</v>
      </c>
      <c r="U34" s="705">
        <f t="shared" si="13"/>
        <v>100</v>
      </c>
      <c r="V34" s="704" t="s">
        <v>18</v>
      </c>
      <c r="W34" s="705">
        <f t="shared" si="14"/>
        <v>100</v>
      </c>
      <c r="X34" s="1352"/>
      <c r="Y34" s="3699"/>
      <c r="Z34" s="1353" t="str">
        <f t="shared" si="18"/>
        <v>建筑结构</v>
      </c>
      <c r="AA34" s="1350">
        <f t="shared" si="15"/>
        <v>1</v>
      </c>
      <c r="AB34" s="1350">
        <f t="shared" si="16"/>
        <v>1</v>
      </c>
      <c r="AC34" s="1350">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33"/>
      <c r="Q35" s="1349" t="str">
        <f t="shared" si="11"/>
        <v>建筑品质</v>
      </c>
      <c r="R35" s="704" t="s">
        <v>18</v>
      </c>
      <c r="S35" s="705">
        <f t="shared" si="12"/>
        <v>100</v>
      </c>
      <c r="T35" s="704" t="s">
        <v>18</v>
      </c>
      <c r="U35" s="705">
        <f t="shared" si="13"/>
        <v>100</v>
      </c>
      <c r="V35" s="704" t="s">
        <v>18</v>
      </c>
      <c r="W35" s="705">
        <f t="shared" si="14"/>
        <v>100</v>
      </c>
      <c r="X35" s="1352"/>
      <c r="Y35" s="3699"/>
      <c r="Z35" s="1353" t="str">
        <f t="shared" si="18"/>
        <v>建筑品质</v>
      </c>
      <c r="AA35" s="1350">
        <f t="shared" si="15"/>
        <v>1</v>
      </c>
      <c r="AB35" s="1350">
        <f t="shared" si="16"/>
        <v>1</v>
      </c>
      <c r="AC35" s="1350">
        <f t="shared" si="17"/>
        <v>1</v>
      </c>
    </row>
    <row r="36" spans="1:29" ht="15">
      <c r="A36" s="423"/>
      <c r="B36" s="375" t="s">
        <v>1698</v>
      </c>
      <c r="C36" s="1902" t="s">
        <v>3418</v>
      </c>
      <c r="D36" s="386">
        <v>100</v>
      </c>
      <c r="E36" s="1902" t="s">
        <v>3418</v>
      </c>
      <c r="F36" s="412">
        <f>SUMIF(109:109,E36,110:110)-SUMIF(109:109,C36,110:110)+100</f>
        <v>100</v>
      </c>
      <c r="G36" s="1902" t="s">
        <v>3418</v>
      </c>
      <c r="H36" s="386">
        <f>SUMIF(109:109,G36,110:110)-SUMIF(109:109,C36,110:110)+100</f>
        <v>100</v>
      </c>
      <c r="I36" s="1902" t="s">
        <v>3418</v>
      </c>
      <c r="J36" s="386">
        <f>SUMIF(109:109,I36,110:110)-SUMIF(109:109,C36,110:110)+100</f>
        <v>100</v>
      </c>
      <c r="K36" s="377">
        <v>2</v>
      </c>
      <c r="L36" s="2717"/>
      <c r="M36" s="2711"/>
      <c r="N36" s="2711"/>
      <c r="O36" s="2711"/>
      <c r="P36" s="3733"/>
      <c r="Q36" s="1349" t="str">
        <f t="shared" si="11"/>
        <v>公共部分装修</v>
      </c>
      <c r="R36" s="704" t="s">
        <v>18</v>
      </c>
      <c r="S36" s="705">
        <f t="shared" si="12"/>
        <v>100</v>
      </c>
      <c r="T36" s="704" t="s">
        <v>18</v>
      </c>
      <c r="U36" s="705">
        <f t="shared" si="13"/>
        <v>100</v>
      </c>
      <c r="V36" s="704" t="s">
        <v>18</v>
      </c>
      <c r="W36" s="705">
        <f t="shared" si="14"/>
        <v>100</v>
      </c>
      <c r="X36" s="1352"/>
      <c r="Y36" s="3699"/>
      <c r="Z36" s="1353" t="str">
        <f t="shared" si="18"/>
        <v>公共部分装修</v>
      </c>
      <c r="AA36" s="1350">
        <f t="shared" si="15"/>
        <v>1</v>
      </c>
      <c r="AB36" s="1350">
        <f t="shared" si="16"/>
        <v>1</v>
      </c>
      <c r="AC36" s="1350">
        <f t="shared" si="17"/>
        <v>1</v>
      </c>
    </row>
    <row r="37" spans="1:29" s="108" customFormat="1" ht="15">
      <c r="A37" s="424"/>
      <c r="B37" s="375" t="s">
        <v>1699</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33"/>
      <c r="Q37" s="1340" t="str">
        <f t="shared" si="11"/>
        <v>成新度</v>
      </c>
      <c r="R37" s="700" t="s">
        <v>18</v>
      </c>
      <c r="S37" s="701">
        <f t="shared" si="12"/>
        <v>100</v>
      </c>
      <c r="T37" s="700" t="s">
        <v>18</v>
      </c>
      <c r="U37" s="701">
        <f t="shared" si="13"/>
        <v>100</v>
      </c>
      <c r="V37" s="700" t="s">
        <v>18</v>
      </c>
      <c r="W37" s="701">
        <f t="shared" si="14"/>
        <v>100</v>
      </c>
      <c r="X37" s="702"/>
      <c r="Y37" s="3699"/>
      <c r="Z37" s="52" t="str">
        <f t="shared" si="18"/>
        <v>成新度</v>
      </c>
      <c r="AA37" s="703">
        <f t="shared" si="15"/>
        <v>1</v>
      </c>
      <c r="AB37" s="703">
        <f t="shared" si="16"/>
        <v>1</v>
      </c>
      <c r="AC37" s="703">
        <f t="shared" si="17"/>
        <v>1</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33" t="s">
        <v>1694</v>
      </c>
      <c r="Q38" s="1349" t="str">
        <f t="shared" si="11"/>
        <v>物业管理</v>
      </c>
      <c r="R38" s="704" t="s">
        <v>18</v>
      </c>
      <c r="S38" s="705">
        <f t="shared" si="12"/>
        <v>100</v>
      </c>
      <c r="T38" s="704" t="s">
        <v>18</v>
      </c>
      <c r="U38" s="705">
        <f t="shared" si="13"/>
        <v>100</v>
      </c>
      <c r="V38" s="704" t="s">
        <v>18</v>
      </c>
      <c r="W38" s="705">
        <f t="shared" si="14"/>
        <v>100</v>
      </c>
      <c r="X38" s="1352"/>
      <c r="Y38" s="3699" t="s">
        <v>1694</v>
      </c>
      <c r="Z38" s="1353" t="str">
        <f t="shared" si="18"/>
        <v>物业管理</v>
      </c>
      <c r="AA38" s="1350">
        <f t="shared" si="15"/>
        <v>1</v>
      </c>
      <c r="AB38" s="1350">
        <f t="shared" si="16"/>
        <v>1</v>
      </c>
      <c r="AC38" s="1350">
        <f t="shared" si="17"/>
        <v>1</v>
      </c>
    </row>
    <row r="39" spans="1:29" ht="15">
      <c r="A39" s="423"/>
      <c r="B39" s="375" t="s">
        <v>1701</v>
      </c>
      <c r="C39" s="1902" t="s">
        <v>3412</v>
      </c>
      <c r="D39" s="386">
        <v>100</v>
      </c>
      <c r="E39" s="1902" t="s">
        <v>3412</v>
      </c>
      <c r="F39" s="412">
        <f>SUMIF(116:116,E39,117:117)-SUMIF(116:116,C39,117:117)+100</f>
        <v>100</v>
      </c>
      <c r="G39" s="1902" t="s">
        <v>3412</v>
      </c>
      <c r="H39" s="386">
        <f>SUMIF(116:116,G39,117:117)-SUMIF(116:116,C39,117:117)+100</f>
        <v>100</v>
      </c>
      <c r="I39" s="1902" t="s">
        <v>3412</v>
      </c>
      <c r="J39" s="386">
        <f>SUMIF(116:116,I39,117:117)-SUMIF(116:116,C39,117:117)+100</f>
        <v>100</v>
      </c>
      <c r="K39" s="377">
        <v>1</v>
      </c>
      <c r="L39" s="2717"/>
      <c r="M39" s="2711"/>
      <c r="N39" s="2711"/>
      <c r="O39" s="2711"/>
      <c r="P39" s="3733"/>
      <c r="Q39" s="1349" t="str">
        <f t="shared" si="11"/>
        <v>市政基础设施</v>
      </c>
      <c r="R39" s="704" t="s">
        <v>18</v>
      </c>
      <c r="S39" s="705">
        <f t="shared" si="12"/>
        <v>100</v>
      </c>
      <c r="T39" s="704" t="s">
        <v>18</v>
      </c>
      <c r="U39" s="705">
        <f t="shared" si="13"/>
        <v>100</v>
      </c>
      <c r="V39" s="704" t="s">
        <v>18</v>
      </c>
      <c r="W39" s="705">
        <f t="shared" si="14"/>
        <v>100</v>
      </c>
      <c r="X39" s="1352"/>
      <c r="Y39" s="3699"/>
      <c r="Z39" s="1353" t="str">
        <f t="shared" si="18"/>
        <v>市政基础设施</v>
      </c>
      <c r="AA39" s="1350">
        <f t="shared" si="15"/>
        <v>1</v>
      </c>
      <c r="AB39" s="1350">
        <f t="shared" si="16"/>
        <v>1</v>
      </c>
      <c r="AC39" s="1350">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33"/>
      <c r="Q40" s="1349" t="str">
        <f t="shared" si="11"/>
        <v>房型</v>
      </c>
      <c r="R40" s="704" t="s">
        <v>18</v>
      </c>
      <c r="S40" s="705">
        <f t="shared" si="12"/>
        <v>100</v>
      </c>
      <c r="T40" s="704" t="s">
        <v>18</v>
      </c>
      <c r="U40" s="705">
        <f t="shared" si="13"/>
        <v>100</v>
      </c>
      <c r="V40" s="704" t="s">
        <v>18</v>
      </c>
      <c r="W40" s="705">
        <f t="shared" si="14"/>
        <v>100</v>
      </c>
      <c r="X40" s="1352"/>
      <c r="Y40" s="3699"/>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33"/>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0">
        <f t="shared" si="15"/>
        <v>1</v>
      </c>
      <c r="AB41" s="1350">
        <f t="shared" si="16"/>
        <v>1</v>
      </c>
      <c r="AC41" s="1350">
        <f t="shared" si="17"/>
        <v>1</v>
      </c>
    </row>
    <row r="42" spans="1:29" ht="15">
      <c r="A42" s="423"/>
      <c r="B42" s="375" t="s">
        <v>1704</v>
      </c>
      <c r="C42" s="1902" t="s">
        <v>3421</v>
      </c>
      <c r="D42" s="386">
        <v>100</v>
      </c>
      <c r="E42" s="1903" t="s">
        <v>3425</v>
      </c>
      <c r="F42" s="412">
        <f>SUMIF(122:122,E42,123:123)-SUMIF(122:122,C42,123:123)+100</f>
        <v>97</v>
      </c>
      <c r="G42" s="1902" t="s">
        <v>3421</v>
      </c>
      <c r="H42" s="386">
        <f>SUMIF(122:122,G42,123:123)-SUMIF(122:122,C42,123:123)+100</f>
        <v>100</v>
      </c>
      <c r="I42" s="1903" t="s">
        <v>3425</v>
      </c>
      <c r="J42" s="386">
        <f>SUMIF(122:122,I42,123:123)-SUMIF(122:122,C42,123:123)+100</f>
        <v>97</v>
      </c>
      <c r="K42" s="377">
        <v>1</v>
      </c>
      <c r="L42" s="2717"/>
      <c r="M42" s="2711"/>
      <c r="N42" s="2711"/>
      <c r="O42" s="2711"/>
      <c r="P42" s="3733"/>
      <c r="Q42" s="1349" t="str">
        <f t="shared" si="11"/>
        <v>内部装修</v>
      </c>
      <c r="R42" s="704" t="s">
        <v>18</v>
      </c>
      <c r="S42" s="705">
        <f t="shared" si="12"/>
        <v>97</v>
      </c>
      <c r="T42" s="704" t="s">
        <v>18</v>
      </c>
      <c r="U42" s="705">
        <f t="shared" si="13"/>
        <v>100</v>
      </c>
      <c r="V42" s="704" t="s">
        <v>18</v>
      </c>
      <c r="W42" s="705">
        <f t="shared" si="14"/>
        <v>97</v>
      </c>
      <c r="X42" s="1352"/>
      <c r="Y42" s="3699"/>
      <c r="Z42" s="1353" t="str">
        <f t="shared" si="18"/>
        <v>内部装修</v>
      </c>
      <c r="AA42" s="1350">
        <f t="shared" si="15"/>
        <v>1.0309278350515463</v>
      </c>
      <c r="AB42" s="1350">
        <f t="shared" si="16"/>
        <v>1</v>
      </c>
      <c r="AC42" s="1350">
        <f t="shared" si="17"/>
        <v>1.0309278350515463</v>
      </c>
    </row>
    <row r="43" spans="1:29" ht="15">
      <c r="A43" s="423"/>
      <c r="B43" s="375" t="s">
        <v>1705</v>
      </c>
      <c r="C43" s="1902" t="s">
        <v>3427</v>
      </c>
      <c r="D43" s="386">
        <v>100</v>
      </c>
      <c r="E43" s="1902" t="s">
        <v>3427</v>
      </c>
      <c r="F43" s="412">
        <f>SUMIF(124:124,E43,125:125)-SUMIF(124:124,C43,125:125)+100</f>
        <v>100</v>
      </c>
      <c r="G43" s="1902" t="s">
        <v>3427</v>
      </c>
      <c r="H43" s="386">
        <f>SUMIF(124:124,G43,125:125)-SUMIF(124:124,C43,125:125)+100</f>
        <v>100</v>
      </c>
      <c r="I43" s="1902" t="s">
        <v>3427</v>
      </c>
      <c r="J43" s="386">
        <f>SUMIF(124:124,I43,125:125)-SUMIF(124:124,C43,125:125)+100</f>
        <v>100</v>
      </c>
      <c r="K43" s="377">
        <v>2</v>
      </c>
      <c r="L43" s="2717"/>
      <c r="M43" s="2711"/>
      <c r="N43" s="2711"/>
      <c r="O43" s="2711"/>
      <c r="P43" s="3733"/>
      <c r="Q43" s="1349" t="str">
        <f t="shared" si="11"/>
        <v>内部装修维护情况</v>
      </c>
      <c r="R43" s="704" t="s">
        <v>18</v>
      </c>
      <c r="S43" s="705">
        <f t="shared" si="12"/>
        <v>100</v>
      </c>
      <c r="T43" s="704" t="s">
        <v>18</v>
      </c>
      <c r="U43" s="705">
        <f t="shared" si="13"/>
        <v>100</v>
      </c>
      <c r="V43" s="704" t="s">
        <v>18</v>
      </c>
      <c r="W43" s="705">
        <f t="shared" si="14"/>
        <v>100</v>
      </c>
      <c r="X43" s="1352"/>
      <c r="Y43" s="3699"/>
      <c r="Z43" s="1353" t="str">
        <f t="shared" si="18"/>
        <v>内部装修维护情况</v>
      </c>
      <c r="AA43" s="1350">
        <f t="shared" si="15"/>
        <v>1</v>
      </c>
      <c r="AB43" s="1350">
        <f t="shared" si="16"/>
        <v>1</v>
      </c>
      <c r="AC43" s="1350">
        <f t="shared" si="17"/>
        <v>1</v>
      </c>
    </row>
    <row r="44" spans="1:29" s="108" customFormat="1" ht="15">
      <c r="A44" s="424"/>
      <c r="B44" s="3471" t="s">
        <v>3428</v>
      </c>
      <c r="C44" s="3472" t="s">
        <v>3429</v>
      </c>
      <c r="D44" s="127">
        <v>100</v>
      </c>
      <c r="E44" s="3472" t="s">
        <v>3430</v>
      </c>
      <c r="F44" s="376">
        <f>SUMIF(126:126,E44,127:127)-SUMIF(126:126,C44,127:127)+100</f>
        <v>98</v>
      </c>
      <c r="G44" s="3472" t="s">
        <v>3430</v>
      </c>
      <c r="H44" s="127">
        <f>SUMIF(126:126,G44,127:127)-SUMIF(126:126,C44,127:127)+100</f>
        <v>98</v>
      </c>
      <c r="I44" s="3472" t="s">
        <v>3429</v>
      </c>
      <c r="J44" s="127">
        <f>SUMIF(126:126,I44,127:127)-SUMIF(126:126,C44,127:127)+100</f>
        <v>100</v>
      </c>
      <c r="K44" s="1890"/>
      <c r="L44" s="2712"/>
      <c r="M44" s="2713"/>
      <c r="N44" s="2713"/>
      <c r="O44" s="2713"/>
      <c r="P44" s="3733"/>
      <c r="Q44" s="1340" t="str">
        <f t="shared" si="11"/>
        <v>尾盘</v>
      </c>
      <c r="R44" s="700" t="s">
        <v>18</v>
      </c>
      <c r="S44" s="701">
        <f t="shared" si="12"/>
        <v>98</v>
      </c>
      <c r="T44" s="700" t="s">
        <v>18</v>
      </c>
      <c r="U44" s="701">
        <f t="shared" si="13"/>
        <v>98</v>
      </c>
      <c r="V44" s="700" t="s">
        <v>18</v>
      </c>
      <c r="W44" s="701">
        <f t="shared" si="14"/>
        <v>100</v>
      </c>
      <c r="X44" s="702"/>
      <c r="Y44" s="3699"/>
      <c r="Z44" s="52" t="str">
        <f t="shared" si="18"/>
        <v>尾盘</v>
      </c>
      <c r="AA44" s="703">
        <f t="shared" si="15"/>
        <v>1.0204081632653061</v>
      </c>
      <c r="AB44" s="703">
        <f t="shared" si="16"/>
        <v>1.0204081632653061</v>
      </c>
      <c r="AC44" s="703">
        <f t="shared" si="17"/>
        <v>1</v>
      </c>
    </row>
    <row r="45" spans="1:29" ht="15">
      <c r="A45" s="423"/>
      <c r="B45" s="3471" t="s">
        <v>3431</v>
      </c>
      <c r="C45" s="3473" t="s">
        <v>4084</v>
      </c>
      <c r="D45" s="386">
        <v>100</v>
      </c>
      <c r="E45" s="3473" t="s">
        <v>3430</v>
      </c>
      <c r="F45" s="412">
        <f>SUMIF(128:128,E45,129:129)-SUMIF(128:128,C45,129:129)+100</f>
        <v>101</v>
      </c>
      <c r="G45" s="3473" t="s">
        <v>3430</v>
      </c>
      <c r="H45" s="386">
        <f>SUMIF(128:128,G45,129:129)-SUMIF(128:128,C45,129:129)+100</f>
        <v>101</v>
      </c>
      <c r="I45" s="3473" t="s">
        <v>3430</v>
      </c>
      <c r="J45" s="386">
        <f>SUMIF(128:128,I45,129:129)-SUMIF(128:128,C45,129:129)+100</f>
        <v>101</v>
      </c>
      <c r="K45" s="1890"/>
      <c r="L45" s="2717"/>
      <c r="M45" s="2711"/>
      <c r="N45" s="2711"/>
      <c r="O45" s="2711"/>
      <c r="P45" s="3733"/>
      <c r="Q45" s="1349" t="str">
        <f t="shared" si="11"/>
        <v>现房</v>
      </c>
      <c r="R45" s="704" t="s">
        <v>18</v>
      </c>
      <c r="S45" s="705">
        <f t="shared" si="12"/>
        <v>101</v>
      </c>
      <c r="T45" s="704" t="s">
        <v>18</v>
      </c>
      <c r="U45" s="705">
        <f t="shared" si="13"/>
        <v>101</v>
      </c>
      <c r="V45" s="704" t="s">
        <v>18</v>
      </c>
      <c r="W45" s="705">
        <f t="shared" si="14"/>
        <v>101</v>
      </c>
      <c r="X45" s="1352"/>
      <c r="Y45" s="3699"/>
      <c r="Z45" s="1353" t="str">
        <f t="shared" si="18"/>
        <v>现房</v>
      </c>
      <c r="AA45" s="1350">
        <f t="shared" si="15"/>
        <v>0.99009900990099009</v>
      </c>
      <c r="AB45" s="1350">
        <f t="shared" si="16"/>
        <v>0.99009900990099009</v>
      </c>
      <c r="AC45" s="1350">
        <f t="shared" si="17"/>
        <v>0.99009900990099009</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34"/>
      <c r="Q46" s="1349">
        <f t="shared" si="11"/>
        <v>111</v>
      </c>
      <c r="R46" s="704" t="s">
        <v>17</v>
      </c>
      <c r="S46" s="705">
        <f t="shared" si="12"/>
        <v>100</v>
      </c>
      <c r="T46" s="704" t="s">
        <v>17</v>
      </c>
      <c r="U46" s="705">
        <f t="shared" si="13"/>
        <v>100</v>
      </c>
      <c r="V46" s="704" t="s">
        <v>17</v>
      </c>
      <c r="W46" s="705">
        <f t="shared" si="14"/>
        <v>100</v>
      </c>
      <c r="X46" s="1352"/>
      <c r="Y46" s="3735"/>
      <c r="Z46" s="1353">
        <f t="shared" si="18"/>
        <v>111</v>
      </c>
      <c r="AA46" s="1350">
        <f t="shared" si="15"/>
        <v>1</v>
      </c>
      <c r="AB46" s="1350">
        <f t="shared" si="16"/>
        <v>1</v>
      </c>
      <c r="AC46" s="1350">
        <f t="shared" si="17"/>
        <v>1</v>
      </c>
    </row>
    <row r="47" spans="1:29" ht="15">
      <c r="A47" s="430" t="s">
        <v>1706</v>
      </c>
      <c r="B47" s="431"/>
      <c r="C47" s="1152" t="s">
        <v>16</v>
      </c>
      <c r="D47" s="1153"/>
      <c r="E47" s="1154">
        <v>38379</v>
      </c>
      <c r="F47" s="1155"/>
      <c r="G47" s="1156">
        <v>35578</v>
      </c>
      <c r="H47" s="1157"/>
      <c r="I47" s="1154">
        <v>30022</v>
      </c>
      <c r="J47" s="1157"/>
      <c r="K47" s="1909"/>
      <c r="L47" s="2719"/>
      <c r="M47" s="2720"/>
      <c r="N47" s="2711"/>
      <c r="O47" s="2720"/>
      <c r="P47" s="3695" t="str">
        <f>A47</f>
        <v>成交单价（元/平方米）</v>
      </c>
      <c r="Q47" s="3695"/>
      <c r="R47" s="3731">
        <f>E47</f>
        <v>38379</v>
      </c>
      <c r="S47" s="3731"/>
      <c r="T47" s="3731">
        <f>G47</f>
        <v>35578</v>
      </c>
      <c r="U47" s="3731"/>
      <c r="V47" s="3731">
        <f>I47</f>
        <v>30022</v>
      </c>
      <c r="W47" s="3731"/>
      <c r="X47" s="689"/>
      <c r="Y47" s="711"/>
      <c r="Z47" s="689"/>
      <c r="AA47" s="689"/>
      <c r="AB47" s="689"/>
      <c r="AC47" s="689"/>
    </row>
    <row r="48" spans="1:29" ht="15.75" thickBot="1">
      <c r="A48" s="437" t="s">
        <v>1707</v>
      </c>
      <c r="B48" s="438"/>
      <c r="C48" s="1158">
        <f>R49</f>
        <v>35321</v>
      </c>
      <c r="D48" s="2312" t="s">
        <v>2135</v>
      </c>
      <c r="E48" s="1159">
        <f>R48</f>
        <v>38048</v>
      </c>
      <c r="F48" s="2313"/>
      <c r="G48" s="1158">
        <f>T48</f>
        <v>35959</v>
      </c>
      <c r="H48" s="2313"/>
      <c r="I48" s="1159">
        <f>V48</f>
        <v>31957</v>
      </c>
      <c r="J48" s="2313"/>
      <c r="K48" s="2314">
        <f>F48+H48+J48</f>
        <v>0</v>
      </c>
      <c r="L48" s="2719"/>
      <c r="M48" s="2720"/>
      <c r="N48" s="2720"/>
      <c r="O48" s="2720"/>
      <c r="P48" s="3695" t="str">
        <f>A48</f>
        <v>比较价值（元/平方米）</v>
      </c>
      <c r="Q48" s="3695"/>
      <c r="R48" s="3731">
        <f>IF(F1="售价",ROUND(PRODUCT(R47,AA7:AA46),0),ROUND(PRODUCT(R47,AA7:AA46),1))</f>
        <v>38048</v>
      </c>
      <c r="S48" s="3731"/>
      <c r="T48" s="3731">
        <f>IF(F1="售价",ROUND(PRODUCT(T47,AB7:AB46),0),ROUND(PRODUCT(T47,AB7:AB46),1))</f>
        <v>35959</v>
      </c>
      <c r="U48" s="3731"/>
      <c r="V48" s="3731">
        <f>IF(F1="售价",ROUND(PRODUCT(V47,AC7:AC46),0),ROUND(PRODUCT(V47,AC7:AC46),1))</f>
        <v>31957</v>
      </c>
      <c r="W48" s="3731"/>
      <c r="X48" s="689"/>
      <c r="Y48" s="689"/>
      <c r="Z48" s="689"/>
      <c r="AA48" s="689"/>
      <c r="AB48" s="689"/>
      <c r="AC48" s="689"/>
    </row>
    <row r="49" spans="1:29" ht="15.75" thickBot="1">
      <c r="A49" s="441" t="s">
        <v>1708</v>
      </c>
      <c r="B49" s="442"/>
      <c r="C49" s="1160">
        <f>R49</f>
        <v>35321</v>
      </c>
      <c r="D49" s="1161"/>
      <c r="E49" s="1161"/>
      <c r="F49" s="1161"/>
      <c r="G49" s="1161"/>
      <c r="H49" s="1161"/>
      <c r="I49" s="1161"/>
      <c r="J49" s="1161"/>
      <c r="K49" s="1910"/>
      <c r="L49" s="2719"/>
      <c r="M49" s="2720"/>
      <c r="N49" s="2720"/>
      <c r="O49" s="2720"/>
      <c r="P49" s="3689" t="str">
        <f>A49</f>
        <v>估价对象XX用房的比较价值（楼面单价，元/平方米）</v>
      </c>
      <c r="Q49" s="3690"/>
      <c r="R49" s="3730">
        <f>IF(F1="售价",ROUND(IF(D48="简单平均",AVERAGE(R48:V48),R48*F48+T48*H48+V48*J48),0),ROUND(IF(D48="简单平均",AVERAGE(R48:V48),R48*F48+T48*H48+V48*J48),1))</f>
        <v>35321</v>
      </c>
      <c r="S49" s="3730"/>
      <c r="T49" s="3730"/>
      <c r="U49" s="3730"/>
      <c r="V49" s="3730"/>
      <c r="W49" s="3730"/>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f>IF(E47&lt;E48,E48/E47-1,E47/E48-1)</f>
        <v>8.6995374264087211E-3</v>
      </c>
      <c r="F52" s="449" t="str">
        <f>IF(OR(E52&gt;=0.3,E52&lt;=-0.3),"超过30%","")</f>
        <v/>
      </c>
      <c r="G52" s="448">
        <f>IF(G47&lt;G48,G48/G47-1,G47/G48-1)</f>
        <v>1.0708865028950409E-2</v>
      </c>
      <c r="H52" s="449" t="str">
        <f>IF(OR(G52&gt;=0.3,G52&lt;=-0.3),"超过30%","")</f>
        <v/>
      </c>
      <c r="I52" s="448">
        <f>IF(I47&lt;I48,I48/I47-1,I47/I48-1)</f>
        <v>6.4452734661248456E-2</v>
      </c>
      <c r="J52" s="449" t="str">
        <f>IF(OR(I52&gt;=0.3,I52&lt;=-0.3),"超过30%","")</f>
        <v/>
      </c>
      <c r="K52" s="2725"/>
      <c r="L52" s="2721"/>
      <c r="M52" s="2720"/>
      <c r="N52" s="2720"/>
      <c r="O52" s="2720"/>
    </row>
    <row r="53" spans="1:29" ht="13.5" customHeight="1">
      <c r="A53" s="2720"/>
      <c r="B53" s="2720"/>
      <c r="C53" s="446" t="s">
        <v>1710</v>
      </c>
      <c r="D53" s="450"/>
      <c r="E53" s="448">
        <f>IF(E48&lt;G48,G48/E48-1,E48/G48-1)</f>
        <v>5.8093940320921078E-2</v>
      </c>
      <c r="F53" s="449" t="str">
        <f>IF(OR(E53&gt;=0.2,E53&lt;=-0.2),"超过20%","")</f>
        <v/>
      </c>
      <c r="G53" s="448">
        <f>IF(G48&lt;I48,I48/G48-1,G48/I48-1)</f>
        <v>0.12523077885909184</v>
      </c>
      <c r="H53" s="449" t="str">
        <f>IF(OR(G53&gt;=0.2,G53&lt;=-0.2),"超过20%","")</f>
        <v/>
      </c>
      <c r="I53" s="448">
        <f>IF(I48&lt;E48,E48/I48-1,I48/E48-1)</f>
        <v>0.19059986857339539</v>
      </c>
      <c r="J53" s="449" t="str">
        <f>IF(OR(I53&gt;=0.2,I53&lt;=-0.2),"超过20%","")</f>
        <v/>
      </c>
      <c r="K53" s="2725"/>
      <c r="L53" s="2721"/>
      <c r="M53" s="2720"/>
      <c r="N53" s="2720"/>
      <c r="O53" s="2720"/>
    </row>
    <row r="54" spans="1:29" s="451" customFormat="1" ht="13.5" customHeight="1">
      <c r="A54" s="2723"/>
      <c r="B54" s="2723"/>
      <c r="C54" s="446" t="s">
        <v>1711</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1712</v>
      </c>
      <c r="B57" s="689"/>
      <c r="C57" s="694"/>
      <c r="D57" s="694"/>
      <c r="E57" s="694"/>
      <c r="F57" s="695"/>
      <c r="G57" s="695"/>
      <c r="H57" s="694"/>
      <c r="I57" s="694"/>
      <c r="J57" s="694"/>
      <c r="K57" s="940"/>
      <c r="L57" s="941"/>
      <c r="M57" s="939"/>
      <c r="N57" s="939"/>
      <c r="O57" s="939"/>
      <c r="P57" s="1913"/>
      <c r="Q57" s="453"/>
    </row>
    <row r="58" spans="1:29" s="457" customFormat="1" ht="15">
      <c r="A58" s="454" t="s">
        <v>1713</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1714</v>
      </c>
      <c r="B60" s="465"/>
      <c r="C60" s="466"/>
      <c r="D60" s="467"/>
      <c r="E60" s="467"/>
      <c r="F60" s="467"/>
      <c r="G60" s="467"/>
      <c r="H60" s="467"/>
      <c r="I60" s="467"/>
      <c r="J60" s="467"/>
      <c r="K60" s="467"/>
      <c r="L60" s="467"/>
      <c r="M60" s="468"/>
      <c r="N60" s="467"/>
      <c r="O60" s="468"/>
      <c r="P60" s="1915"/>
      <c r="Q60" s="453"/>
    </row>
    <row r="61" spans="1:29" s="108" customFormat="1" ht="15">
      <c r="A61" s="470" t="s">
        <v>1715</v>
      </c>
      <c r="B61" s="459"/>
      <c r="C61" s="471" t="s">
        <v>1716</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1717</v>
      </c>
      <c r="B63" s="477" t="s">
        <v>1683</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1686</v>
      </c>
      <c r="C65" s="532" t="s">
        <v>3407</v>
      </c>
      <c r="D65" s="532" t="s">
        <v>3435</v>
      </c>
      <c r="E65" s="532"/>
      <c r="F65" s="532"/>
      <c r="G65" s="532"/>
      <c r="H65" s="532"/>
      <c r="I65" s="532"/>
      <c r="J65" s="532"/>
      <c r="K65" s="532"/>
      <c r="L65" s="532"/>
      <c r="M65" s="532"/>
      <c r="N65" s="933"/>
      <c r="O65" s="933"/>
      <c r="P65" s="1917"/>
      <c r="Q65" s="453"/>
    </row>
    <row r="66" spans="1:17" ht="15.75" thickBot="1">
      <c r="A66" s="483"/>
      <c r="B66" s="492"/>
      <c r="C66" s="485">
        <v>100</v>
      </c>
      <c r="D66" s="485">
        <v>95</v>
      </c>
      <c r="E66" s="485"/>
      <c r="F66" s="485"/>
      <c r="G66" s="485"/>
      <c r="H66" s="485"/>
      <c r="I66" s="485"/>
      <c r="J66" s="485"/>
      <c r="K66" s="485"/>
      <c r="L66" s="485"/>
      <c r="M66" s="486"/>
      <c r="N66" s="933"/>
      <c r="O66" s="933"/>
      <c r="P66" s="1917"/>
      <c r="Q66" s="453"/>
    </row>
    <row r="67" spans="1:17" ht="15.75" thickTop="1">
      <c r="A67" s="483"/>
      <c r="B67" s="495" t="s">
        <v>1687</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1732</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1733</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469" t="s">
        <v>3610</v>
      </c>
      <c r="D90" s="3469" t="s">
        <v>3609</v>
      </c>
      <c r="E90" s="3469" t="s">
        <v>3611</v>
      </c>
      <c r="F90" s="3469" t="s">
        <v>3612</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1692</v>
      </c>
      <c r="B100" s="477" t="s">
        <v>1734</v>
      </c>
      <c r="C100" s="3468" t="s">
        <v>3414</v>
      </c>
      <c r="D100" s="3468" t="s">
        <v>3416</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29.25" thickTop="1">
      <c r="A102" s="483"/>
      <c r="B102" s="487" t="s">
        <v>1735</v>
      </c>
      <c r="C102" s="527" t="str">
        <f>C103&amp;"(含)"&amp;"-"&amp;D103</f>
        <v>0(含)-50000</v>
      </c>
      <c r="D102" s="527" t="str">
        <f t="shared" ref="D102:L102" si="26">D103&amp;"(含)"&amp;"-"&amp;E103</f>
        <v>50000(含)-100000</v>
      </c>
      <c r="E102" s="527" t="str">
        <f t="shared" si="26"/>
        <v>100000(含)-200000</v>
      </c>
      <c r="F102" s="527" t="str">
        <f t="shared" si="26"/>
        <v>200000(含)-300000</v>
      </c>
      <c r="G102" s="527" t="str">
        <f t="shared" si="26"/>
        <v>300000(含)-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50000</v>
      </c>
      <c r="E103" s="544">
        <v>100000</v>
      </c>
      <c r="F103" s="544">
        <v>200000</v>
      </c>
      <c r="G103" s="544">
        <v>300000</v>
      </c>
      <c r="H103" s="544"/>
      <c r="I103" s="544"/>
      <c r="J103" s="545"/>
      <c r="K103" s="545"/>
      <c r="L103" s="546"/>
      <c r="M103" s="547"/>
      <c r="N103" s="934"/>
      <c r="O103" s="934"/>
      <c r="P103" s="1918"/>
      <c r="Q103" s="508"/>
    </row>
    <row r="104" spans="1:17" s="422" customFormat="1" ht="15.75" thickBot="1">
      <c r="A104" s="502"/>
      <c r="B104" s="492"/>
      <c r="C104" s="509">
        <v>100</v>
      </c>
      <c r="D104" s="485">
        <v>101</v>
      </c>
      <c r="E104" s="485">
        <v>102</v>
      </c>
      <c r="F104" s="485">
        <v>103</v>
      </c>
      <c r="G104" s="485">
        <v>104</v>
      </c>
      <c r="H104" s="485"/>
      <c r="I104" s="485"/>
      <c r="J104" s="485"/>
      <c r="K104" s="485"/>
      <c r="L104" s="485"/>
      <c r="M104" s="485"/>
      <c r="N104" s="933"/>
      <c r="O104" s="933"/>
      <c r="P104" s="1918"/>
      <c r="Q104" s="508"/>
    </row>
    <row r="105" spans="1:17" ht="15" thickTop="1">
      <c r="A105" s="548"/>
      <c r="B105" s="487" t="s">
        <v>1736</v>
      </c>
      <c r="C105" s="3469" t="s">
        <v>3417</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1737</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1738</v>
      </c>
      <c r="C109" s="3469" t="s">
        <v>3419</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1739</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1740</v>
      </c>
      <c r="C116" s="3469" t="s">
        <v>3420</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1741</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1742</v>
      </c>
      <c r="C122" s="3469" t="s">
        <v>3422</v>
      </c>
      <c r="D122" s="3469" t="s">
        <v>3423</v>
      </c>
      <c r="E122" s="3469" t="s">
        <v>3424</v>
      </c>
      <c r="F122" s="3470" t="s">
        <v>3426</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469" t="s">
        <v>3429</v>
      </c>
      <c r="D126" s="3469" t="s">
        <v>3430</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3469" t="s">
        <v>4085</v>
      </c>
      <c r="D128" s="3469" t="s">
        <v>4086</v>
      </c>
      <c r="E128" s="503"/>
      <c r="F128" s="503"/>
      <c r="G128" s="532"/>
      <c r="H128" s="532"/>
      <c r="I128" s="532"/>
      <c r="J128" s="532"/>
      <c r="K128" s="533"/>
      <c r="L128" s="534"/>
      <c r="M128" s="535"/>
      <c r="N128" s="932"/>
      <c r="O128" s="932"/>
      <c r="P128" s="1917"/>
      <c r="Q128" s="453"/>
    </row>
    <row r="129" spans="1:17" ht="15.75" thickBot="1">
      <c r="A129" s="483"/>
      <c r="B129" s="492"/>
      <c r="C129" s="509">
        <v>100</v>
      </c>
      <c r="D129" s="509">
        <v>99</v>
      </c>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6">
        <v>6</v>
      </c>
      <c r="C139" s="867">
        <v>96</v>
      </c>
      <c r="D139" s="1935" t="s">
        <v>1753</v>
      </c>
      <c r="E139" s="868">
        <v>100</v>
      </c>
      <c r="F139" s="869">
        <v>102.5</v>
      </c>
      <c r="G139" s="1935" t="s">
        <v>1753</v>
      </c>
      <c r="H139" s="870">
        <v>105</v>
      </c>
      <c r="I139" s="1936" t="s">
        <v>1754</v>
      </c>
      <c r="J139" s="867">
        <v>20</v>
      </c>
      <c r="K139" s="871">
        <f>C145/(J139-2)</f>
        <v>4.0555555555555553E-3</v>
      </c>
    </row>
    <row r="140" spans="1:17" ht="15">
      <c r="B140" s="872">
        <v>5</v>
      </c>
      <c r="C140" s="873">
        <v>100</v>
      </c>
      <c r="D140" s="873"/>
      <c r="E140" s="874"/>
      <c r="F140" s="875">
        <v>102</v>
      </c>
      <c r="G140" s="873"/>
      <c r="H140" s="876"/>
      <c r="I140" s="1937" t="s">
        <v>1755</v>
      </c>
      <c r="J140" s="271">
        <f>ROUNDUP((J139-1)/2,0)</f>
        <v>10</v>
      </c>
      <c r="K140" s="877">
        <v>100</v>
      </c>
    </row>
    <row r="141" spans="1:17" ht="15">
      <c r="B141" s="872">
        <v>4</v>
      </c>
      <c r="C141" s="873">
        <v>102</v>
      </c>
      <c r="D141" s="873"/>
      <c r="E141" s="874"/>
      <c r="F141" s="875">
        <v>101.5</v>
      </c>
      <c r="G141" s="873"/>
      <c r="H141" s="876"/>
      <c r="I141" s="1937" t="s">
        <v>1756</v>
      </c>
      <c r="J141" s="271">
        <v>1</v>
      </c>
      <c r="K141" s="878">
        <f>ROUND(100+(J141-J140)*K139*100,1)</f>
        <v>96.4</v>
      </c>
    </row>
    <row r="142" spans="1:17" ht="15">
      <c r="B142" s="872">
        <v>3</v>
      </c>
      <c r="C142" s="873">
        <v>103</v>
      </c>
      <c r="D142" s="873"/>
      <c r="E142" s="874"/>
      <c r="F142" s="875">
        <v>101</v>
      </c>
      <c r="G142" s="873"/>
      <c r="H142" s="876"/>
      <c r="I142" s="1937" t="s">
        <v>1757</v>
      </c>
      <c r="J142" s="271">
        <f>J139</f>
        <v>20</v>
      </c>
      <c r="K142" s="879">
        <v>95</v>
      </c>
    </row>
    <row r="143" spans="1:17" ht="15">
      <c r="B143" s="872">
        <v>2</v>
      </c>
      <c r="C143" s="873">
        <v>100</v>
      </c>
      <c r="D143" s="873"/>
      <c r="E143" s="874"/>
      <c r="F143" s="875">
        <v>100.5</v>
      </c>
      <c r="G143" s="873"/>
      <c r="H143" s="876"/>
      <c r="I143" s="1937" t="s">
        <v>1758</v>
      </c>
      <c r="J143" s="873">
        <v>15</v>
      </c>
      <c r="K143" s="878">
        <f>ROUND(100+(J143-J140)*K139*100,1)</f>
        <v>102</v>
      </c>
    </row>
    <row r="144" spans="1:17" ht="15">
      <c r="B144" s="872">
        <v>1</v>
      </c>
      <c r="C144" s="873">
        <v>98</v>
      </c>
      <c r="D144" s="1938" t="s">
        <v>1759</v>
      </c>
      <c r="E144" s="874">
        <v>102</v>
      </c>
      <c r="F144" s="880">
        <v>100</v>
      </c>
      <c r="G144" s="1938" t="s">
        <v>1759</v>
      </c>
      <c r="H144" s="876">
        <v>105</v>
      </c>
      <c r="I144" s="1937" t="s">
        <v>1758</v>
      </c>
      <c r="J144" s="873">
        <v>18</v>
      </c>
      <c r="K144" s="878">
        <f>ROUND(100+(J144-J140)*K139*100,1)</f>
        <v>103.2</v>
      </c>
    </row>
    <row r="145" spans="2:11" ht="15.75" thickBot="1">
      <c r="B145" s="1939" t="s">
        <v>1760</v>
      </c>
      <c r="C145" s="881">
        <f>ROUND(MAX(C139:C144)/MIN(C139:C144)-1,3)</f>
        <v>7.2999999999999995E-2</v>
      </c>
      <c r="D145" s="882"/>
      <c r="E145" s="882"/>
      <c r="F145" s="1940" t="s">
        <v>1761</v>
      </c>
      <c r="G145" s="1941"/>
      <c r="H145" s="1942"/>
      <c r="I145" s="1943" t="s">
        <v>1758</v>
      </c>
      <c r="J145" s="883">
        <v>8</v>
      </c>
      <c r="K145" s="884">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2:T233"/>
  <sheetViews>
    <sheetView topLeftCell="A223" zoomScale="90" zoomScaleNormal="90" workbookViewId="0">
      <selection activeCell="T12" sqref="T12"/>
    </sheetView>
  </sheetViews>
  <sheetFormatPr defaultRowHeight="14.25"/>
  <cols>
    <col min="1" max="16384" width="9" style="3464"/>
  </cols>
  <sheetData>
    <row r="42" spans="15:15">
      <c r="O42" s="3464" t="s">
        <v>3380</v>
      </c>
    </row>
    <row r="73" spans="19:19">
      <c r="S73" s="3464">
        <f>1329/15</f>
        <v>88.6</v>
      </c>
    </row>
    <row r="167" spans="12:12">
      <c r="L167" s="3464" t="s">
        <v>3380</v>
      </c>
    </row>
    <row r="193" spans="19:19">
      <c r="S193" s="3464">
        <f>363/4</f>
        <v>90.75</v>
      </c>
    </row>
    <row r="225" spans="12:20">
      <c r="L225" s="3464" t="s">
        <v>3381</v>
      </c>
    </row>
    <row r="226" spans="12:20">
      <c r="L226" s="3464" t="s">
        <v>3382</v>
      </c>
    </row>
    <row r="233" spans="12:20">
      <c r="T233" s="3464">
        <f>17128/151</f>
        <v>113.43046357615894</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1" sqref="J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t="s">
        <v>3392</v>
      </c>
      <c r="C1" s="1856" t="s">
        <v>1561</v>
      </c>
      <c r="D1" s="198"/>
      <c r="E1" s="198"/>
      <c r="F1" s="198"/>
      <c r="G1" s="1124">
        <f>MATCH(B1,'数据-取费表'!A6:A16,0)+5</f>
        <v>6</v>
      </c>
      <c r="H1" s="1059" t="str">
        <f>IF(ISERROR(FIND("住宅",B1)),"非住宅","住宅")</f>
        <v>住宅</v>
      </c>
    </row>
    <row r="2" spans="1:8" s="200" customFormat="1" ht="18" customHeight="1">
      <c r="A2" s="201" t="s">
        <v>1460</v>
      </c>
      <c r="B2" s="3419">
        <f ca="1">ROUND(IF(D2="——",C52/10000,C52/10000-E2),4)</f>
        <v>119437.35890000001</v>
      </c>
      <c r="C2" s="199" t="s">
        <v>1461</v>
      </c>
      <c r="D2" s="1850" t="s">
        <v>43</v>
      </c>
      <c r="E2" s="1167"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34737</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711079229.5999999</v>
      </c>
      <c r="D5" s="211" t="s">
        <v>1467</v>
      </c>
      <c r="E5" s="212" t="s">
        <v>1468</v>
      </c>
      <c r="F5" s="212" t="s">
        <v>1469</v>
      </c>
      <c r="G5" s="213"/>
    </row>
    <row r="6" spans="1:8" s="214" customFormat="1" ht="13.5" customHeight="1">
      <c r="A6" s="777" t="s">
        <v>1470</v>
      </c>
      <c r="B6" s="215" t="s">
        <v>1471</v>
      </c>
      <c r="C6" s="216">
        <f>'土地比较法-住宅、综合'!C47*'土地比较法-住宅、综合'!E56</f>
        <v>683886621.5999999</v>
      </c>
      <c r="D6" s="217"/>
      <c r="E6" s="218"/>
      <c r="F6" s="218"/>
      <c r="G6" s="219"/>
    </row>
    <row r="7" spans="1:8" s="214" customFormat="1" ht="13.5" customHeight="1">
      <c r="A7" s="777" t="s">
        <v>1472</v>
      </c>
      <c r="B7" s="215" t="s">
        <v>1473</v>
      </c>
      <c r="C7" s="220">
        <f>ROUND(C6*F7,0)</f>
        <v>20858542</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6334066</v>
      </c>
      <c r="D8" s="222"/>
      <c r="E8" s="220"/>
      <c r="F8" s="221"/>
      <c r="G8" s="1853" t="s">
        <v>3606</v>
      </c>
    </row>
    <row r="9" spans="1:8" s="214" customFormat="1" ht="13.5" customHeight="1">
      <c r="A9" s="778" t="s">
        <v>355</v>
      </c>
      <c r="B9" s="224" t="s">
        <v>1476</v>
      </c>
      <c r="C9" s="225">
        <f ca="1">ROUND(D9*E9,0)</f>
        <v>5157516</v>
      </c>
      <c r="D9" s="844">
        <f ca="1">IF(B1="",'数据-汇总表'!E5,IF(INDIRECT("'数据-取费表'!c"&amp;$G$1)="住宅",INDIRECT("'数据-取费表'!k"&amp;$G$1),0))</f>
        <v>34383.439999999995</v>
      </c>
      <c r="E9" s="225">
        <f>'数据-取费表'!B27</f>
        <v>150</v>
      </c>
      <c r="F9" s="221"/>
      <c r="G9" s="226"/>
    </row>
    <row r="10" spans="1:8" s="214" customFormat="1" ht="13.5" customHeight="1">
      <c r="A10" s="778" t="s">
        <v>356</v>
      </c>
      <c r="B10" s="224" t="s">
        <v>1478</v>
      </c>
      <c r="C10" s="225">
        <f ca="1">ROUND(D10*E10,0)</f>
        <v>1176550</v>
      </c>
      <c r="D10" s="844">
        <f ca="1">IF(B1="",'数据-汇总表'!E6,IF(INDIRECT("'数据-取费表'!c"&amp;$G$1)="住宅",INDIRECT("'数据-取费表'!s"&amp;$G$1),INDIRECT("'数据-取费表'!k"&amp;$G$1)+INDIRECT("'数据-取费表'!s"&amp;$G$1)))</f>
        <v>6192.37</v>
      </c>
      <c r="E10" s="225">
        <f>'数据-取费表'!B28</f>
        <v>190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40575.81</v>
      </c>
      <c r="E19" s="211">
        <f>'数据-取费表'!B31</f>
        <v>200</v>
      </c>
      <c r="F19" s="231"/>
      <c r="G19" s="1853" t="s">
        <v>3607</v>
      </c>
    </row>
    <row r="20" spans="1:7" s="214" customFormat="1" ht="13.5" customHeight="1">
      <c r="A20" s="255" t="s">
        <v>1572</v>
      </c>
      <c r="B20" s="210" t="s">
        <v>1573</v>
      </c>
      <c r="C20" s="232">
        <f ca="1">ROUND((C5+C19)*F20,0)</f>
        <v>14221585</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50401474</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49910829</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6">
        <f ca="1">ROUND(IF('数据-取费表'!B22&lt;=1,C20*F22*'数据-取费表'!B22/2,C20*(POWER((1+F22),'数据-取费表'!B22/2)-1)),0)</f>
        <v>490645</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108795122</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108795122</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957351889</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181249927</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156110870</v>
      </c>
      <c r="D34" s="217"/>
      <c r="E34" s="220"/>
      <c r="F34" s="257"/>
      <c r="G34" s="219"/>
    </row>
    <row r="35" spans="1:7" ht="13.5" customHeight="1">
      <c r="A35" s="779" t="s">
        <v>351</v>
      </c>
      <c r="B35" s="215" t="s">
        <v>1525</v>
      </c>
      <c r="C35" s="220">
        <f ca="1">ROUND(C34*F35,0)</f>
        <v>7805544</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6876688</v>
      </c>
      <c r="D36" s="220"/>
      <c r="E36" s="220"/>
      <c r="F36" s="259">
        <f>'数据-取费表'!B34</f>
        <v>0.05</v>
      </c>
      <c r="G36" s="260" t="s">
        <v>1528</v>
      </c>
    </row>
    <row r="37" spans="1:7" s="258" customFormat="1" ht="13.5" customHeight="1">
      <c r="A37" s="779" t="s">
        <v>353</v>
      </c>
      <c r="B37" s="215" t="s">
        <v>1529</v>
      </c>
      <c r="C37" s="249">
        <f ca="1">ROUND(E37*D37,0)</f>
        <v>8115162</v>
      </c>
      <c r="D37" s="217">
        <f ca="1">D19</f>
        <v>40575.81</v>
      </c>
      <c r="E37" s="249">
        <f>'数据-取费表'!B35</f>
        <v>200</v>
      </c>
      <c r="F37" s="259"/>
      <c r="G37" s="261"/>
    </row>
    <row r="38" spans="1:7" ht="13.5" customHeight="1">
      <c r="A38" s="779" t="s">
        <v>354</v>
      </c>
      <c r="B38" s="215" t="s">
        <v>1531</v>
      </c>
      <c r="C38" s="220">
        <f ca="1">ROUND(C34*F38,0)</f>
        <v>2341663</v>
      </c>
      <c r="D38" s="220"/>
      <c r="E38" s="220"/>
      <c r="F38" s="259">
        <f>'数据-取费表'!B36</f>
        <v>1.4999999999999999E-2</v>
      </c>
      <c r="G38" s="219" t="s">
        <v>1526</v>
      </c>
    </row>
    <row r="39" spans="1:7" s="214" customFormat="1" ht="13.5" customHeight="1">
      <c r="A39" s="255" t="s">
        <v>1532</v>
      </c>
      <c r="B39" s="210" t="s">
        <v>1533</v>
      </c>
      <c r="C39" s="232">
        <f ca="1">ROUND(C33*F20,0)</f>
        <v>3624999</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6378184</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6253122</v>
      </c>
      <c r="D42" s="238"/>
      <c r="E42" s="238"/>
      <c r="F42" s="239"/>
      <c r="G42" s="3685" t="s">
        <v>1589</v>
      </c>
    </row>
    <row r="43" spans="1:7" ht="13.5" customHeight="1">
      <c r="A43" s="779" t="s">
        <v>347</v>
      </c>
      <c r="B43" s="215" t="s">
        <v>1543</v>
      </c>
      <c r="C43" s="238">
        <f ca="1">ROUND(IF('数据-取费表'!B22&lt;=1,C39*F22*'数据-取费表'!B20/2,C39*(POWER((1+F22),'数据-取费表'!B20/2)-1)),0)</f>
        <v>125062</v>
      </c>
      <c r="D43" s="238"/>
      <c r="E43" s="238"/>
      <c r="F43" s="239"/>
      <c r="G43" s="3686"/>
    </row>
    <row r="44" spans="1:7" ht="13.5" customHeight="1">
      <c r="A44" s="779" t="s">
        <v>348</v>
      </c>
      <c r="B44" s="215" t="s">
        <v>1544</v>
      </c>
      <c r="C44" s="238">
        <f ca="1">ROUND(IF('数据-取费表'!B22&lt;=1,C40*F22*'数据-取费表'!B20/2,C40*(POWER((1+F22),'数据-取费表'!B20/2)-1)),4)</f>
        <v>6.9999999999999999E-4</v>
      </c>
      <c r="D44" s="238"/>
      <c r="E44" s="238"/>
      <c r="F44" s="239"/>
      <c r="G44" s="3687"/>
    </row>
    <row r="45" spans="1:7" s="214" customFormat="1" ht="13.5" customHeight="1">
      <c r="A45" s="255" t="s">
        <v>1545</v>
      </c>
      <c r="B45" s="244" t="s">
        <v>1511</v>
      </c>
      <c r="C45" s="245">
        <f ca="1">C46</f>
        <v>27731239</v>
      </c>
      <c r="D45" s="235">
        <f ca="1">C47</f>
        <v>3.0000000000000001E-3</v>
      </c>
      <c r="E45" s="236" t="s">
        <v>1537</v>
      </c>
      <c r="F45" s="246">
        <f ca="1">F27</f>
        <v>0.15</v>
      </c>
      <c r="G45" s="247" t="s">
        <v>1546</v>
      </c>
    </row>
    <row r="46" spans="1:7" s="214" customFormat="1" ht="13.5" customHeight="1">
      <c r="A46" s="779" t="s">
        <v>346</v>
      </c>
      <c r="B46" s="248" t="s">
        <v>1547</v>
      </c>
      <c r="C46" s="249">
        <f ca="1">ROUND((C33+C39)*F27,0)</f>
        <v>27731239</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237021700</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237021700</v>
      </c>
      <c r="D51" s="232"/>
      <c r="E51" s="232"/>
      <c r="F51" s="264"/>
      <c r="G51" s="234" t="s">
        <v>1558</v>
      </c>
    </row>
    <row r="52" spans="1:7" s="208" customFormat="1" ht="16.5" thickBot="1">
      <c r="A52" s="265" t="s">
        <v>1559</v>
      </c>
      <c r="B52" s="266"/>
      <c r="C52" s="267">
        <f ca="1">C31+C51</f>
        <v>1194373589</v>
      </c>
      <c r="D52" s="266"/>
      <c r="E52" s="266"/>
      <c r="F52" s="266"/>
      <c r="G52" s="268"/>
    </row>
    <row r="55" spans="1:7" ht="15">
      <c r="B55" s="270" t="s">
        <v>1560</v>
      </c>
      <c r="C55" s="271"/>
    </row>
    <row r="56" spans="1:7">
      <c r="B56" s="273" t="s">
        <v>800</v>
      </c>
      <c r="C56" s="275">
        <f ca="1">1-C57</f>
        <v>0.80200000000000005</v>
      </c>
    </row>
    <row r="57" spans="1:7">
      <c r="B57" s="273" t="s">
        <v>801</v>
      </c>
      <c r="C57" s="274">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
  <sheetViews>
    <sheetView topLeftCell="D16" zoomScale="80" zoomScaleNormal="80" workbookViewId="0">
      <selection activeCell="J31" sqref="J31"/>
    </sheetView>
  </sheetViews>
  <sheetFormatPr defaultRowHeight="14.25"/>
  <cols>
    <col min="1" max="1" width="28.5" style="3474" customWidth="1"/>
    <col min="2" max="2" width="6.25" style="3474" customWidth="1"/>
    <col min="3" max="3" width="20" style="3474" customWidth="1"/>
    <col min="4" max="4" width="9" style="3474" customWidth="1"/>
    <col min="5" max="6" width="10.875" style="3474" customWidth="1"/>
    <col min="7" max="7" width="11.125" style="3474" customWidth="1"/>
    <col min="8" max="8" width="8.375" style="3474" customWidth="1"/>
    <col min="9" max="9" width="20" style="3474" customWidth="1"/>
    <col min="10" max="11" width="10.75" style="3474" customWidth="1"/>
    <col min="12" max="12" width="9.5" style="3474" customWidth="1"/>
    <col min="13" max="13" width="7.625" style="3474" customWidth="1"/>
    <col min="14" max="14" width="15.375" style="3474" customWidth="1"/>
    <col min="15" max="15" width="9.875" style="3474" customWidth="1"/>
    <col min="16" max="16" width="10.5" style="3474" customWidth="1"/>
    <col min="17" max="17" width="13.25" style="3474" customWidth="1"/>
    <col min="18" max="18" width="10.375" style="3474" customWidth="1"/>
    <col min="19" max="19" width="10.25" style="3474" customWidth="1"/>
    <col min="20" max="20" width="8.5" style="3474" customWidth="1"/>
    <col min="21" max="21" width="7.875" style="3474" customWidth="1"/>
    <col min="22" max="22" width="13.25" style="3474" customWidth="1"/>
    <col min="23" max="23" width="10.25" style="3474" customWidth="1"/>
    <col min="24" max="24" width="8.125" style="3474" customWidth="1"/>
    <col min="25" max="25" width="6.25" style="3474" customWidth="1"/>
    <col min="26" max="26" width="6.625" style="3474" customWidth="1"/>
    <col min="27" max="27" width="20" style="3474" customWidth="1"/>
    <col min="28" max="16384" width="9" style="3474"/>
  </cols>
  <sheetData>
    <row r="1" spans="1:26">
      <c r="A1" s="3474" t="s">
        <v>3437</v>
      </c>
      <c r="B1" s="3474" t="s">
        <v>3438</v>
      </c>
      <c r="C1" s="3474" t="s">
        <v>3439</v>
      </c>
      <c r="D1" s="3474" t="s">
        <v>3440</v>
      </c>
      <c r="E1" s="3474" t="s">
        <v>3441</v>
      </c>
      <c r="F1" s="3474" t="s">
        <v>3442</v>
      </c>
      <c r="G1" s="3474" t="s">
        <v>3443</v>
      </c>
      <c r="H1" s="3474" t="s">
        <v>3444</v>
      </c>
      <c r="I1" s="3474" t="s">
        <v>3445</v>
      </c>
      <c r="J1" s="3474" t="s">
        <v>3446</v>
      </c>
      <c r="K1" s="3474" t="s">
        <v>3447</v>
      </c>
      <c r="L1" s="3474" t="s">
        <v>3448</v>
      </c>
      <c r="M1" s="3474" t="s">
        <v>3449</v>
      </c>
      <c r="N1" s="3474" t="s">
        <v>3450</v>
      </c>
      <c r="O1" s="3474" t="s">
        <v>3451</v>
      </c>
      <c r="P1" s="3474" t="s">
        <v>3452</v>
      </c>
      <c r="Q1" s="3474" t="s">
        <v>3453</v>
      </c>
      <c r="R1" s="3474" t="s">
        <v>3454</v>
      </c>
      <c r="S1" s="3474" t="s">
        <v>3455</v>
      </c>
      <c r="T1" s="3474" t="s">
        <v>3456</v>
      </c>
      <c r="U1" s="3474" t="s">
        <v>3457</v>
      </c>
      <c r="V1" s="3474" t="s">
        <v>3458</v>
      </c>
      <c r="W1" s="3474" t="s">
        <v>3459</v>
      </c>
      <c r="X1" s="3474" t="s">
        <v>3460</v>
      </c>
      <c r="Y1" s="3474" t="s">
        <v>3461</v>
      </c>
      <c r="Z1" s="3474" t="s">
        <v>3462</v>
      </c>
    </row>
    <row r="2" spans="1:26">
      <c r="A2" s="3474" t="s">
        <v>3463</v>
      </c>
      <c r="B2" s="3474" t="s">
        <v>3378</v>
      </c>
      <c r="C2" s="3474" t="s">
        <v>3464</v>
      </c>
      <c r="D2" s="3474" t="s">
        <v>3465</v>
      </c>
      <c r="E2" s="3474">
        <v>69837.09</v>
      </c>
      <c r="F2" s="3474">
        <v>104756</v>
      </c>
      <c r="G2" s="3474">
        <v>1.5</v>
      </c>
      <c r="H2" s="3474" t="s">
        <v>3466</v>
      </c>
      <c r="I2" s="3474" t="s">
        <v>3467</v>
      </c>
      <c r="J2" s="3474" t="s">
        <v>3468</v>
      </c>
      <c r="K2" s="3475">
        <v>45195.000497685185</v>
      </c>
      <c r="L2" s="3475">
        <v>45195.000497685185</v>
      </c>
      <c r="M2" s="3474" t="s">
        <v>3469</v>
      </c>
      <c r="N2" s="3474" t="s">
        <v>3470</v>
      </c>
      <c r="O2" s="3474">
        <v>120000</v>
      </c>
      <c r="P2" s="3474">
        <v>24000</v>
      </c>
      <c r="Q2" s="3474" t="s">
        <v>633</v>
      </c>
      <c r="R2" s="3474">
        <v>120000</v>
      </c>
      <c r="S2" s="3474">
        <v>17182.84</v>
      </c>
      <c r="T2" s="3474">
        <v>11455</v>
      </c>
      <c r="U2" s="3474">
        <v>0</v>
      </c>
      <c r="V2" s="3474" t="s">
        <v>3471</v>
      </c>
      <c r="W2" s="3474">
        <v>138000</v>
      </c>
      <c r="X2" s="3474" t="s">
        <v>3472</v>
      </c>
      <c r="Y2" s="3474" t="s">
        <v>3473</v>
      </c>
      <c r="Z2" s="3474" t="s">
        <v>3474</v>
      </c>
    </row>
    <row r="3" spans="1:26">
      <c r="A3" s="3474" t="s">
        <v>3475</v>
      </c>
      <c r="B3" s="3474" t="s">
        <v>3378</v>
      </c>
      <c r="C3" s="3474" t="s">
        <v>3476</v>
      </c>
      <c r="D3" s="3474" t="s">
        <v>3465</v>
      </c>
      <c r="E3" s="3474">
        <v>45954.22</v>
      </c>
      <c r="F3" s="3474">
        <v>91908.44</v>
      </c>
      <c r="G3" s="3474">
        <v>2</v>
      </c>
      <c r="H3" s="3474" t="s">
        <v>3466</v>
      </c>
      <c r="I3" s="3474" t="s">
        <v>3467</v>
      </c>
      <c r="J3" s="3474" t="s">
        <v>3468</v>
      </c>
      <c r="K3" s="3475">
        <v>45141.000497685185</v>
      </c>
      <c r="L3" s="3475">
        <v>45141.000497685185</v>
      </c>
      <c r="M3" s="3474" t="s">
        <v>3469</v>
      </c>
      <c r="N3" s="3474" t="s">
        <v>3477</v>
      </c>
      <c r="O3" s="3474">
        <v>250000</v>
      </c>
      <c r="P3" s="3474">
        <v>50000</v>
      </c>
      <c r="Q3" s="3474" t="s">
        <v>633</v>
      </c>
      <c r="R3" s="3474">
        <v>287500</v>
      </c>
      <c r="S3" s="3474">
        <v>62562.26</v>
      </c>
      <c r="T3" s="3474">
        <v>31281</v>
      </c>
      <c r="U3" s="3474">
        <v>15</v>
      </c>
      <c r="V3" s="3474" t="s">
        <v>3471</v>
      </c>
      <c r="W3" s="3474">
        <v>287500</v>
      </c>
      <c r="X3" s="3474" t="s">
        <v>3478</v>
      </c>
      <c r="Y3" s="3474">
        <v>59000</v>
      </c>
      <c r="Z3" s="3474">
        <v>59000</v>
      </c>
    </row>
    <row r="4" spans="1:26">
      <c r="A4" s="3474" t="s">
        <v>3479</v>
      </c>
      <c r="B4" s="3474" t="s">
        <v>3378</v>
      </c>
      <c r="C4" s="3474" t="s">
        <v>3480</v>
      </c>
      <c r="D4" s="3474" t="s">
        <v>3465</v>
      </c>
      <c r="E4" s="3474">
        <v>57292.65</v>
      </c>
      <c r="F4" s="3474">
        <v>134221.63</v>
      </c>
      <c r="G4" s="3474" t="s">
        <v>3481</v>
      </c>
      <c r="H4" s="3474" t="s">
        <v>3466</v>
      </c>
      <c r="I4" s="3474" t="s">
        <v>3482</v>
      </c>
      <c r="J4" s="3474" t="s">
        <v>3468</v>
      </c>
      <c r="K4" s="3475">
        <v>45132.000497685185</v>
      </c>
      <c r="L4" s="3475">
        <v>45132.000497685185</v>
      </c>
      <c r="M4" s="3474" t="s">
        <v>3469</v>
      </c>
      <c r="N4" s="3474" t="s">
        <v>3483</v>
      </c>
      <c r="O4" s="3474">
        <v>470000</v>
      </c>
      <c r="P4" s="3474">
        <v>94000</v>
      </c>
      <c r="Q4" s="3474" t="s">
        <v>3484</v>
      </c>
      <c r="R4" s="3474">
        <v>540500</v>
      </c>
      <c r="S4" s="3474">
        <v>94340.19</v>
      </c>
      <c r="T4" s="3474">
        <v>40269</v>
      </c>
      <c r="U4" s="3474">
        <v>15</v>
      </c>
      <c r="V4" s="3474" t="s">
        <v>3471</v>
      </c>
      <c r="W4" s="3474">
        <v>540500</v>
      </c>
      <c r="X4" s="3474" t="s">
        <v>3478</v>
      </c>
      <c r="Y4" s="3474">
        <v>66000</v>
      </c>
      <c r="Z4" s="3474">
        <v>66000</v>
      </c>
    </row>
    <row r="5" spans="1:26">
      <c r="A5" s="3474" t="s">
        <v>3485</v>
      </c>
      <c r="B5" s="3474" t="s">
        <v>3378</v>
      </c>
      <c r="C5" s="3474" t="s">
        <v>3486</v>
      </c>
      <c r="D5" s="3474" t="s">
        <v>3465</v>
      </c>
      <c r="E5" s="3474">
        <v>31558.240000000002</v>
      </c>
      <c r="F5" s="3474">
        <v>88363.07</v>
      </c>
      <c r="G5" s="3474" t="s">
        <v>3487</v>
      </c>
      <c r="H5" s="3474" t="s">
        <v>3466</v>
      </c>
      <c r="I5" s="3474" t="s">
        <v>3467</v>
      </c>
      <c r="J5" s="3474" t="s">
        <v>3468</v>
      </c>
      <c r="K5" s="3475">
        <v>45107.000497685185</v>
      </c>
      <c r="L5" s="3475">
        <v>45107.000497685185</v>
      </c>
      <c r="M5" s="3474" t="s">
        <v>3469</v>
      </c>
      <c r="N5" s="3474" t="s">
        <v>3488</v>
      </c>
      <c r="O5" s="3474">
        <v>88100</v>
      </c>
      <c r="P5" s="3474">
        <v>18000</v>
      </c>
      <c r="Q5" s="3474" t="s">
        <v>3489</v>
      </c>
      <c r="R5" s="3474">
        <v>88100</v>
      </c>
      <c r="S5" s="3474">
        <v>27916.63</v>
      </c>
      <c r="T5" s="3474">
        <v>9970</v>
      </c>
      <c r="U5" s="3474">
        <v>0</v>
      </c>
      <c r="V5" s="3474" t="s">
        <v>3471</v>
      </c>
      <c r="W5" s="3474">
        <v>101315</v>
      </c>
      <c r="X5" s="3474" t="s">
        <v>3472</v>
      </c>
      <c r="Y5" s="3474">
        <v>27000</v>
      </c>
      <c r="Z5" s="3474">
        <v>27000</v>
      </c>
    </row>
    <row r="6" spans="1:26" s="3476" customFormat="1">
      <c r="A6" s="3476" t="s">
        <v>3490</v>
      </c>
      <c r="B6" s="3476" t="s">
        <v>3378</v>
      </c>
      <c r="C6" s="3476" t="s">
        <v>3491</v>
      </c>
      <c r="D6" s="3476" t="s">
        <v>3465</v>
      </c>
      <c r="E6" s="3476">
        <v>27822.39</v>
      </c>
      <c r="F6" s="3476">
        <v>44515.82</v>
      </c>
      <c r="G6" s="3476">
        <v>1.6</v>
      </c>
      <c r="H6" s="3476" t="s">
        <v>3466</v>
      </c>
      <c r="I6" s="3476" t="s">
        <v>3467</v>
      </c>
      <c r="J6" s="3476" t="s">
        <v>3468</v>
      </c>
      <c r="K6" s="3477">
        <v>45097.000497685185</v>
      </c>
      <c r="L6" s="3477">
        <v>45097.000497685185</v>
      </c>
      <c r="M6" s="3476" t="s">
        <v>3469</v>
      </c>
      <c r="N6" s="3476" t="s">
        <v>3492</v>
      </c>
      <c r="O6" s="3476">
        <v>100000</v>
      </c>
      <c r="P6" s="3476">
        <v>20000</v>
      </c>
      <c r="Q6" s="3476" t="s">
        <v>633</v>
      </c>
      <c r="R6" s="3476">
        <v>100000</v>
      </c>
      <c r="S6" s="3476">
        <v>35942.269999999997</v>
      </c>
      <c r="T6" s="3476">
        <v>22464</v>
      </c>
      <c r="U6" s="3476">
        <v>0</v>
      </c>
      <c r="V6" s="3476" t="s">
        <v>3493</v>
      </c>
      <c r="W6" s="3476">
        <v>115000</v>
      </c>
      <c r="X6" s="3476" t="s">
        <v>3472</v>
      </c>
      <c r="Y6" s="3476">
        <v>50000</v>
      </c>
      <c r="Z6" s="3476">
        <v>50000</v>
      </c>
    </row>
    <row r="7" spans="1:26">
      <c r="A7" s="3474" t="s">
        <v>3494</v>
      </c>
      <c r="B7" s="3474" t="s">
        <v>3378</v>
      </c>
      <c r="C7" s="3474" t="s">
        <v>3495</v>
      </c>
      <c r="D7" s="3474" t="s">
        <v>3465</v>
      </c>
      <c r="E7" s="3474">
        <v>45880.63</v>
      </c>
      <c r="F7" s="3474">
        <v>100937.39</v>
      </c>
      <c r="G7" s="3474">
        <v>2.2000000000000002</v>
      </c>
      <c r="H7" s="3474" t="s">
        <v>3466</v>
      </c>
      <c r="I7" s="3474" t="s">
        <v>3467</v>
      </c>
      <c r="J7" s="3474" t="s">
        <v>3468</v>
      </c>
      <c r="K7" s="3475">
        <v>45097.000497685185</v>
      </c>
      <c r="L7" s="3475">
        <v>45097.000497685185</v>
      </c>
      <c r="M7" s="3474" t="s">
        <v>3469</v>
      </c>
      <c r="N7" s="3474" t="s">
        <v>3496</v>
      </c>
      <c r="O7" s="3474">
        <v>259000</v>
      </c>
      <c r="P7" s="3474">
        <v>52000</v>
      </c>
      <c r="Q7" s="3474" t="s">
        <v>633</v>
      </c>
      <c r="R7" s="3474">
        <v>259000</v>
      </c>
      <c r="S7" s="3474">
        <v>56450.83</v>
      </c>
      <c r="T7" s="3474">
        <v>25659</v>
      </c>
      <c r="U7" s="3474">
        <v>0</v>
      </c>
      <c r="V7" s="3474" t="s">
        <v>3493</v>
      </c>
      <c r="W7" s="3474">
        <v>297850</v>
      </c>
      <c r="X7" s="3474" t="s">
        <v>3472</v>
      </c>
      <c r="Y7" s="3474">
        <v>55000</v>
      </c>
      <c r="Z7" s="3474">
        <v>55000</v>
      </c>
    </row>
    <row r="8" spans="1:26">
      <c r="A8" s="3474" t="s">
        <v>3497</v>
      </c>
      <c r="B8" s="3474" t="s">
        <v>3378</v>
      </c>
      <c r="C8" s="3474" t="s">
        <v>3498</v>
      </c>
      <c r="D8" s="3474" t="s">
        <v>3465</v>
      </c>
      <c r="E8" s="3474">
        <v>77391.100000000006</v>
      </c>
      <c r="F8" s="3474">
        <v>177999.53</v>
      </c>
      <c r="G8" s="3474">
        <v>2.2999999999999998</v>
      </c>
      <c r="H8" s="3474" t="s">
        <v>3466</v>
      </c>
      <c r="I8" s="3474" t="s">
        <v>3467</v>
      </c>
      <c r="J8" s="3474" t="s">
        <v>3468</v>
      </c>
      <c r="K8" s="3475">
        <v>45093.000497685185</v>
      </c>
      <c r="L8" s="3475">
        <v>45093.000497685185</v>
      </c>
      <c r="M8" s="3474" t="s">
        <v>3469</v>
      </c>
      <c r="N8" s="3474" t="s">
        <v>3499</v>
      </c>
      <c r="O8" s="3474">
        <v>688000</v>
      </c>
      <c r="P8" s="3474">
        <v>138000</v>
      </c>
      <c r="Q8" s="3474" t="s">
        <v>633</v>
      </c>
      <c r="R8" s="3474">
        <v>791200</v>
      </c>
      <c r="S8" s="3474">
        <v>102233.98</v>
      </c>
      <c r="T8" s="3474">
        <v>44450</v>
      </c>
      <c r="U8" s="3474">
        <v>15</v>
      </c>
      <c r="V8" s="3474" t="s">
        <v>3500</v>
      </c>
      <c r="W8" s="3474">
        <v>791200</v>
      </c>
      <c r="X8" s="3474" t="s">
        <v>3478</v>
      </c>
      <c r="Y8" s="3474">
        <v>77000</v>
      </c>
      <c r="Z8" s="3474">
        <v>77000</v>
      </c>
    </row>
    <row r="9" spans="1:26">
      <c r="A9" s="3474" t="s">
        <v>3501</v>
      </c>
      <c r="B9" s="3474" t="s">
        <v>3378</v>
      </c>
      <c r="C9" s="3474" t="s">
        <v>3502</v>
      </c>
      <c r="D9" s="3474" t="s">
        <v>3465</v>
      </c>
      <c r="E9" s="3474">
        <v>43400</v>
      </c>
      <c r="F9" s="3474">
        <v>86800</v>
      </c>
      <c r="G9" s="3474">
        <v>2</v>
      </c>
      <c r="H9" s="3474" t="s">
        <v>3466</v>
      </c>
      <c r="I9" s="3474" t="s">
        <v>3467</v>
      </c>
      <c r="J9" s="3474" t="s">
        <v>3468</v>
      </c>
      <c r="K9" s="3475">
        <v>45078.000497685185</v>
      </c>
      <c r="L9" s="3475">
        <v>45078.000497685185</v>
      </c>
      <c r="M9" s="3474" t="s">
        <v>3469</v>
      </c>
      <c r="N9" s="3474" t="s">
        <v>3503</v>
      </c>
      <c r="O9" s="3474">
        <v>287000</v>
      </c>
      <c r="P9" s="3474">
        <v>58000</v>
      </c>
      <c r="Q9" s="3474" t="s">
        <v>633</v>
      </c>
      <c r="R9" s="3474">
        <v>330050</v>
      </c>
      <c r="S9" s="3474">
        <v>76048.39</v>
      </c>
      <c r="T9" s="3474">
        <v>38024</v>
      </c>
      <c r="U9" s="3474">
        <v>15</v>
      </c>
      <c r="V9" s="3474" t="s">
        <v>3471</v>
      </c>
      <c r="W9" s="3474">
        <v>330050</v>
      </c>
      <c r="X9" s="3474" t="s">
        <v>3478</v>
      </c>
      <c r="Y9" s="3474">
        <v>58000</v>
      </c>
      <c r="Z9" s="3474">
        <v>58000</v>
      </c>
    </row>
    <row r="10" spans="1:26">
      <c r="A10" s="3474" t="s">
        <v>3504</v>
      </c>
      <c r="B10" s="3474" t="s">
        <v>3378</v>
      </c>
      <c r="C10" s="3474" t="s">
        <v>3505</v>
      </c>
      <c r="D10" s="3474" t="s">
        <v>3465</v>
      </c>
      <c r="E10" s="3474">
        <v>29561.58</v>
      </c>
      <c r="F10" s="3474">
        <v>65035.47</v>
      </c>
      <c r="G10" s="3474">
        <v>2.2000000000000002</v>
      </c>
      <c r="H10" s="3474" t="s">
        <v>3466</v>
      </c>
      <c r="I10" s="3474" t="s">
        <v>3467</v>
      </c>
      <c r="J10" s="3474" t="s">
        <v>3468</v>
      </c>
      <c r="K10" s="3475">
        <v>45044.000497685185</v>
      </c>
      <c r="L10" s="3475">
        <v>45044.000497685185</v>
      </c>
      <c r="M10" s="3474" t="s">
        <v>3469</v>
      </c>
      <c r="N10" s="3474" t="s">
        <v>3503</v>
      </c>
      <c r="O10" s="3474">
        <v>202000</v>
      </c>
      <c r="P10" s="3474">
        <v>41000</v>
      </c>
      <c r="Q10" s="3474" t="s">
        <v>3506</v>
      </c>
      <c r="R10" s="3474">
        <v>232000</v>
      </c>
      <c r="S10" s="3474">
        <v>78480.240000000005</v>
      </c>
      <c r="T10" s="3474">
        <v>35673</v>
      </c>
      <c r="U10" s="3474">
        <v>14.85</v>
      </c>
      <c r="V10" s="3474" t="s">
        <v>3507</v>
      </c>
      <c r="W10" s="3474">
        <v>232000</v>
      </c>
      <c r="X10" s="3474" t="s">
        <v>3478</v>
      </c>
      <c r="Y10" s="3474">
        <v>62000</v>
      </c>
      <c r="Z10" s="3474">
        <v>62000</v>
      </c>
    </row>
    <row r="11" spans="1:26">
      <c r="A11" s="3474" t="s">
        <v>3508</v>
      </c>
      <c r="B11" s="3474" t="s">
        <v>3378</v>
      </c>
      <c r="C11" s="3474" t="s">
        <v>3509</v>
      </c>
      <c r="D11" s="3474" t="s">
        <v>3465</v>
      </c>
      <c r="E11" s="3474">
        <v>59523.360000000001</v>
      </c>
      <c r="F11" s="3474">
        <v>130951.38</v>
      </c>
      <c r="G11" s="3474">
        <v>2.2000000000000002</v>
      </c>
      <c r="H11" s="3474" t="s">
        <v>3466</v>
      </c>
      <c r="I11" s="3474" t="s">
        <v>3510</v>
      </c>
      <c r="J11" s="3474" t="s">
        <v>3468</v>
      </c>
      <c r="K11" s="3475">
        <v>45039.000497685185</v>
      </c>
      <c r="L11" s="3475">
        <v>45039.000497685185</v>
      </c>
      <c r="M11" s="3474" t="s">
        <v>3469</v>
      </c>
      <c r="N11" s="3474" t="s">
        <v>3511</v>
      </c>
      <c r="O11" s="3474">
        <v>188205.82</v>
      </c>
      <c r="P11" s="3474">
        <v>57000</v>
      </c>
      <c r="Q11" s="3474" t="s">
        <v>633</v>
      </c>
      <c r="R11" s="3474">
        <v>188205.82</v>
      </c>
      <c r="S11" s="3474">
        <v>31618.81</v>
      </c>
      <c r="T11" s="3474">
        <v>14372</v>
      </c>
      <c r="U11" s="3474">
        <v>0</v>
      </c>
      <c r="V11" s="3474" t="s">
        <v>3512</v>
      </c>
      <c r="W11" s="3474" t="s">
        <v>3473</v>
      </c>
      <c r="X11" s="3474" t="s">
        <v>3474</v>
      </c>
      <c r="Y11" s="3474">
        <v>29000</v>
      </c>
      <c r="Z11" s="3474">
        <v>29000</v>
      </c>
    </row>
    <row r="12" spans="1:26">
      <c r="A12" s="3474" t="s">
        <v>3513</v>
      </c>
      <c r="B12" s="3474" t="s">
        <v>3378</v>
      </c>
      <c r="C12" s="3474" t="s">
        <v>3514</v>
      </c>
      <c r="D12" s="3474" t="s">
        <v>3465</v>
      </c>
      <c r="E12" s="3474">
        <v>87287.8</v>
      </c>
      <c r="F12" s="3474">
        <v>192033.17</v>
      </c>
      <c r="G12" s="3474">
        <v>2.2000000000000002</v>
      </c>
      <c r="H12" s="3474" t="s">
        <v>3466</v>
      </c>
      <c r="I12" s="3474" t="s">
        <v>3510</v>
      </c>
      <c r="J12" s="3474" t="s">
        <v>3468</v>
      </c>
      <c r="K12" s="3475">
        <v>45040.000497685185</v>
      </c>
      <c r="L12" s="3475">
        <v>45040.000497685185</v>
      </c>
      <c r="M12" s="3474" t="s">
        <v>3469</v>
      </c>
      <c r="N12" s="3474" t="s">
        <v>3515</v>
      </c>
      <c r="O12" s="3474">
        <v>275143.78999999998</v>
      </c>
      <c r="P12" s="3474">
        <v>83000</v>
      </c>
      <c r="Q12" s="3474" t="s">
        <v>633</v>
      </c>
      <c r="R12" s="3474">
        <v>275143.78999999998</v>
      </c>
      <c r="S12" s="3474">
        <v>31521.45</v>
      </c>
      <c r="T12" s="3474">
        <v>14328</v>
      </c>
      <c r="U12" s="3474">
        <v>0</v>
      </c>
      <c r="V12" s="3474" t="s">
        <v>3512</v>
      </c>
      <c r="W12" s="3474" t="s">
        <v>3473</v>
      </c>
      <c r="X12" s="3474" t="s">
        <v>3474</v>
      </c>
      <c r="Y12" s="3474">
        <v>29000</v>
      </c>
      <c r="Z12" s="3474" t="s">
        <v>3474</v>
      </c>
    </row>
    <row r="13" spans="1:26" s="3476" customFormat="1">
      <c r="A13" s="3476" t="s">
        <v>3516</v>
      </c>
      <c r="B13" s="3476" t="s">
        <v>3378</v>
      </c>
      <c r="C13" s="3476" t="s">
        <v>3517</v>
      </c>
      <c r="D13" s="3476" t="s">
        <v>3465</v>
      </c>
      <c r="E13" s="3476">
        <v>31231.38</v>
      </c>
      <c r="F13" s="3476">
        <v>78078.45</v>
      </c>
      <c r="G13" s="3476">
        <v>2.5</v>
      </c>
      <c r="H13" s="3476" t="s">
        <v>3466</v>
      </c>
      <c r="I13" s="3476" t="s">
        <v>3467</v>
      </c>
      <c r="J13" s="3476" t="s">
        <v>3518</v>
      </c>
      <c r="K13" s="3477">
        <v>44964.000497685185</v>
      </c>
      <c r="L13" s="3477">
        <v>44964.000497685185</v>
      </c>
      <c r="M13" s="3476" t="s">
        <v>3469</v>
      </c>
      <c r="N13" s="3476" t="s">
        <v>3519</v>
      </c>
      <c r="O13" s="3476">
        <v>172000</v>
      </c>
      <c r="P13" s="3476">
        <v>35000</v>
      </c>
      <c r="Q13" s="3476" t="s">
        <v>3520</v>
      </c>
      <c r="R13" s="3476">
        <v>172000</v>
      </c>
      <c r="S13" s="3476">
        <v>55072.81</v>
      </c>
      <c r="T13" s="3476">
        <v>22029</v>
      </c>
      <c r="U13" s="3476">
        <v>0</v>
      </c>
      <c r="V13" s="3476" t="s">
        <v>3493</v>
      </c>
      <c r="W13" s="3476">
        <v>197800</v>
      </c>
      <c r="X13" s="3476" t="s">
        <v>3472</v>
      </c>
      <c r="Y13" s="3476">
        <v>45000</v>
      </c>
      <c r="Z13" s="3476">
        <v>45000</v>
      </c>
    </row>
    <row r="14" spans="1:26" s="3476" customFormat="1">
      <c r="A14" s="3476" t="s">
        <v>3521</v>
      </c>
      <c r="B14" s="3476" t="s">
        <v>3378</v>
      </c>
      <c r="C14" s="3476" t="s">
        <v>3522</v>
      </c>
      <c r="D14" s="3476" t="s">
        <v>3465</v>
      </c>
      <c r="E14" s="3476">
        <v>23004.15</v>
      </c>
      <c r="F14" s="3476">
        <v>32205.81</v>
      </c>
      <c r="G14" s="3476">
        <v>1.4</v>
      </c>
      <c r="H14" s="3476" t="s">
        <v>3466</v>
      </c>
      <c r="I14" s="3476" t="s">
        <v>3467</v>
      </c>
      <c r="J14" s="3476" t="s">
        <v>3523</v>
      </c>
      <c r="K14" s="3477">
        <v>44893.000497685185</v>
      </c>
      <c r="L14" s="3477">
        <v>44893.000497685185</v>
      </c>
      <c r="M14" s="3476" t="s">
        <v>3469</v>
      </c>
      <c r="N14" s="3476" t="s">
        <v>3524</v>
      </c>
      <c r="O14" s="3476">
        <v>79000</v>
      </c>
      <c r="P14" s="3476">
        <v>16000</v>
      </c>
      <c r="Q14" s="3476" t="s">
        <v>3525</v>
      </c>
      <c r="R14" s="3476">
        <v>79000</v>
      </c>
      <c r="S14" s="3476">
        <v>34341.629999999997</v>
      </c>
      <c r="T14" s="3476">
        <v>24530</v>
      </c>
      <c r="U14" s="3476">
        <v>0</v>
      </c>
      <c r="V14" s="3476" t="s">
        <v>3471</v>
      </c>
      <c r="W14" s="3476">
        <v>90850</v>
      </c>
      <c r="X14" s="3476" t="s">
        <v>3472</v>
      </c>
      <c r="Y14" s="3476">
        <v>61000</v>
      </c>
      <c r="Z14" s="3476">
        <v>61000</v>
      </c>
    </row>
    <row r="15" spans="1:26">
      <c r="A15" s="3474" t="s">
        <v>3526</v>
      </c>
      <c r="B15" s="3474" t="s">
        <v>3378</v>
      </c>
      <c r="C15" s="3474" t="s">
        <v>3527</v>
      </c>
      <c r="D15" s="3474" t="s">
        <v>3465</v>
      </c>
      <c r="E15" s="3474">
        <v>24837.200000000001</v>
      </c>
      <c r="F15" s="3474">
        <v>49674.400000000001</v>
      </c>
      <c r="G15" s="3474">
        <v>2</v>
      </c>
      <c r="H15" s="3474" t="s">
        <v>3466</v>
      </c>
      <c r="I15" s="3474" t="s">
        <v>3467</v>
      </c>
      <c r="J15" s="3474" t="s">
        <v>3523</v>
      </c>
      <c r="K15" s="3475">
        <v>44893.000497685185</v>
      </c>
      <c r="L15" s="3475">
        <v>44893.000497685185</v>
      </c>
      <c r="M15" s="3474" t="s">
        <v>3469</v>
      </c>
      <c r="N15" s="3474" t="s">
        <v>3528</v>
      </c>
      <c r="O15" s="3474">
        <v>166000</v>
      </c>
      <c r="P15" s="3474">
        <v>34000</v>
      </c>
      <c r="Q15" s="3474" t="s">
        <v>3525</v>
      </c>
      <c r="R15" s="3474">
        <v>166900</v>
      </c>
      <c r="S15" s="3474">
        <v>67197.59</v>
      </c>
      <c r="T15" s="3474">
        <v>33599</v>
      </c>
      <c r="U15" s="3474">
        <v>0.54</v>
      </c>
      <c r="V15" s="3474" t="s">
        <v>3529</v>
      </c>
      <c r="W15" s="3474">
        <v>190900</v>
      </c>
      <c r="X15" s="3474" t="s">
        <v>3472</v>
      </c>
      <c r="Y15" s="3474">
        <v>65000</v>
      </c>
      <c r="Z15" s="3474">
        <v>65000</v>
      </c>
    </row>
    <row r="16" spans="1:26">
      <c r="A16" s="3474" t="s">
        <v>3530</v>
      </c>
      <c r="B16" s="3474" t="s">
        <v>3378</v>
      </c>
      <c r="C16" s="3474" t="s">
        <v>3531</v>
      </c>
      <c r="D16" s="3474" t="s">
        <v>3465</v>
      </c>
      <c r="E16" s="3474">
        <v>21625</v>
      </c>
      <c r="F16" s="3474">
        <v>43250</v>
      </c>
      <c r="G16" s="3474" t="s">
        <v>3532</v>
      </c>
      <c r="H16" s="3474" t="s">
        <v>3466</v>
      </c>
      <c r="I16" s="3474" t="s">
        <v>3467</v>
      </c>
      <c r="J16" s="3474" t="s">
        <v>3533</v>
      </c>
      <c r="K16" s="3475">
        <v>44826.000497685185</v>
      </c>
      <c r="L16" s="3475">
        <v>44826.000497685185</v>
      </c>
      <c r="M16" s="3474" t="s">
        <v>3469</v>
      </c>
      <c r="N16" s="3474" t="s">
        <v>3534</v>
      </c>
      <c r="O16" s="3474">
        <v>143000</v>
      </c>
      <c r="P16" s="3474">
        <v>29000</v>
      </c>
      <c r="Q16" s="3474" t="s">
        <v>3535</v>
      </c>
      <c r="R16" s="3474">
        <v>143000</v>
      </c>
      <c r="S16" s="3474">
        <v>66127.16</v>
      </c>
      <c r="T16" s="3474">
        <v>33064</v>
      </c>
      <c r="U16" s="3474">
        <v>0</v>
      </c>
      <c r="V16" s="3474" t="s">
        <v>3493</v>
      </c>
      <c r="W16" s="3474">
        <v>164450</v>
      </c>
      <c r="X16" s="3474" t="s">
        <v>3472</v>
      </c>
      <c r="Y16" s="3474" t="s">
        <v>3473</v>
      </c>
      <c r="Z16" s="3474">
        <v>59000</v>
      </c>
    </row>
    <row r="17" spans="1:26">
      <c r="A17" s="3474" t="s">
        <v>3536</v>
      </c>
      <c r="B17" s="3474" t="s">
        <v>3378</v>
      </c>
      <c r="C17" s="3474" t="s">
        <v>3537</v>
      </c>
      <c r="D17" s="3474" t="s">
        <v>3465</v>
      </c>
      <c r="E17" s="3474">
        <v>22115.200000000001</v>
      </c>
      <c r="F17" s="3474">
        <v>44230.400000000001</v>
      </c>
      <c r="G17" s="3474">
        <v>2</v>
      </c>
      <c r="H17" s="3474" t="s">
        <v>3466</v>
      </c>
      <c r="I17" s="3474" t="s">
        <v>3467</v>
      </c>
      <c r="J17" s="3474" t="s">
        <v>3538</v>
      </c>
      <c r="K17" s="3475">
        <v>44608.000497685185</v>
      </c>
      <c r="L17" s="3475">
        <v>44609.000497685185</v>
      </c>
      <c r="M17" s="3474" t="s">
        <v>3469</v>
      </c>
      <c r="N17" s="3474" t="s">
        <v>3539</v>
      </c>
      <c r="O17" s="3474">
        <v>146000</v>
      </c>
      <c r="P17" s="3474">
        <v>30000</v>
      </c>
      <c r="Q17" s="3474" t="s">
        <v>3540</v>
      </c>
      <c r="R17" s="3474">
        <v>147600</v>
      </c>
      <c r="S17" s="3474">
        <v>66741.429999999993</v>
      </c>
      <c r="T17" s="3474">
        <v>33371</v>
      </c>
      <c r="U17" s="3474">
        <v>1.1000000000000001</v>
      </c>
      <c r="V17" s="3474" t="s">
        <v>3512</v>
      </c>
      <c r="W17" s="3474">
        <v>153300</v>
      </c>
      <c r="X17" s="3474" t="s">
        <v>3472</v>
      </c>
      <c r="Y17" s="3474">
        <v>58000</v>
      </c>
      <c r="Z17" s="3474">
        <v>58000</v>
      </c>
    </row>
    <row r="18" spans="1:26">
      <c r="A18" s="3474" t="s">
        <v>3541</v>
      </c>
      <c r="B18" s="3474" t="s">
        <v>3378</v>
      </c>
      <c r="C18" s="3474" t="s">
        <v>3542</v>
      </c>
      <c r="D18" s="3474" t="s">
        <v>3465</v>
      </c>
      <c r="E18" s="3474">
        <v>32057.19</v>
      </c>
      <c r="F18" s="3474">
        <v>51292</v>
      </c>
      <c r="G18" s="3474">
        <v>1.6</v>
      </c>
      <c r="H18" s="3474" t="s">
        <v>3466</v>
      </c>
      <c r="I18" s="3474" t="s">
        <v>3467</v>
      </c>
      <c r="J18" s="3474" t="s">
        <v>3538</v>
      </c>
      <c r="K18" s="3475">
        <v>44608.000497685185</v>
      </c>
      <c r="L18" s="3475">
        <v>44608.000497685185</v>
      </c>
      <c r="M18" s="3474" t="s">
        <v>3469</v>
      </c>
      <c r="N18" s="3474" t="s">
        <v>3519</v>
      </c>
      <c r="O18" s="3474">
        <v>81000</v>
      </c>
      <c r="P18" s="3474">
        <v>17000</v>
      </c>
      <c r="Q18" s="3474" t="s">
        <v>3540</v>
      </c>
      <c r="R18" s="3474">
        <v>81000</v>
      </c>
      <c r="S18" s="3474">
        <v>25267.34</v>
      </c>
      <c r="T18" s="3474">
        <v>15792</v>
      </c>
      <c r="U18" s="3474">
        <v>0</v>
      </c>
      <c r="V18" s="3474" t="s">
        <v>3512</v>
      </c>
      <c r="W18" s="3474">
        <v>93150</v>
      </c>
      <c r="X18" s="3474" t="s">
        <v>3472</v>
      </c>
      <c r="Y18" s="3474">
        <v>45000</v>
      </c>
      <c r="Z18" s="3474">
        <v>45000</v>
      </c>
    </row>
    <row r="19" spans="1:26">
      <c r="A19" s="3474" t="s">
        <v>3543</v>
      </c>
      <c r="B19" s="3474" t="s">
        <v>3378</v>
      </c>
      <c r="C19" s="3474" t="s">
        <v>3544</v>
      </c>
      <c r="D19" s="3474" t="s">
        <v>3465</v>
      </c>
      <c r="E19" s="3474">
        <v>23519.8</v>
      </c>
      <c r="F19" s="3474">
        <v>58799.5</v>
      </c>
      <c r="G19" s="3474">
        <v>2.5</v>
      </c>
      <c r="H19" s="3474" t="s">
        <v>3466</v>
      </c>
      <c r="I19" s="3474" t="s">
        <v>3467</v>
      </c>
      <c r="J19" s="3474" t="s">
        <v>3538</v>
      </c>
      <c r="K19" s="3475">
        <v>44608.000497685185</v>
      </c>
      <c r="L19" s="3475">
        <v>44609.000497685185</v>
      </c>
      <c r="M19" s="3474" t="s">
        <v>3469</v>
      </c>
      <c r="N19" s="3474" t="s">
        <v>3545</v>
      </c>
      <c r="O19" s="3474">
        <v>223000</v>
      </c>
      <c r="P19" s="3474">
        <v>45000</v>
      </c>
      <c r="Q19" s="3474" t="s">
        <v>3540</v>
      </c>
      <c r="R19" s="3474">
        <v>248000</v>
      </c>
      <c r="S19" s="3474">
        <v>105443.07</v>
      </c>
      <c r="T19" s="3474">
        <v>42177</v>
      </c>
      <c r="U19" s="3474">
        <v>11.21</v>
      </c>
      <c r="V19" s="3474" t="s">
        <v>3512</v>
      </c>
      <c r="W19" s="3474">
        <v>256450</v>
      </c>
      <c r="X19" s="3474" t="s">
        <v>3472</v>
      </c>
      <c r="Y19" s="3474">
        <v>73000</v>
      </c>
      <c r="Z19" s="3474">
        <v>73000</v>
      </c>
    </row>
    <row r="20" spans="1:26">
      <c r="A20" s="3474" t="s">
        <v>3546</v>
      </c>
      <c r="B20" s="3474" t="s">
        <v>3378</v>
      </c>
      <c r="C20" s="3474" t="s">
        <v>3547</v>
      </c>
      <c r="D20" s="3474" t="s">
        <v>3465</v>
      </c>
      <c r="E20" s="3474">
        <v>45509.77</v>
      </c>
      <c r="F20" s="3474">
        <v>113774</v>
      </c>
      <c r="G20" s="3474">
        <v>2.5</v>
      </c>
      <c r="H20" s="3474" t="s">
        <v>3466</v>
      </c>
      <c r="I20" s="3474" t="s">
        <v>3467</v>
      </c>
      <c r="J20" s="3474" t="s">
        <v>3548</v>
      </c>
      <c r="K20" s="3475">
        <v>44554.000497685185</v>
      </c>
      <c r="L20" s="3475">
        <v>44557.000497685185</v>
      </c>
      <c r="M20" s="3474" t="s">
        <v>3469</v>
      </c>
      <c r="N20" s="3474" t="s">
        <v>3519</v>
      </c>
      <c r="O20" s="3474">
        <v>162000</v>
      </c>
      <c r="P20" s="3474">
        <v>33000</v>
      </c>
      <c r="Q20" s="3474" t="s">
        <v>3549</v>
      </c>
      <c r="R20" s="3474">
        <v>186300</v>
      </c>
      <c r="S20" s="3474">
        <v>40936.26</v>
      </c>
      <c r="T20" s="3474">
        <v>16375</v>
      </c>
      <c r="U20" s="3474">
        <v>15</v>
      </c>
      <c r="V20" s="3474" t="s">
        <v>3550</v>
      </c>
      <c r="W20" s="3474">
        <v>186300</v>
      </c>
      <c r="X20" s="3474" t="s">
        <v>3478</v>
      </c>
      <c r="Y20" s="3474">
        <v>45000</v>
      </c>
      <c r="Z20" s="3474">
        <v>45000</v>
      </c>
    </row>
    <row r="21" spans="1:26">
      <c r="A21" s="3474" t="s">
        <v>3551</v>
      </c>
      <c r="B21" s="3474" t="s">
        <v>3378</v>
      </c>
      <c r="C21" s="3474" t="s">
        <v>3552</v>
      </c>
      <c r="D21" s="3474" t="s">
        <v>3465</v>
      </c>
      <c r="E21" s="3474">
        <v>25036.44</v>
      </c>
      <c r="F21" s="3474">
        <v>67598.39</v>
      </c>
      <c r="G21" s="3474">
        <v>2.7</v>
      </c>
      <c r="H21" s="3474" t="s">
        <v>3466</v>
      </c>
      <c r="I21" s="3474" t="s">
        <v>3467</v>
      </c>
      <c r="J21" s="3474" t="s">
        <v>3548</v>
      </c>
      <c r="K21" s="3475">
        <v>44554.000497685185</v>
      </c>
      <c r="L21" s="3475">
        <v>44554.000497685185</v>
      </c>
      <c r="M21" s="3474" t="s">
        <v>3469</v>
      </c>
      <c r="N21" s="3474" t="s">
        <v>3553</v>
      </c>
      <c r="O21" s="3474">
        <v>146000</v>
      </c>
      <c r="P21" s="3474">
        <v>30000</v>
      </c>
      <c r="Q21" s="3474" t="s">
        <v>3549</v>
      </c>
      <c r="R21" s="3474">
        <v>148400</v>
      </c>
      <c r="S21" s="3474">
        <v>59273.599999999999</v>
      </c>
      <c r="T21" s="3474">
        <v>21953</v>
      </c>
      <c r="U21" s="3474">
        <v>1.64</v>
      </c>
      <c r="V21" s="3474" t="s">
        <v>3554</v>
      </c>
      <c r="W21" s="3474">
        <v>167900</v>
      </c>
      <c r="X21" s="3474" t="s">
        <v>3472</v>
      </c>
      <c r="Y21" s="3474">
        <v>61000</v>
      </c>
      <c r="Z21" s="3474">
        <v>61000</v>
      </c>
    </row>
    <row r="22" spans="1:26">
      <c r="A22" s="3474" t="s">
        <v>3555</v>
      </c>
      <c r="B22" s="3474" t="s">
        <v>3378</v>
      </c>
      <c r="C22" s="3474" t="s">
        <v>3556</v>
      </c>
      <c r="D22" s="3474" t="s">
        <v>3465</v>
      </c>
      <c r="E22" s="3474">
        <v>26791.21</v>
      </c>
      <c r="F22" s="3474">
        <v>53582.42</v>
      </c>
      <c r="G22" s="3474">
        <v>2</v>
      </c>
      <c r="H22" s="3474" t="s">
        <v>3466</v>
      </c>
      <c r="I22" s="3474" t="s">
        <v>3467</v>
      </c>
      <c r="J22" s="3474" t="s">
        <v>3548</v>
      </c>
      <c r="K22" s="3475">
        <v>44554.000497685185</v>
      </c>
      <c r="L22" s="3475">
        <v>44554.000497685185</v>
      </c>
      <c r="M22" s="3474" t="s">
        <v>3469</v>
      </c>
      <c r="N22" s="3474" t="s">
        <v>3557</v>
      </c>
      <c r="O22" s="3474">
        <v>115000</v>
      </c>
      <c r="P22" s="3474">
        <v>23000</v>
      </c>
      <c r="Q22" s="3474" t="s">
        <v>3549</v>
      </c>
      <c r="R22" s="3474">
        <v>116800</v>
      </c>
      <c r="S22" s="3474">
        <v>43596.38</v>
      </c>
      <c r="T22" s="3474">
        <v>21798</v>
      </c>
      <c r="U22" s="3474">
        <v>1.57</v>
      </c>
      <c r="V22" s="3474" t="s">
        <v>3558</v>
      </c>
      <c r="W22" s="3474">
        <v>132250</v>
      </c>
      <c r="X22" s="3474" t="s">
        <v>3472</v>
      </c>
      <c r="Y22" s="3474">
        <v>61000</v>
      </c>
      <c r="Z22" s="3474">
        <v>61000</v>
      </c>
    </row>
    <row r="23" spans="1:26">
      <c r="A23" s="3474" t="s">
        <v>3559</v>
      </c>
      <c r="B23" s="3474" t="s">
        <v>3378</v>
      </c>
      <c r="C23" s="3474" t="s">
        <v>3560</v>
      </c>
      <c r="D23" s="3474" t="s">
        <v>3465</v>
      </c>
      <c r="E23" s="3474">
        <v>40082.199999999997</v>
      </c>
      <c r="F23" s="3474">
        <v>60123.3</v>
      </c>
      <c r="G23" s="3474">
        <v>1.5</v>
      </c>
      <c r="H23" s="3474" t="s">
        <v>3466</v>
      </c>
      <c r="I23" s="3474" t="s">
        <v>3561</v>
      </c>
      <c r="J23" s="3474" t="s">
        <v>3468</v>
      </c>
      <c r="K23" s="3475">
        <v>44550.000497685185</v>
      </c>
      <c r="L23" s="3475">
        <v>44550.000497685185</v>
      </c>
      <c r="M23" s="3474" t="s">
        <v>3469</v>
      </c>
      <c r="N23" s="3474" t="s">
        <v>3562</v>
      </c>
      <c r="O23" s="3474">
        <v>81924.009999999995</v>
      </c>
      <c r="P23" s="3474">
        <v>16400</v>
      </c>
      <c r="Q23" s="3474" t="s">
        <v>633</v>
      </c>
      <c r="R23" s="3474">
        <v>81924.009999999995</v>
      </c>
      <c r="S23" s="3474">
        <v>20439</v>
      </c>
      <c r="T23" s="3474">
        <v>13626</v>
      </c>
      <c r="U23" s="3474">
        <v>0</v>
      </c>
      <c r="V23" s="3474">
        <v>50</v>
      </c>
      <c r="W23" s="3474" t="s">
        <v>3473</v>
      </c>
      <c r="X23" s="3474" t="s">
        <v>3474</v>
      </c>
      <c r="Y23" s="3474" t="s">
        <v>3473</v>
      </c>
      <c r="Z23" s="3474" t="s">
        <v>3474</v>
      </c>
    </row>
    <row r="24" spans="1:26">
      <c r="A24" s="3474" t="s">
        <v>3563</v>
      </c>
      <c r="B24" s="3474" t="s">
        <v>3378</v>
      </c>
      <c r="C24" s="3474" t="s">
        <v>3564</v>
      </c>
      <c r="D24" s="3474" t="s">
        <v>3465</v>
      </c>
      <c r="E24" s="3474">
        <v>71316.899999999994</v>
      </c>
      <c r="F24" s="3474">
        <v>178292.25</v>
      </c>
      <c r="G24" s="3474" t="s">
        <v>3565</v>
      </c>
      <c r="H24" s="3474" t="s">
        <v>3466</v>
      </c>
      <c r="I24" s="3474" t="s">
        <v>3467</v>
      </c>
      <c r="J24" s="3474" t="s">
        <v>3566</v>
      </c>
      <c r="K24" s="3475">
        <v>44481.000497685185</v>
      </c>
      <c r="L24" s="3475">
        <v>44481.000497685185</v>
      </c>
      <c r="M24" s="3474" t="s">
        <v>3469</v>
      </c>
      <c r="N24" s="3474" t="s">
        <v>3567</v>
      </c>
      <c r="O24" s="3474">
        <v>685000</v>
      </c>
      <c r="P24" s="3474">
        <v>137000</v>
      </c>
      <c r="Q24" s="3474" t="s">
        <v>3568</v>
      </c>
      <c r="R24" s="3474">
        <v>685000</v>
      </c>
      <c r="S24" s="3474">
        <v>96050.16</v>
      </c>
      <c r="T24" s="3474">
        <v>38420</v>
      </c>
      <c r="U24" s="3474">
        <v>0</v>
      </c>
      <c r="V24" s="3474" t="s">
        <v>3569</v>
      </c>
      <c r="W24" s="3474">
        <v>787750</v>
      </c>
      <c r="X24" s="3474" t="s">
        <v>3472</v>
      </c>
      <c r="Y24" s="3474">
        <v>66000</v>
      </c>
      <c r="Z24" s="3474">
        <v>66000</v>
      </c>
    </row>
    <row r="25" spans="1:26">
      <c r="A25" s="3474" t="s">
        <v>3570</v>
      </c>
      <c r="B25" s="3474" t="s">
        <v>3378</v>
      </c>
      <c r="C25" s="3474" t="s">
        <v>3571</v>
      </c>
      <c r="D25" s="3474" t="s">
        <v>3465</v>
      </c>
      <c r="E25" s="3474">
        <v>72250</v>
      </c>
      <c r="F25" s="3474">
        <v>79475</v>
      </c>
      <c r="G25" s="3474">
        <v>1.1000000000000001</v>
      </c>
      <c r="H25" s="3474" t="s">
        <v>3466</v>
      </c>
      <c r="I25" s="3474" t="s">
        <v>3467</v>
      </c>
      <c r="J25" s="3474" t="s">
        <v>3566</v>
      </c>
      <c r="K25" s="3475">
        <v>44481.000497685185</v>
      </c>
      <c r="L25" s="3475">
        <v>44481.000497685185</v>
      </c>
      <c r="M25" s="3474" t="s">
        <v>3469</v>
      </c>
      <c r="N25" s="3474" t="s">
        <v>3572</v>
      </c>
      <c r="O25" s="3474">
        <v>98300</v>
      </c>
      <c r="P25" s="3474">
        <v>20000</v>
      </c>
      <c r="Q25" s="3474" t="s">
        <v>3568</v>
      </c>
      <c r="R25" s="3474">
        <v>98300</v>
      </c>
      <c r="S25" s="3474">
        <v>13605.53</v>
      </c>
      <c r="T25" s="3474">
        <v>12369</v>
      </c>
      <c r="U25" s="3474">
        <v>0</v>
      </c>
      <c r="V25" s="3474" t="s">
        <v>3512</v>
      </c>
      <c r="W25" s="3474">
        <v>103215</v>
      </c>
      <c r="X25" s="3474" t="s">
        <v>3472</v>
      </c>
      <c r="Y25" s="3474">
        <v>27000</v>
      </c>
      <c r="Z25" s="3474">
        <v>27000</v>
      </c>
    </row>
    <row r="26" spans="1:26">
      <c r="A26" s="3474" t="s">
        <v>3573</v>
      </c>
      <c r="B26" s="3474" t="s">
        <v>3378</v>
      </c>
      <c r="C26" s="3474" t="s">
        <v>3574</v>
      </c>
      <c r="D26" s="3474" t="s">
        <v>3465</v>
      </c>
      <c r="E26" s="3474">
        <v>48407.51</v>
      </c>
      <c r="F26" s="3474">
        <v>96815.01</v>
      </c>
      <c r="G26" s="3474" t="s">
        <v>3532</v>
      </c>
      <c r="H26" s="3474" t="s">
        <v>3466</v>
      </c>
      <c r="I26" s="3474" t="s">
        <v>3467</v>
      </c>
      <c r="J26" s="3474" t="s">
        <v>3575</v>
      </c>
      <c r="K26" s="3475">
        <v>44324.000497685185</v>
      </c>
      <c r="L26" s="3475">
        <v>44324.000497685185</v>
      </c>
      <c r="M26" s="3474" t="s">
        <v>3469</v>
      </c>
      <c r="N26" s="3474" t="s">
        <v>3576</v>
      </c>
      <c r="O26" s="3474">
        <v>145800</v>
      </c>
      <c r="P26" s="3474">
        <v>30000</v>
      </c>
      <c r="Q26" s="3474" t="s">
        <v>3577</v>
      </c>
      <c r="R26" s="3474">
        <v>145800</v>
      </c>
      <c r="S26" s="3474">
        <v>30119.29</v>
      </c>
      <c r="T26" s="3474">
        <v>15060</v>
      </c>
      <c r="U26" s="3474">
        <v>0</v>
      </c>
      <c r="V26" s="3474" t="s">
        <v>3500</v>
      </c>
      <c r="W26" s="3474">
        <v>167600</v>
      </c>
      <c r="X26" s="3474" t="s">
        <v>3472</v>
      </c>
      <c r="Y26" s="3474" t="s">
        <v>3473</v>
      </c>
      <c r="Z26" s="3474" t="s">
        <v>3474</v>
      </c>
    </row>
    <row r="27" spans="1:26">
      <c r="A27" s="3474" t="s">
        <v>3578</v>
      </c>
      <c r="B27" s="3474" t="s">
        <v>3378</v>
      </c>
      <c r="C27" s="3474" t="s">
        <v>3579</v>
      </c>
      <c r="D27" s="3474" t="s">
        <v>3465</v>
      </c>
      <c r="E27" s="3474">
        <v>56860.73</v>
      </c>
      <c r="F27" s="3474">
        <v>133065.75</v>
      </c>
      <c r="G27" s="3474" t="s">
        <v>3580</v>
      </c>
      <c r="H27" s="3474" t="s">
        <v>3466</v>
      </c>
      <c r="I27" s="3474" t="s">
        <v>3467</v>
      </c>
      <c r="J27" s="3474" t="s">
        <v>3468</v>
      </c>
      <c r="K27" s="3475">
        <v>44222.000497685185</v>
      </c>
      <c r="L27" s="3475">
        <v>44222.000497685185</v>
      </c>
      <c r="M27" s="3474" t="s">
        <v>3469</v>
      </c>
      <c r="N27" s="3474" t="s">
        <v>3581</v>
      </c>
      <c r="O27" s="3474">
        <v>420000</v>
      </c>
      <c r="P27" s="3474">
        <v>85000</v>
      </c>
      <c r="Q27" s="3474" t="s">
        <v>3582</v>
      </c>
      <c r="R27" s="3474">
        <v>465700</v>
      </c>
      <c r="S27" s="3474">
        <v>81901.87</v>
      </c>
      <c r="T27" s="3474">
        <v>34998</v>
      </c>
      <c r="U27" s="3474">
        <v>10.88</v>
      </c>
      <c r="V27" s="3474" t="s">
        <v>3500</v>
      </c>
      <c r="W27" s="3474" t="s">
        <v>3473</v>
      </c>
      <c r="X27" s="3474" t="s">
        <v>3474</v>
      </c>
      <c r="Y27" s="3474" t="s">
        <v>3473</v>
      </c>
      <c r="Z27" s="3474" t="s">
        <v>3474</v>
      </c>
    </row>
    <row r="29" spans="1:26" s="3478" customFormat="1">
      <c r="A29" s="3740" t="s">
        <v>3437</v>
      </c>
      <c r="B29" s="3740" t="s">
        <v>3438</v>
      </c>
      <c r="C29" s="3740" t="s">
        <v>3439</v>
      </c>
      <c r="D29" s="3740" t="s">
        <v>3440</v>
      </c>
      <c r="E29" s="3740" t="s">
        <v>3441</v>
      </c>
      <c r="F29" s="3740" t="s">
        <v>3442</v>
      </c>
      <c r="G29" s="3740" t="s">
        <v>3443</v>
      </c>
      <c r="H29" s="3740" t="s">
        <v>3444</v>
      </c>
      <c r="I29" s="3740" t="s">
        <v>3445</v>
      </c>
      <c r="J29" s="3740" t="s">
        <v>3446</v>
      </c>
      <c r="K29" s="3740" t="s">
        <v>3448</v>
      </c>
      <c r="L29" s="3740" t="s">
        <v>3449</v>
      </c>
      <c r="M29" s="3740" t="s">
        <v>3450</v>
      </c>
      <c r="N29" s="3740" t="s">
        <v>3451</v>
      </c>
      <c r="O29" s="3740" t="s">
        <v>3452</v>
      </c>
      <c r="P29" s="3740" t="s">
        <v>3453</v>
      </c>
      <c r="Q29" s="3740" t="s">
        <v>3454</v>
      </c>
      <c r="R29" s="3740" t="s">
        <v>3456</v>
      </c>
      <c r="S29" s="3740" t="s">
        <v>3457</v>
      </c>
      <c r="T29" s="3740" t="s">
        <v>3459</v>
      </c>
      <c r="U29" s="3740" t="s">
        <v>3460</v>
      </c>
      <c r="V29" s="3740" t="s">
        <v>3591</v>
      </c>
      <c r="W29" s="3740" t="s">
        <v>3462</v>
      </c>
    </row>
    <row r="30" spans="1:26" s="3478" customFormat="1">
      <c r="A30" s="3740" t="s">
        <v>3590</v>
      </c>
      <c r="B30" s="3740" t="s">
        <v>3378</v>
      </c>
      <c r="C30" s="3740" t="s">
        <v>3589</v>
      </c>
      <c r="D30" s="3740" t="s">
        <v>3588</v>
      </c>
      <c r="E30" s="3740">
        <v>88404.4</v>
      </c>
      <c r="F30" s="3740">
        <v>173209</v>
      </c>
      <c r="G30" s="3740" t="s">
        <v>3587</v>
      </c>
      <c r="H30" s="3740" t="s">
        <v>3466</v>
      </c>
      <c r="I30" s="3740" t="s">
        <v>3586</v>
      </c>
      <c r="J30" s="3740" t="s">
        <v>3468</v>
      </c>
      <c r="K30" s="3741">
        <v>43733.000497685185</v>
      </c>
      <c r="L30" s="3740" t="s">
        <v>3469</v>
      </c>
      <c r="M30" s="3740" t="s">
        <v>3585</v>
      </c>
      <c r="N30" s="3740">
        <v>330000</v>
      </c>
      <c r="O30" s="3740">
        <v>66000</v>
      </c>
      <c r="P30" s="3740" t="s">
        <v>3584</v>
      </c>
      <c r="Q30" s="3740">
        <v>330000</v>
      </c>
      <c r="R30" s="3740">
        <v>19052</v>
      </c>
      <c r="S30" s="3740">
        <v>0</v>
      </c>
      <c r="T30" s="3740" t="s">
        <v>3473</v>
      </c>
      <c r="U30" s="3740" t="s">
        <v>3474</v>
      </c>
      <c r="V30" s="3740" t="s">
        <v>3474</v>
      </c>
      <c r="W30" s="3740" t="s">
        <v>3474</v>
      </c>
    </row>
  </sheetData>
  <mergeCells count="46">
    <mergeCell ref="A29"/>
    <mergeCell ref="B29"/>
    <mergeCell ref="C29"/>
    <mergeCell ref="D29"/>
    <mergeCell ref="E29"/>
    <mergeCell ref="F29"/>
    <mergeCell ref="G29"/>
    <mergeCell ref="M30"/>
    <mergeCell ref="N30"/>
    <mergeCell ref="O30"/>
    <mergeCell ref="G30"/>
    <mergeCell ref="H30"/>
    <mergeCell ref="I30"/>
    <mergeCell ref="F30"/>
    <mergeCell ref="H29"/>
    <mergeCell ref="I29"/>
    <mergeCell ref="O29"/>
    <mergeCell ref="P30"/>
    <mergeCell ref="Q30"/>
    <mergeCell ref="J29"/>
    <mergeCell ref="K29"/>
    <mergeCell ref="L29"/>
    <mergeCell ref="M29"/>
    <mergeCell ref="N29"/>
    <mergeCell ref="J30"/>
    <mergeCell ref="K30"/>
    <mergeCell ref="L30"/>
    <mergeCell ref="P29"/>
    <mergeCell ref="Q29"/>
    <mergeCell ref="A30"/>
    <mergeCell ref="B30"/>
    <mergeCell ref="C30"/>
    <mergeCell ref="D30"/>
    <mergeCell ref="E30"/>
    <mergeCell ref="W29"/>
    <mergeCell ref="R30"/>
    <mergeCell ref="S30"/>
    <mergeCell ref="T30"/>
    <mergeCell ref="U30"/>
    <mergeCell ref="V30"/>
    <mergeCell ref="W30"/>
    <mergeCell ref="R29"/>
    <mergeCell ref="S29"/>
    <mergeCell ref="T29"/>
    <mergeCell ref="U29"/>
    <mergeCell ref="V29"/>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802</v>
      </c>
      <c r="B2" s="1383">
        <f ca="1">C40+J29+L46</f>
        <v>2725</v>
      </c>
      <c r="C2" s="1384" t="s">
        <v>803</v>
      </c>
      <c r="D2" s="1384"/>
      <c r="E2" s="1385"/>
      <c r="F2" s="1386"/>
      <c r="G2" s="2701"/>
      <c r="H2" s="2690"/>
      <c r="I2" s="2690"/>
      <c r="J2" s="2690"/>
      <c r="K2" s="2691"/>
      <c r="L2" s="2690"/>
      <c r="M2" s="2690"/>
    </row>
    <row r="3" spans="1:37" ht="18" customHeight="1" thickBot="1">
      <c r="A3" s="1387" t="s">
        <v>804</v>
      </c>
      <c r="B3" s="1388">
        <f ca="1">IF(ISERROR(B2*10000/F43),0,ROUND(B2*10000/F43,0))</f>
        <v>3140</v>
      </c>
      <c r="C3" s="1384" t="s">
        <v>805</v>
      </c>
      <c r="D3" s="1384"/>
      <c r="E3" s="1385"/>
      <c r="F3" s="1386"/>
      <c r="G3" s="2701"/>
      <c r="H3" s="682"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8">
        <f ca="1">C6+C10+C12</f>
        <v>168</v>
      </c>
      <c r="D5" s="1361" t="s">
        <v>691</v>
      </c>
      <c r="E5" s="1069"/>
      <c r="F5" s="1070"/>
      <c r="G5" s="1381"/>
      <c r="H5" s="299">
        <v>1</v>
      </c>
      <c r="I5" s="300" t="s">
        <v>690</v>
      </c>
      <c r="J5" s="1068">
        <f ca="1">J6+J10+J12</f>
        <v>0</v>
      </c>
      <c r="K5" s="1361" t="s">
        <v>691</v>
      </c>
      <c r="L5" s="1069"/>
      <c r="M5" s="1070"/>
    </row>
    <row r="6" spans="1:37" ht="18" customHeight="1">
      <c r="A6" s="1067" t="s">
        <v>398</v>
      </c>
      <c r="B6" s="3744" t="s">
        <v>692</v>
      </c>
      <c r="C6" s="1072">
        <f ca="1">ROUND(F6*F8*F7*(1-F9)/10000,0)</f>
        <v>168</v>
      </c>
      <c r="D6" s="155" t="s">
        <v>2106</v>
      </c>
      <c r="E6" s="302" t="s">
        <v>694</v>
      </c>
      <c r="F6" s="303">
        <f ca="1">INDIRECT("'数据-取费表'!u"&amp;$G$1)</f>
        <v>170820</v>
      </c>
      <c r="G6" s="1381"/>
      <c r="H6" s="1067" t="s">
        <v>398</v>
      </c>
      <c r="I6" s="3744" t="s">
        <v>692</v>
      </c>
      <c r="J6" s="301">
        <f ca="1">ROUND(M6*M8*M7*(1-M9)/10000,0)</f>
        <v>0</v>
      </c>
      <c r="K6" s="155" t="s">
        <v>2105</v>
      </c>
      <c r="L6" s="302" t="s">
        <v>694</v>
      </c>
      <c r="M6" s="303">
        <f ca="1">INDIRECT("'数据-取费表'!z"&amp;$G$1)</f>
        <v>0</v>
      </c>
    </row>
    <row r="7" spans="1:37" ht="18" customHeight="1">
      <c r="A7" s="1071"/>
      <c r="B7" s="3745"/>
      <c r="C7" s="1073"/>
      <c r="D7" s="307"/>
      <c r="E7" s="1074" t="s">
        <v>695</v>
      </c>
      <c r="F7" s="303">
        <f ca="1">IF(INDIRECT("'数据-取费表'!ah"&amp;$G$1)="",INDIRECT("'数据-取费表'!k"&amp;$G$1),INDIRECT("'数据-取费表'!ah"&amp;$G$1))</f>
        <v>1</v>
      </c>
      <c r="G7" s="1381"/>
      <c r="H7" s="304"/>
      <c r="I7" s="3745"/>
      <c r="J7" s="306"/>
      <c r="K7" s="307"/>
      <c r="L7" s="302" t="s">
        <v>695</v>
      </c>
      <c r="M7" s="303">
        <f ca="1">F7</f>
        <v>1</v>
      </c>
    </row>
    <row r="8" spans="1:37" ht="18" customHeight="1">
      <c r="A8" s="304"/>
      <c r="B8" s="3745"/>
      <c r="C8" s="306"/>
      <c r="D8" s="307"/>
      <c r="E8" s="302" t="s">
        <v>696</v>
      </c>
      <c r="F8" s="303">
        <f ca="1">INDIRECT("'数据-取费表'!ai"&amp;$G$1)</f>
        <v>12</v>
      </c>
      <c r="G8" s="1381"/>
      <c r="H8" s="304"/>
      <c r="I8" s="3745"/>
      <c r="J8" s="306"/>
      <c r="K8" s="307"/>
      <c r="L8" s="302" t="s">
        <v>696</v>
      </c>
      <c r="M8" s="303">
        <f ca="1">INDIRECT("'数据-取费表'!ai"&amp;$G$1)</f>
        <v>12</v>
      </c>
    </row>
    <row r="9" spans="1:37" ht="18" customHeight="1">
      <c r="A9" s="304"/>
      <c r="B9" s="3746"/>
      <c r="C9" s="306"/>
      <c r="D9" s="307"/>
      <c r="E9" s="302" t="s">
        <v>697</v>
      </c>
      <c r="F9" s="312">
        <f ca="1">INDIRECT("'数据-取费表'!w"&amp;$G$1)</f>
        <v>0.18</v>
      </c>
      <c r="G9" s="1381"/>
      <c r="H9" s="304"/>
      <c r="I9" s="3746"/>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2114</v>
      </c>
      <c r="E10" s="313" t="s">
        <v>699</v>
      </c>
      <c r="F10" s="1114" t="s">
        <v>3399</v>
      </c>
      <c r="G10" s="1381"/>
      <c r="H10" s="1067" t="s">
        <v>402</v>
      </c>
      <c r="I10" s="1362" t="s">
        <v>698</v>
      </c>
      <c r="J10" s="301">
        <f ca="1">ROUND(IF(M10="押一",J6/12*M11,IF(M10="押二",J6/12*2*M11,IF(M10="押三",J6/12*3*M11,J11*M11))),0)</f>
        <v>0</v>
      </c>
      <c r="K10" s="1363" t="s">
        <v>2113</v>
      </c>
      <c r="L10" s="313" t="s">
        <v>699</v>
      </c>
      <c r="M10" s="1114"/>
    </row>
    <row r="11" spans="1:37" ht="18" customHeight="1">
      <c r="A11" s="308"/>
      <c r="B11" s="1364" t="s">
        <v>677</v>
      </c>
      <c r="C11" s="958"/>
      <c r="D11" s="1365"/>
      <c r="E11" s="313" t="s">
        <v>700</v>
      </c>
      <c r="F11" s="314">
        <f ca="1">'数据-取费表'!B39</f>
        <v>1.4999999999999999E-2</v>
      </c>
      <c r="G11" s="1381"/>
      <c r="H11" s="1075"/>
      <c r="I11" s="1364" t="s">
        <v>677</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4596</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INDIRECT("'数据-取费表'!m"&amp;$G$1)+INDIRECT("'数据-取费表'!t"&amp;$G$1)</f>
        <v>3419</v>
      </c>
      <c r="D14" s="1342" t="s">
        <v>706</v>
      </c>
      <c r="E14" s="1339"/>
      <c r="F14" s="319"/>
      <c r="G14" s="1381"/>
      <c r="H14" s="981" t="s">
        <v>398</v>
      </c>
      <c r="I14" s="302" t="s">
        <v>707</v>
      </c>
      <c r="J14" s="21">
        <f ca="1">C29</f>
        <v>4596</v>
      </c>
      <c r="K14" s="12"/>
      <c r="L14" s="806"/>
      <c r="M14" s="807"/>
    </row>
    <row r="15" spans="1:37" s="1394" customFormat="1" ht="18" customHeight="1" thickBot="1">
      <c r="A15" s="981" t="s">
        <v>399</v>
      </c>
      <c r="B15" s="302" t="s">
        <v>708</v>
      </c>
      <c r="C15" s="21">
        <f ca="1">ROUND(C14*F15,0)</f>
        <v>171</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1"/>
      <c r="H16" s="1077" t="s">
        <v>393</v>
      </c>
      <c r="I16" s="1078" t="s">
        <v>712</v>
      </c>
      <c r="J16" s="310">
        <f ca="1">ROUND(J17+J22+J23+J24,0)</f>
        <v>24</v>
      </c>
      <c r="K16" s="1085" t="s">
        <v>713</v>
      </c>
      <c r="L16" s="1086"/>
      <c r="M16" s="1070"/>
    </row>
    <row r="17" spans="1:37" s="1394" customFormat="1" ht="18" customHeight="1">
      <c r="A17" s="981" t="s">
        <v>679</v>
      </c>
      <c r="B17" s="302" t="s">
        <v>714</v>
      </c>
      <c r="C17" s="21">
        <f ca="1">ROUND(F17*(F43+INDIRECT("'数据-取费表'!S"&amp;$G$1))/10000,0)</f>
        <v>205</v>
      </c>
      <c r="D17" s="302" t="s">
        <v>715</v>
      </c>
      <c r="E17" s="302" t="s">
        <v>716</v>
      </c>
      <c r="F17" s="23">
        <f>'数据-取费表'!B35</f>
        <v>200</v>
      </c>
      <c r="G17" s="1393"/>
      <c r="H17" s="981" t="s">
        <v>398</v>
      </c>
      <c r="I17" s="302" t="s">
        <v>717</v>
      </c>
      <c r="J17" s="2311">
        <f ca="1">ROUND(IF(AND(项目基本情况!B11="自然人",项目基本情况!B10="北京市"),J6*M17/(1+'数据-取费表'!C42),J18+J19+J20),2)</f>
        <v>0.52</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51</v>
      </c>
      <c r="D18" s="302" t="s">
        <v>709</v>
      </c>
      <c r="E18" s="302" t="s">
        <v>710</v>
      </c>
      <c r="F18" s="322">
        <f>'数据-取费表'!B36</f>
        <v>1.4999999999999999E-2</v>
      </c>
      <c r="G18" s="1393"/>
      <c r="H18" s="981" t="s">
        <v>397</v>
      </c>
      <c r="I18" s="302" t="s">
        <v>721</v>
      </c>
      <c r="J18" s="21">
        <f ca="1">ROUND(J6*M18/(1+'数据-取费表'!C42),2)</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3846</v>
      </c>
      <c r="D19" s="131" t="s">
        <v>724</v>
      </c>
      <c r="E19" s="1357"/>
      <c r="F19" s="23"/>
      <c r="G19" s="1381"/>
      <c r="H19" s="981" t="s">
        <v>399</v>
      </c>
      <c r="I19" s="302" t="s">
        <v>725</v>
      </c>
      <c r="J19" s="21">
        <f ca="1">IF(K19="按租金收入计税",ROUND(J6*M19/(1+'数据-取费表'!C42),2),ROUND(C29*M19*0.7,2))</f>
        <v>0</v>
      </c>
      <c r="K19" s="1367" t="s">
        <v>3339</v>
      </c>
      <c r="L19" s="302" t="s">
        <v>710</v>
      </c>
      <c r="M19" s="322">
        <f>IF(K19="按租金收入计税",'数据-取费表'!B51,'数据-取费表'!B50)</f>
        <v>0.12</v>
      </c>
    </row>
    <row r="20" spans="1:37" s="1394" customFormat="1" ht="18" customHeight="1">
      <c r="A20" s="981" t="s">
        <v>402</v>
      </c>
      <c r="B20" s="302" t="s">
        <v>726</v>
      </c>
      <c r="C20" s="21">
        <f ca="1">ROUND(C19*F20,0)</f>
        <v>77</v>
      </c>
      <c r="D20" s="323" t="s">
        <v>727</v>
      </c>
      <c r="E20" s="302" t="s">
        <v>710</v>
      </c>
      <c r="F20" s="322">
        <f>'数据-取费表'!B37</f>
        <v>0.02</v>
      </c>
      <c r="G20" s="1393"/>
      <c r="H20" s="981" t="s">
        <v>678</v>
      </c>
      <c r="I20" s="155" t="s">
        <v>728</v>
      </c>
      <c r="J20" s="22">
        <f ca="1">ROUND(M20*M21/10000,2)</f>
        <v>0.52</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15</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ROUND(J14*M22,2)</f>
        <v>22.98</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136</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ROUND(J13*M23,2)</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ROUND(J5*M24,2)</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747</v>
      </c>
      <c r="B25" s="302" t="s">
        <v>748</v>
      </c>
      <c r="C25" s="21"/>
      <c r="D25" s="131" t="s">
        <v>749</v>
      </c>
      <c r="E25" s="1357"/>
      <c r="F25" s="23"/>
      <c r="G25" s="1381"/>
      <c r="H25" s="1077" t="s">
        <v>394</v>
      </c>
      <c r="I25" s="1092" t="s">
        <v>750</v>
      </c>
      <c r="J25" s="310">
        <f ca="1">J5-J16</f>
        <v>-24</v>
      </c>
      <c r="K25" s="1093" t="s">
        <v>751</v>
      </c>
      <c r="L25" s="1094"/>
      <c r="M25" s="1095"/>
    </row>
    <row r="26" spans="1:37">
      <c r="A26" s="981" t="s">
        <v>397</v>
      </c>
      <c r="B26" s="302" t="s">
        <v>752</v>
      </c>
      <c r="C26" s="21">
        <f ca="1">ROUND((C19+C20)*F26,0)</f>
        <v>196</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4596</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57</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ROUND(IF(AND(项目基本情况!B11="自然人",项目基本情况!B10="北京市"),C6*F31/(1+'数据-取费表'!C42),C32+C33+C34),2)</f>
        <v>28.52</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IF(项目基本情况!B11="自然人","——",ROUND(C6*F32/(1+'数据-取费表'!C42),2))</f>
        <v>8.8000000000000007</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IF(项目基本情况!B11="自然人","——",IF(D33="按租金收入计税",ROUND(C6*F33/(1+'数据-取费表'!C42),2),IF(D33="按房产原值计税",ROUND(C29*F33*0.7,2),INDIRECT("'数据-取费表'!Aj"&amp;$G$1))))</f>
        <v>19.2</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IF(项目基本情况!B11="自然人","——",ROUND(F34*F35/10000,2))</f>
        <v>0.52</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ROUND(C29*F36,2)</f>
        <v>22.98</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ROUND(C13*F37,2)</f>
        <v>4.5999999999999996</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ROUND(C5*F38,2)</f>
        <v>0.84</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111</v>
      </c>
      <c r="D39" s="1093" t="s">
        <v>771</v>
      </c>
      <c r="E39" s="1094"/>
      <c r="F39" s="1095"/>
      <c r="G39" s="1381"/>
      <c r="H39" s="2695"/>
      <c r="I39" s="1395"/>
      <c r="J39" s="1396"/>
      <c r="K39" s="2699"/>
      <c r="L39" s="2695"/>
      <c r="M39" s="2695"/>
    </row>
    <row r="40" spans="1:18" ht="18" customHeight="1">
      <c r="A40" s="299" t="s">
        <v>395</v>
      </c>
      <c r="B40" s="300" t="s">
        <v>772</v>
      </c>
      <c r="C40" s="301">
        <f ca="1">ROUND(C39*(1-((1+F42)/(1+F40))^F41)/(F40-F42),0)</f>
        <v>2725</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ROUND(C40*10000/F43,0)</f>
        <v>3140</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806</v>
      </c>
      <c r="P45" s="1458"/>
      <c r="Q45" s="1458"/>
      <c r="R45" s="1458"/>
    </row>
    <row r="46" spans="1:18" s="1381" customFormat="1" ht="13.5" thickBot="1">
      <c r="A46" s="1401" t="s">
        <v>807</v>
      </c>
      <c r="C46" s="1402">
        <f ca="1">C68-C40</f>
        <v>-3244</v>
      </c>
      <c r="D46" s="1403" t="str">
        <f>C2</f>
        <v>万元</v>
      </c>
      <c r="E46" s="1397"/>
      <c r="F46" s="1397"/>
      <c r="I46" s="1404" t="s">
        <v>808</v>
      </c>
      <c r="J46" s="1405"/>
      <c r="K46" s="1406"/>
      <c r="L46" s="1407" t="str">
        <f ca="1">IF(M47="住宅",0,IF(L48&gt;J51,L60,J60))</f>
        <v>0</v>
      </c>
      <c r="O46" s="1408" t="s">
        <v>809</v>
      </c>
      <c r="P46" s="1409" t="s">
        <v>810</v>
      </c>
      <c r="Q46" s="1410" t="s">
        <v>811</v>
      </c>
      <c r="R46" s="1410" t="s">
        <v>812</v>
      </c>
    </row>
    <row r="47" spans="1:18" s="1381" customFormat="1" ht="13.5" thickBot="1">
      <c r="A47" s="945" t="s">
        <v>685</v>
      </c>
      <c r="B47" s="977" t="s">
        <v>686</v>
      </c>
      <c r="C47" s="1115" t="s">
        <v>687</v>
      </c>
      <c r="D47" s="977" t="s">
        <v>688</v>
      </c>
      <c r="E47" s="1056" t="s">
        <v>689</v>
      </c>
      <c r="F47" s="1057"/>
      <c r="G47" s="721"/>
      <c r="I47" s="1411" t="s">
        <v>813</v>
      </c>
      <c r="J47" s="1412" t="s">
        <v>3400</v>
      </c>
      <c r="K47" s="1413" t="s">
        <v>814</v>
      </c>
      <c r="L47" s="1414">
        <f ca="1">INDIRECT("'数据-取费表'!d"&amp;$G$1)</f>
        <v>50</v>
      </c>
      <c r="M47" s="1377" t="str">
        <f>IF(ISNUMBER(FIND("住宅",C1)),"住宅","非住宅")</f>
        <v>非住宅</v>
      </c>
      <c r="O47" s="1415" t="s">
        <v>403</v>
      </c>
      <c r="P47" s="1416" t="s">
        <v>815</v>
      </c>
      <c r="Q47" s="1417">
        <f ca="1">C40+J29</f>
        <v>2725</v>
      </c>
      <c r="R47" s="1417" t="s">
        <v>816</v>
      </c>
    </row>
    <row r="48" spans="1:18" s="1381" customFormat="1" ht="28.5" thickBot="1">
      <c r="A48" s="1108" t="s">
        <v>438</v>
      </c>
      <c r="B48" s="300" t="s">
        <v>690</v>
      </c>
      <c r="C48" s="1356">
        <f ca="1">C49+C53+C55</f>
        <v>0</v>
      </c>
      <c r="D48" s="1110"/>
      <c r="E48" s="1111"/>
      <c r="F48" s="961"/>
      <c r="G48" s="721"/>
      <c r="H48" s="722"/>
      <c r="I48" s="1418" t="s">
        <v>817</v>
      </c>
      <c r="J48" s="1419" t="s">
        <v>3401</v>
      </c>
      <c r="K48" s="1420" t="s">
        <v>818</v>
      </c>
      <c r="L48" s="1421">
        <f ca="1">INDIRECT("'数据-取费表'!f"&amp;$G$1)</f>
        <v>46</v>
      </c>
      <c r="O48" s="1415" t="s">
        <v>404</v>
      </c>
      <c r="P48" s="1416" t="s">
        <v>819</v>
      </c>
      <c r="Q48" s="1417" t="str">
        <f ca="1">J60</f>
        <v>0</v>
      </c>
      <c r="R48" s="1417" t="s">
        <v>820</v>
      </c>
    </row>
    <row r="49" spans="1:18" s="1381" customFormat="1" ht="13.5" thickBot="1">
      <c r="A49" s="974" t="s">
        <v>439</v>
      </c>
      <c r="B49" s="1368" t="s">
        <v>777</v>
      </c>
      <c r="C49" s="1112">
        <f ca="1">ROUND(F49*F51*F50*(1-F52)/10000,0)</f>
        <v>0</v>
      </c>
      <c r="D49" s="1053" t="s">
        <v>2107</v>
      </c>
      <c r="E49" s="1369" t="s">
        <v>778</v>
      </c>
      <c r="F49" s="1058"/>
      <c r="G49" s="1422"/>
      <c r="H49" s="722"/>
      <c r="I49" s="1418" t="s">
        <v>821</v>
      </c>
      <c r="J49" s="1423"/>
      <c r="K49" s="1420" t="s">
        <v>822</v>
      </c>
      <c r="L49" s="1424"/>
      <c r="O49" s="1425" t="s">
        <v>405</v>
      </c>
      <c r="P49" s="1416" t="s">
        <v>823</v>
      </c>
      <c r="Q49" s="1417">
        <f ca="1">C29</f>
        <v>4596</v>
      </c>
      <c r="R49" s="1417" t="s">
        <v>816</v>
      </c>
    </row>
    <row r="50" spans="1:18" s="1381" customFormat="1" ht="13.5" thickBot="1">
      <c r="A50" s="975"/>
      <c r="B50" s="978"/>
      <c r="C50" s="1116"/>
      <c r="D50" s="952"/>
      <c r="E50" s="1054" t="s">
        <v>695</v>
      </c>
      <c r="F50" s="1055">
        <f ca="1">F7</f>
        <v>1</v>
      </c>
      <c r="H50" s="722"/>
      <c r="I50" s="1418" t="s">
        <v>824</v>
      </c>
      <c r="J50" s="1426">
        <f>SUMPRODUCT((I63:I65=J47)*(J62:L62=J48)*(J63:L65))</f>
        <v>60</v>
      </c>
      <c r="K50" s="1420" t="s">
        <v>825</v>
      </c>
      <c r="L50" s="1424"/>
      <c r="M50" s="1427"/>
      <c r="O50" s="1425" t="s">
        <v>406</v>
      </c>
      <c r="P50" s="1416" t="s">
        <v>826</v>
      </c>
      <c r="Q50" s="1428" t="e">
        <f ca="1">J58</f>
        <v>#VALUE!</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-4349</v>
      </c>
      <c r="M51" s="1433"/>
      <c r="O51" s="1425" t="s">
        <v>407</v>
      </c>
      <c r="P51" s="1416" t="s">
        <v>829</v>
      </c>
      <c r="Q51" s="1428">
        <f>J52</f>
        <v>0</v>
      </c>
      <c r="R51" s="1417"/>
    </row>
    <row r="52" spans="1:18" s="1381" customFormat="1" ht="13.5" thickBot="1">
      <c r="A52" s="976"/>
      <c r="B52" s="978"/>
      <c r="C52" s="979"/>
      <c r="D52" s="952"/>
      <c r="E52" s="980" t="s">
        <v>697</v>
      </c>
      <c r="F52" s="1052"/>
      <c r="I52" s="1434" t="s">
        <v>830</v>
      </c>
      <c r="J52" s="1435"/>
      <c r="K52" s="1434" t="s">
        <v>831</v>
      </c>
      <c r="L52" s="1435"/>
      <c r="O52" s="1425" t="s">
        <v>408</v>
      </c>
      <c r="P52" s="1416" t="s">
        <v>832</v>
      </c>
      <c r="Q52" s="1417">
        <f ca="1">J53</f>
        <v>46</v>
      </c>
      <c r="R52" s="1417" t="s">
        <v>833</v>
      </c>
    </row>
    <row r="53" spans="1:18" s="1381" customFormat="1" ht="24.75" thickBot="1">
      <c r="A53" s="1150" t="s">
        <v>440</v>
      </c>
      <c r="B53" s="1370" t="s">
        <v>698</v>
      </c>
      <c r="C53" s="316">
        <f ca="1">ROUND(IF(F53="押一",C49/12*F11,IF(F53="押二",C49/12*2*F11,IF(F53="押三",C49/12*3*F11,C54*F11))),0)</f>
        <v>0</v>
      </c>
      <c r="D53" s="1363" t="s">
        <v>2113</v>
      </c>
      <c r="E53" s="313" t="s">
        <v>699</v>
      </c>
      <c r="F53" s="1114"/>
      <c r="I53" s="1436" t="s">
        <v>834</v>
      </c>
      <c r="J53" s="2163">
        <f ca="1">IF(M47="住宅",IF(D1="——",MAX(J51,L48),MAX(J51,L48-'数据-取费表'!B24)),IF(D1="——",MIN(J51,L48),MIN(J51,L48-'数据-取费表'!B24)))</f>
        <v>46</v>
      </c>
      <c r="K53" s="3742" t="s">
        <v>835</v>
      </c>
      <c r="L53" s="3743"/>
      <c r="O53" s="1415" t="s">
        <v>409</v>
      </c>
      <c r="P53" s="1416" t="s">
        <v>836</v>
      </c>
      <c r="Q53" s="1417">
        <f ca="1">Q47+Q48</f>
        <v>2725</v>
      </c>
      <c r="R53" s="1417" t="s">
        <v>410</v>
      </c>
    </row>
    <row r="54" spans="1:18" s="1381" customFormat="1" ht="13.5" thickBot="1">
      <c r="A54" s="1151"/>
      <c r="B54" s="1364" t="s">
        <v>677</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t="e">
        <f ca="1">ROUND(IF(J47="钢混",J57/J50,1-(1-2%)*(J50-J57)/J50),3)</f>
        <v>#VALUE!</v>
      </c>
      <c r="K55" s="1442" t="s">
        <v>839</v>
      </c>
      <c r="L55" s="1443"/>
      <c r="O55" s="1408" t="s">
        <v>809</v>
      </c>
      <c r="P55" s="1409" t="s">
        <v>810</v>
      </c>
      <c r="Q55" s="1410" t="s">
        <v>811</v>
      </c>
      <c r="R55" s="1410" t="s">
        <v>812</v>
      </c>
    </row>
    <row r="56" spans="1:18" s="1381" customFormat="1" ht="25.5" thickTop="1" thickBot="1">
      <c r="A56" s="956">
        <v>2</v>
      </c>
      <c r="B56" s="957" t="s">
        <v>702</v>
      </c>
      <c r="C56" s="232">
        <f ca="1">C13</f>
        <v>4596</v>
      </c>
      <c r="D56" s="1444"/>
      <c r="E56" s="1445"/>
      <c r="F56" s="1437"/>
      <c r="I56" s="1446" t="s">
        <v>840</v>
      </c>
      <c r="J56" s="1447" t="s">
        <v>3390</v>
      </c>
      <c r="K56" s="1418" t="s">
        <v>841</v>
      </c>
      <c r="L56" s="1421" t="str">
        <f ca="1">IF(L48&lt;J51,"——",L48-J53)</f>
        <v>——</v>
      </c>
      <c r="O56" s="1415" t="s">
        <v>403</v>
      </c>
      <c r="P56" s="1416" t="s">
        <v>815</v>
      </c>
      <c r="Q56" s="1417">
        <f ca="1">C40+J29</f>
        <v>2725</v>
      </c>
      <c r="R56" s="1417" t="s">
        <v>816</v>
      </c>
    </row>
    <row r="57" spans="1:18" s="1381" customFormat="1" ht="24.75" thickBot="1">
      <c r="A57" s="1448"/>
      <c r="B57" s="949" t="s">
        <v>765</v>
      </c>
      <c r="C57" s="238">
        <f ca="1">C29</f>
        <v>4596</v>
      </c>
      <c r="D57" s="1449"/>
      <c r="E57" s="1450"/>
      <c r="F57" s="1451"/>
      <c r="I57" s="1452" t="s">
        <v>842</v>
      </c>
      <c r="J57" s="1453" t="str">
        <f ca="1">IF(OR(M47="住宅",J51&lt;L48,J56="是"),"——",J51-L48)</f>
        <v>——</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7" t="s">
        <v>712</v>
      </c>
      <c r="C58" s="316">
        <f ca="1">ROUND(C59+C64+C65+C66,0)</f>
        <v>29</v>
      </c>
      <c r="D58" s="959" t="s">
        <v>713</v>
      </c>
      <c r="E58" s="960"/>
      <c r="F58" s="961"/>
      <c r="I58" s="1452" t="s">
        <v>846</v>
      </c>
      <c r="J58" s="1454" t="e">
        <f ca="1">IF(J55&lt;0.4,0.4,J55)</f>
        <v>#VALUE!</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1</v>
      </c>
      <c r="D59" s="962" t="s">
        <v>718</v>
      </c>
      <c r="E59" s="963" t="s">
        <v>719</v>
      </c>
      <c r="F59" s="2310" t="str">
        <f>IF(项目基本情况!B11="企业","——",IF('数据-取费表'!B10="住宅",IF(F49*F50*F51/12/(1+'数据-取费表'!F30)&gt;100000,4%,2.5%),IF(F49*F50*F51/12/(1+'数据-取费表'!F30)&gt;100000,12%,7%)))</f>
        <v>——</v>
      </c>
      <c r="I59" s="1452" t="s">
        <v>849</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IF(项目基本情况!B11="自然人","——",ROUND(C48*F60/(1+'数据-取费表'!C42),2))</f>
        <v>0</v>
      </c>
      <c r="D60" s="963" t="s">
        <v>722</v>
      </c>
      <c r="E60" s="949" t="s">
        <v>710</v>
      </c>
      <c r="F60" s="331">
        <f t="shared" ref="F60:F66" si="0">F32</f>
        <v>5.5000000000000007E-2</v>
      </c>
      <c r="I60" s="1455" t="s">
        <v>851</v>
      </c>
      <c r="J60" s="1456" t="str">
        <f ca="1">IF(OR(M47="住宅",J51&lt;L48,J56="是"),"0",ROUND(J59/(1+J52)^J53,0))</f>
        <v>0</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IF(项目基本情况!B11="自然人","——",IF(D61="按租金收入计税",ROUND(C49*F61/(1+'数据-取费表'!C42),2),IF(D61="按房产原值计税",ROUND(C57*F61*0.7,2),INDIRECT("'数据-取费表'!Aj"&amp;$G$1))))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IF(项目基本情况!B11="自然人","——",ROUND(F62*F63/10000,2))</f>
        <v>0.52</v>
      </c>
      <c r="D62" s="964" t="s">
        <v>784</v>
      </c>
      <c r="E62" s="949" t="s">
        <v>785</v>
      </c>
      <c r="F62" s="325">
        <f t="shared" si="0"/>
        <v>1.5</v>
      </c>
      <c r="I62" s="1459" t="s">
        <v>856</v>
      </c>
      <c r="J62" s="1460" t="s">
        <v>857</v>
      </c>
      <c r="K62" s="1460" t="s">
        <v>858</v>
      </c>
      <c r="L62" s="1460" t="s">
        <v>859</v>
      </c>
      <c r="M62" s="1461" t="s">
        <v>860</v>
      </c>
      <c r="O62" s="1415" t="s">
        <v>409</v>
      </c>
      <c r="P62" s="1416" t="s">
        <v>861</v>
      </c>
      <c r="Q62" s="1417">
        <f ca="1">Q56+Q57</f>
        <v>2725</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ROUND(C57*F64,2)</f>
        <v>22.98</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ROUND(C56*F65,2)</f>
        <v>4.5999999999999996</v>
      </c>
      <c r="D65" s="963" t="s">
        <v>741</v>
      </c>
      <c r="E65" s="949" t="s">
        <v>742</v>
      </c>
      <c r="F65" s="330">
        <f t="shared" ca="1" si="0"/>
        <v>1E-3</v>
      </c>
      <c r="I65" s="1459" t="s">
        <v>865</v>
      </c>
      <c r="J65" s="1460">
        <v>40</v>
      </c>
      <c r="K65" s="1460">
        <v>30</v>
      </c>
      <c r="L65" s="1460">
        <v>50</v>
      </c>
      <c r="M65" s="1462">
        <v>0.02</v>
      </c>
      <c r="O65" s="1415" t="s">
        <v>403</v>
      </c>
      <c r="P65" s="1416" t="s">
        <v>866</v>
      </c>
      <c r="Q65" s="1417">
        <f ca="1">C40+J29</f>
        <v>2725</v>
      </c>
      <c r="R65" s="1417" t="s">
        <v>816</v>
      </c>
    </row>
    <row r="66" spans="1:18" s="1381" customFormat="1" ht="16.5" thickBot="1">
      <c r="A66" s="981" t="s">
        <v>791</v>
      </c>
      <c r="B66" s="949" t="s">
        <v>726</v>
      </c>
      <c r="C66" s="21">
        <f ca="1">ROUND(C48*F66,2)</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-29</v>
      </c>
      <c r="D67" s="962" t="s">
        <v>751</v>
      </c>
      <c r="E67" s="967"/>
      <c r="F67" s="968"/>
      <c r="O67" s="1425" t="s">
        <v>405</v>
      </c>
      <c r="P67" s="1416" t="s">
        <v>848</v>
      </c>
      <c r="Q67" s="1463">
        <f ca="1">L51</f>
        <v>-4349</v>
      </c>
      <c r="R67" s="1417" t="s">
        <v>868</v>
      </c>
    </row>
    <row r="68" spans="1:18" s="1381" customFormat="1" ht="16.5" thickBot="1">
      <c r="A68" s="946" t="s">
        <v>395</v>
      </c>
      <c r="B68" s="947" t="s">
        <v>772</v>
      </c>
      <c r="C68" s="301">
        <f ca="1">ROUND(C67*(1-((1+F70)/(1+F68))^F69)/(F68-F70),0)</f>
        <v>-519</v>
      </c>
      <c r="D68" s="964" t="s">
        <v>756</v>
      </c>
      <c r="E68" s="949" t="s">
        <v>757</v>
      </c>
      <c r="F68" s="312">
        <f ca="1">F40</f>
        <v>0.05</v>
      </c>
      <c r="O68" s="1425" t="s">
        <v>406</v>
      </c>
      <c r="P68" s="1464" t="s">
        <v>869</v>
      </c>
      <c r="Q68" s="1417">
        <f ca="1">ROUND(Q69-Q70*Q71,0)</f>
        <v>-211</v>
      </c>
      <c r="R68" s="1417" t="s">
        <v>414</v>
      </c>
    </row>
    <row r="69" spans="1:18" s="1381" customFormat="1" ht="13.5" thickBot="1">
      <c r="A69" s="950"/>
      <c r="B69" s="951"/>
      <c r="C69" s="306"/>
      <c r="D69" s="969" t="s">
        <v>760</v>
      </c>
      <c r="E69" s="949" t="s">
        <v>761</v>
      </c>
      <c r="F69" s="333">
        <f ca="1">F41</f>
        <v>46</v>
      </c>
      <c r="O69" s="1425" t="s">
        <v>411</v>
      </c>
      <c r="P69" s="1464" t="s">
        <v>870</v>
      </c>
      <c r="Q69" s="1417">
        <f ca="1">C39</f>
        <v>111</v>
      </c>
      <c r="R69" s="1417" t="s">
        <v>816</v>
      </c>
    </row>
    <row r="70" spans="1:18" s="1381" customFormat="1" ht="13.5" thickBot="1">
      <c r="A70" s="953"/>
      <c r="B70" s="954"/>
      <c r="C70" s="310"/>
      <c r="D70" s="965"/>
      <c r="E70" s="949" t="s">
        <v>764</v>
      </c>
      <c r="F70" s="1052"/>
      <c r="O70" s="1425" t="s">
        <v>412</v>
      </c>
      <c r="P70" s="1464" t="s">
        <v>871</v>
      </c>
      <c r="Q70" s="1417">
        <f ca="1">C13</f>
        <v>4596</v>
      </c>
      <c r="R70" s="1417" t="s">
        <v>816</v>
      </c>
    </row>
    <row r="71" spans="1:18" s="1381" customFormat="1" ht="13.5" thickBot="1">
      <c r="A71" s="970" t="s">
        <v>396</v>
      </c>
      <c r="B71" s="971" t="s">
        <v>774</v>
      </c>
      <c r="C71" s="336">
        <f ca="1">ROUND(C68*10000/F71,0)</f>
        <v>-598</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322</v>
      </c>
      <c r="D75" s="1381"/>
      <c r="E75" s="1381"/>
      <c r="F75" s="1381"/>
      <c r="K75" s="1399"/>
      <c r="L75" s="1381"/>
      <c r="O75" s="1415" t="s">
        <v>409</v>
      </c>
      <c r="P75" s="1416" t="s">
        <v>836</v>
      </c>
      <c r="Q75" s="1417">
        <f ca="1">Q65+Q66</f>
        <v>2725</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-1.9009999999999998</v>
      </c>
    </row>
    <row r="80" spans="1:18">
      <c r="B80" s="340" t="s">
        <v>798</v>
      </c>
      <c r="C80" s="274">
        <f ca="1">ROUND(C75/C39,3)</f>
        <v>2.9009999999999998</v>
      </c>
    </row>
    <row r="81" spans="2:3">
      <c r="B81" s="270" t="s">
        <v>799</v>
      </c>
      <c r="C81" s="238"/>
    </row>
    <row r="82" spans="2:3">
      <c r="B82" s="273" t="s">
        <v>800</v>
      </c>
      <c r="C82" s="275">
        <f ca="1">1-C83</f>
        <v>-0.68700000000000006</v>
      </c>
    </row>
    <row r="83" spans="2:3">
      <c r="B83" s="273" t="s">
        <v>801</v>
      </c>
      <c r="C83" s="274">
        <f ca="1">ROUND(C13/C40,3)</f>
        <v>1.6870000000000001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7" t="s">
        <v>2082</v>
      </c>
      <c r="D1" s="3748"/>
      <c r="E1" s="3748"/>
      <c r="F1" s="3748"/>
      <c r="G1" s="3748"/>
      <c r="H1" s="3748"/>
      <c r="I1" s="3748"/>
      <c r="J1" s="3748"/>
      <c r="K1" s="3748"/>
      <c r="L1" s="3748"/>
      <c r="M1" s="3748"/>
      <c r="N1" s="3748"/>
      <c r="O1" s="3748"/>
      <c r="P1" s="3748"/>
      <c r="Q1" s="3748"/>
      <c r="R1" s="3748"/>
      <c r="S1" s="3749"/>
      <c r="T1" s="982" t="s">
        <v>1987</v>
      </c>
    </row>
    <row r="2" spans="1:45" s="655" customFormat="1" ht="51">
      <c r="A2" s="983"/>
      <c r="B2" s="651" t="s">
        <v>2084</v>
      </c>
      <c r="C2" s="652" t="str">
        <f t="shared" ref="C2:R2" si="0">C3&amp;"(含)"&amp;"-"&amp;D3</f>
        <v>0(含)-50000</v>
      </c>
      <c r="D2" s="653" t="str">
        <f t="shared" si="0"/>
        <v>50000(含)-100000</v>
      </c>
      <c r="E2" s="653" t="str">
        <f t="shared" si="0"/>
        <v>100000(含)-200000</v>
      </c>
      <c r="F2" s="653" t="str">
        <f t="shared" si="0"/>
        <v>200000(含)-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50000</v>
      </c>
      <c r="E3" s="657">
        <f>'比较法-住宅'!E103</f>
        <v>100000</v>
      </c>
      <c r="F3" s="657">
        <f>'比较法-住宅'!F103</f>
        <v>200000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t="str">
        <f>'比较法-住宅'!C90</f>
        <v>高区</v>
      </c>
      <c r="D17" s="3466" t="str">
        <f>'比较法-住宅'!D90</f>
        <v>中区</v>
      </c>
      <c r="E17" s="3466" t="str">
        <f>'比较法-住宅'!E90</f>
        <v>低区</v>
      </c>
      <c r="F17" s="3466"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50" t="s">
        <v>27</v>
      </c>
      <c r="D22" s="3751"/>
      <c r="E22" s="3751"/>
      <c r="F22" s="3751"/>
      <c r="G22" s="3751"/>
      <c r="H22" s="3751"/>
      <c r="I22" s="3751"/>
      <c r="J22" s="3751"/>
      <c r="K22" s="3751"/>
      <c r="L22" s="3751"/>
      <c r="M22" s="3751"/>
      <c r="N22" s="3751"/>
      <c r="O22" s="3751"/>
      <c r="P22" s="3751"/>
      <c r="Q22" s="3752"/>
      <c r="R22" s="662" t="e">
        <f ca="1">ROUND(S22*10000/B22,0)</f>
        <v>#REF!</v>
      </c>
      <c r="S22" s="21" t="e">
        <f ca="1">SUM(S24:S10000)</f>
        <v>#REF!</v>
      </c>
    </row>
    <row r="23" spans="1:45" s="9" customFormat="1" ht="24">
      <c r="A23" s="3462" t="s">
        <v>2098</v>
      </c>
      <c r="B23" s="3462" t="s">
        <v>2099</v>
      </c>
      <c r="C23" s="3462" t="s">
        <v>2100</v>
      </c>
      <c r="D23" s="3462" t="str">
        <f>B5</f>
        <v>修正项2</v>
      </c>
      <c r="E23" s="3462" t="s">
        <v>2100</v>
      </c>
      <c r="F23" s="3462" t="str">
        <f>B7</f>
        <v>修正项3</v>
      </c>
      <c r="G23" s="3462" t="s">
        <v>2100</v>
      </c>
      <c r="H23" s="3462" t="str">
        <f>B9</f>
        <v>修正项4</v>
      </c>
      <c r="I23" s="3462" t="s">
        <v>2100</v>
      </c>
      <c r="J23" s="3462" t="str">
        <f>B11</f>
        <v>修正项5</v>
      </c>
      <c r="K23" s="3462" t="s">
        <v>2100</v>
      </c>
      <c r="L23" s="3462" t="str">
        <f>B13</f>
        <v>修正项6</v>
      </c>
      <c r="M23" s="3462" t="s">
        <v>2100</v>
      </c>
      <c r="N23" s="3462" t="str">
        <f>B15</f>
        <v>修正项7</v>
      </c>
      <c r="O23" s="3462" t="s">
        <v>2100</v>
      </c>
      <c r="P23" s="3462" t="str">
        <f>B17</f>
        <v>楼层</v>
      </c>
      <c r="Q23" s="3462" t="s">
        <v>2100</v>
      </c>
      <c r="R23" s="3463" t="s">
        <v>2101</v>
      </c>
      <c r="S23" s="3462"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t="s">
        <v>3394</v>
      </c>
      <c r="Q24" s="2805">
        <v>1</v>
      </c>
      <c r="R24" s="667">
        <f ca="1">结果表!G20</f>
        <v>19164</v>
      </c>
      <c r="S24" s="665" t="e">
        <f t="shared" ref="S24:S87" ca="1" si="5">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e">
        <f>#REF!</f>
        <v>#REF!</v>
      </c>
      <c r="Q25" s="21">
        <f>(SUMIF($17:$17,P25,$18:$18)-SUMIF($17:$17,$P$24,$18:$18)+100)/100</f>
        <v>0</v>
      </c>
      <c r="R25" s="662" t="e">
        <f>IF(B25="",0,ROUND($R$24*C25*E25*G25*I25*K25*M25*O25*Q25,0))</f>
        <v>#REF!</v>
      </c>
      <c r="S25" s="316" t="e">
        <f t="shared" si="5"/>
        <v>#REF!</v>
      </c>
    </row>
    <row r="26" spans="1:45">
      <c r="A26" s="150" t="e">
        <f>#REF!</f>
        <v>#REF!</v>
      </c>
      <c r="B26" s="54" t="e">
        <f>#REF!</f>
        <v>#REF!</v>
      </c>
      <c r="C26" s="21" t="e">
        <f t="shared" ref="C26:C89" si="6">IF(B26="",1,(LOOKUP(B26,$3:$3,$4:$4)-LOOKUP($B$24,$3:$3,$4:$4)+100)/100)</f>
        <v>#REF!</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e">
        <f>#REF!</f>
        <v>#REF!</v>
      </c>
      <c r="Q26" s="21">
        <f t="shared" ref="Q26:Q89" si="13">(SUMIF($17:$17,P26,$18:$18)-SUMIF($17:$17,$P$24,$18:$18)+100)/100</f>
        <v>0</v>
      </c>
      <c r="R26" s="662" t="e">
        <f t="shared" ref="R26:R89" si="14">IF(B26="",0,ROUND($R$24*C26*E26*G26*I26*K26*M26*O26*Q26,0))</f>
        <v>#REF!</v>
      </c>
      <c r="S26" s="316" t="e">
        <f t="shared" si="5"/>
        <v>#REF!</v>
      </c>
    </row>
    <row r="27" spans="1:45">
      <c r="A27" s="150" t="e">
        <f>#REF!</f>
        <v>#REF!</v>
      </c>
      <c r="B27" s="54" t="e">
        <f>#REF!</f>
        <v>#REF!</v>
      </c>
      <c r="C27" s="21" t="e">
        <f t="shared" si="6"/>
        <v>#REF!</v>
      </c>
      <c r="D27" s="666"/>
      <c r="E27" s="21">
        <f t="shared" si="7"/>
        <v>1</v>
      </c>
      <c r="F27" s="666"/>
      <c r="G27" s="21">
        <f t="shared" si="8"/>
        <v>1</v>
      </c>
      <c r="H27" s="666"/>
      <c r="I27" s="21">
        <f t="shared" si="9"/>
        <v>1</v>
      </c>
      <c r="J27" s="666"/>
      <c r="K27" s="21">
        <f t="shared" si="10"/>
        <v>1</v>
      </c>
      <c r="L27" s="666"/>
      <c r="M27" s="21">
        <f t="shared" si="11"/>
        <v>1</v>
      </c>
      <c r="N27" s="666"/>
      <c r="O27" s="21">
        <f t="shared" si="12"/>
        <v>1</v>
      </c>
      <c r="P27" s="666" t="e">
        <f>#REF!</f>
        <v>#REF!</v>
      </c>
      <c r="Q27" s="21">
        <f t="shared" si="13"/>
        <v>0</v>
      </c>
      <c r="R27" s="662" t="e">
        <f t="shared" si="14"/>
        <v>#REF!</v>
      </c>
      <c r="S27" s="316" t="e">
        <f t="shared" si="5"/>
        <v>#REF!</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e">
        <f>#REF!</f>
        <v>#REF!</v>
      </c>
      <c r="Q28" s="21">
        <f t="shared" si="13"/>
        <v>0</v>
      </c>
      <c r="R28" s="662">
        <f t="shared" si="14"/>
        <v>0</v>
      </c>
      <c r="S28" s="316">
        <f t="shared" si="5"/>
        <v>0</v>
      </c>
    </row>
    <row r="29" spans="1:45">
      <c r="A29" s="150" t="e">
        <f>#REF!</f>
        <v>#REF!</v>
      </c>
      <c r="B29" s="54" t="e">
        <f>#REF!</f>
        <v>#REF!</v>
      </c>
      <c r="C29" s="21" t="e">
        <f t="shared" si="6"/>
        <v>#REF!</v>
      </c>
      <c r="D29" s="666"/>
      <c r="E29" s="21">
        <f t="shared" si="7"/>
        <v>1</v>
      </c>
      <c r="F29" s="666"/>
      <c r="G29" s="21">
        <f t="shared" si="8"/>
        <v>1</v>
      </c>
      <c r="H29" s="666"/>
      <c r="I29" s="21">
        <f t="shared" si="9"/>
        <v>1</v>
      </c>
      <c r="J29" s="666"/>
      <c r="K29" s="21">
        <f t="shared" si="10"/>
        <v>1</v>
      </c>
      <c r="L29" s="666"/>
      <c r="M29" s="21">
        <f t="shared" si="11"/>
        <v>1</v>
      </c>
      <c r="N29" s="666"/>
      <c r="O29" s="21">
        <f t="shared" si="12"/>
        <v>1</v>
      </c>
      <c r="P29" s="666" t="e">
        <f>#REF!</f>
        <v>#REF!</v>
      </c>
      <c r="Q29" s="21">
        <f t="shared" si="13"/>
        <v>0</v>
      </c>
      <c r="R29" s="662" t="e">
        <f t="shared" si="14"/>
        <v>#REF!</v>
      </c>
      <c r="S29" s="316" t="e">
        <f t="shared" si="5"/>
        <v>#REF!</v>
      </c>
    </row>
    <row r="30" spans="1:45">
      <c r="A30" s="150" t="e">
        <f>#REF!</f>
        <v>#REF!</v>
      </c>
      <c r="B30" s="54" t="e">
        <f>#REF!</f>
        <v>#REF!</v>
      </c>
      <c r="C30" s="21" t="e">
        <f t="shared" si="6"/>
        <v>#REF!</v>
      </c>
      <c r="D30" s="666"/>
      <c r="E30" s="21">
        <f t="shared" si="7"/>
        <v>1</v>
      </c>
      <c r="F30" s="666"/>
      <c r="G30" s="21">
        <f t="shared" si="8"/>
        <v>1</v>
      </c>
      <c r="H30" s="666"/>
      <c r="I30" s="21">
        <f t="shared" si="9"/>
        <v>1</v>
      </c>
      <c r="J30" s="666"/>
      <c r="K30" s="21">
        <f t="shared" si="10"/>
        <v>1</v>
      </c>
      <c r="L30" s="666"/>
      <c r="M30" s="21">
        <f t="shared" si="11"/>
        <v>1</v>
      </c>
      <c r="N30" s="666"/>
      <c r="O30" s="21">
        <f t="shared" si="12"/>
        <v>1</v>
      </c>
      <c r="P30" s="666" t="e">
        <f>#REF!</f>
        <v>#REF!</v>
      </c>
      <c r="Q30" s="21">
        <f t="shared" si="13"/>
        <v>0</v>
      </c>
      <c r="R30" s="662" t="e">
        <f t="shared" si="14"/>
        <v>#REF!</v>
      </c>
      <c r="S30" s="316" t="e">
        <f t="shared" si="5"/>
        <v>#REF!</v>
      </c>
    </row>
    <row r="31" spans="1:45">
      <c r="A31" s="150" t="e">
        <f>#REF!</f>
        <v>#REF!</v>
      </c>
      <c r="B31" s="54" t="e">
        <f>#REF!</f>
        <v>#REF!</v>
      </c>
      <c r="C31" s="21" t="e">
        <f t="shared" si="6"/>
        <v>#REF!</v>
      </c>
      <c r="D31" s="666"/>
      <c r="E31" s="21">
        <f t="shared" si="7"/>
        <v>1</v>
      </c>
      <c r="F31" s="666"/>
      <c r="G31" s="21">
        <f t="shared" si="8"/>
        <v>1</v>
      </c>
      <c r="H31" s="666"/>
      <c r="I31" s="21">
        <f t="shared" si="9"/>
        <v>1</v>
      </c>
      <c r="J31" s="666"/>
      <c r="K31" s="21">
        <f t="shared" si="10"/>
        <v>1</v>
      </c>
      <c r="L31" s="666"/>
      <c r="M31" s="21">
        <f t="shared" si="11"/>
        <v>1</v>
      </c>
      <c r="N31" s="666"/>
      <c r="O31" s="21">
        <f t="shared" si="12"/>
        <v>1</v>
      </c>
      <c r="P31" s="666" t="e">
        <f>#REF!</f>
        <v>#REF!</v>
      </c>
      <c r="Q31" s="21">
        <f t="shared" si="13"/>
        <v>0</v>
      </c>
      <c r="R31" s="662" t="e">
        <f t="shared" si="14"/>
        <v>#REF!</v>
      </c>
      <c r="S31" s="316" t="e">
        <f t="shared" si="5"/>
        <v>#REF!</v>
      </c>
    </row>
    <row r="32" spans="1:45">
      <c r="A32" s="150" t="e">
        <f>#REF!</f>
        <v>#REF!</v>
      </c>
      <c r="B32" s="54" t="e">
        <f>#REF!</f>
        <v>#REF!</v>
      </c>
      <c r="C32" s="21" t="e">
        <f t="shared" si="6"/>
        <v>#REF!</v>
      </c>
      <c r="D32" s="666"/>
      <c r="E32" s="21">
        <f t="shared" si="7"/>
        <v>1</v>
      </c>
      <c r="F32" s="666"/>
      <c r="G32" s="21">
        <f t="shared" si="8"/>
        <v>1</v>
      </c>
      <c r="H32" s="666"/>
      <c r="I32" s="21">
        <f t="shared" si="9"/>
        <v>1</v>
      </c>
      <c r="J32" s="666"/>
      <c r="K32" s="21">
        <f t="shared" si="10"/>
        <v>1</v>
      </c>
      <c r="L32" s="666"/>
      <c r="M32" s="21">
        <f t="shared" si="11"/>
        <v>1</v>
      </c>
      <c r="N32" s="666"/>
      <c r="O32" s="21">
        <f t="shared" si="12"/>
        <v>1</v>
      </c>
      <c r="P32" s="666" t="e">
        <f>#REF!</f>
        <v>#REF!</v>
      </c>
      <c r="Q32" s="21">
        <f t="shared" si="13"/>
        <v>0</v>
      </c>
      <c r="R32" s="662" t="e">
        <f t="shared" si="14"/>
        <v>#REF!</v>
      </c>
      <c r="S32" s="316" t="e">
        <f t="shared" si="5"/>
        <v>#REF!</v>
      </c>
    </row>
    <row r="33" spans="1:19">
      <c r="A33" s="150" t="e">
        <f>#REF!</f>
        <v>#REF!</v>
      </c>
      <c r="B33" s="54" t="e">
        <f>#REF!</f>
        <v>#REF!</v>
      </c>
      <c r="C33" s="21" t="e">
        <f t="shared" si="6"/>
        <v>#REF!</v>
      </c>
      <c r="D33" s="666"/>
      <c r="E33" s="21">
        <f t="shared" si="7"/>
        <v>1</v>
      </c>
      <c r="F33" s="666"/>
      <c r="G33" s="21">
        <f t="shared" si="8"/>
        <v>1</v>
      </c>
      <c r="H33" s="666"/>
      <c r="I33" s="21">
        <f t="shared" si="9"/>
        <v>1</v>
      </c>
      <c r="J33" s="666"/>
      <c r="K33" s="21">
        <f t="shared" si="10"/>
        <v>1</v>
      </c>
      <c r="L33" s="666"/>
      <c r="M33" s="21">
        <f t="shared" si="11"/>
        <v>1</v>
      </c>
      <c r="N33" s="666"/>
      <c r="O33" s="21">
        <f t="shared" si="12"/>
        <v>1</v>
      </c>
      <c r="P33" s="666" t="e">
        <f>#REF!</f>
        <v>#REF!</v>
      </c>
      <c r="Q33" s="21">
        <f t="shared" si="13"/>
        <v>0</v>
      </c>
      <c r="R33" s="662" t="e">
        <f t="shared" si="14"/>
        <v>#REF!</v>
      </c>
      <c r="S33" s="316" t="e">
        <f t="shared" si="5"/>
        <v>#REF!</v>
      </c>
    </row>
    <row r="34" spans="1:19">
      <c r="A34" s="150" t="e">
        <f>#REF!</f>
        <v>#REF!</v>
      </c>
      <c r="B34" s="54" t="e">
        <f>#REF!</f>
        <v>#REF!</v>
      </c>
      <c r="C34" s="21" t="e">
        <f t="shared" si="6"/>
        <v>#REF!</v>
      </c>
      <c r="D34" s="666"/>
      <c r="E34" s="21">
        <f t="shared" si="7"/>
        <v>1</v>
      </c>
      <c r="F34" s="666"/>
      <c r="G34" s="21">
        <f t="shared" si="8"/>
        <v>1</v>
      </c>
      <c r="H34" s="666"/>
      <c r="I34" s="21">
        <f t="shared" si="9"/>
        <v>1</v>
      </c>
      <c r="J34" s="666"/>
      <c r="K34" s="21">
        <f t="shared" si="10"/>
        <v>1</v>
      </c>
      <c r="L34" s="666"/>
      <c r="M34" s="21">
        <f t="shared" si="11"/>
        <v>1</v>
      </c>
      <c r="N34" s="666"/>
      <c r="O34" s="21">
        <f t="shared" si="12"/>
        <v>1</v>
      </c>
      <c r="P34" s="666" t="e">
        <f>#REF!</f>
        <v>#REF!</v>
      </c>
      <c r="Q34" s="21">
        <f t="shared" si="13"/>
        <v>0</v>
      </c>
      <c r="R34" s="662" t="e">
        <f t="shared" si="14"/>
        <v>#REF!</v>
      </c>
      <c r="S34" s="316" t="e">
        <f t="shared" si="5"/>
        <v>#REF!</v>
      </c>
    </row>
    <row r="35" spans="1:19">
      <c r="A35" s="150" t="e">
        <f>#REF!</f>
        <v>#REF!</v>
      </c>
      <c r="B35" s="54" t="e">
        <f>#REF!</f>
        <v>#REF!</v>
      </c>
      <c r="C35" s="21" t="e">
        <f t="shared" si="6"/>
        <v>#REF!</v>
      </c>
      <c r="D35" s="666"/>
      <c r="E35" s="21">
        <f t="shared" si="7"/>
        <v>1</v>
      </c>
      <c r="F35" s="666"/>
      <c r="G35" s="21">
        <f t="shared" si="8"/>
        <v>1</v>
      </c>
      <c r="H35" s="666"/>
      <c r="I35" s="21">
        <f t="shared" si="9"/>
        <v>1</v>
      </c>
      <c r="J35" s="666"/>
      <c r="K35" s="21">
        <f t="shared" si="10"/>
        <v>1</v>
      </c>
      <c r="L35" s="666"/>
      <c r="M35" s="21">
        <f t="shared" si="11"/>
        <v>1</v>
      </c>
      <c r="N35" s="666"/>
      <c r="O35" s="21">
        <f t="shared" si="12"/>
        <v>1</v>
      </c>
      <c r="P35" s="666" t="e">
        <f>#REF!</f>
        <v>#REF!</v>
      </c>
      <c r="Q35" s="21">
        <f t="shared" si="13"/>
        <v>0</v>
      </c>
      <c r="R35" s="662" t="e">
        <f t="shared" si="14"/>
        <v>#REF!</v>
      </c>
      <c r="S35" s="316" t="e">
        <f t="shared" si="5"/>
        <v>#REF!</v>
      </c>
    </row>
    <row r="36" spans="1:19">
      <c r="A36" s="150" t="e">
        <f>#REF!</f>
        <v>#REF!</v>
      </c>
      <c r="B36" s="54" t="e">
        <f>#REF!</f>
        <v>#REF!</v>
      </c>
      <c r="C36" s="21" t="e">
        <f t="shared" si="6"/>
        <v>#REF!</v>
      </c>
      <c r="D36" s="666"/>
      <c r="E36" s="21">
        <f t="shared" si="7"/>
        <v>1</v>
      </c>
      <c r="F36" s="666"/>
      <c r="G36" s="21">
        <f t="shared" si="8"/>
        <v>1</v>
      </c>
      <c r="H36" s="666"/>
      <c r="I36" s="21">
        <f t="shared" si="9"/>
        <v>1</v>
      </c>
      <c r="J36" s="666"/>
      <c r="K36" s="21">
        <f t="shared" si="10"/>
        <v>1</v>
      </c>
      <c r="L36" s="666"/>
      <c r="M36" s="21">
        <f t="shared" si="11"/>
        <v>1</v>
      </c>
      <c r="N36" s="666"/>
      <c r="O36" s="21">
        <f t="shared" si="12"/>
        <v>1</v>
      </c>
      <c r="P36" s="666" t="e">
        <f>#REF!</f>
        <v>#REF!</v>
      </c>
      <c r="Q36" s="21">
        <f t="shared" si="13"/>
        <v>0</v>
      </c>
      <c r="R36" s="662" t="e">
        <f t="shared" si="14"/>
        <v>#REF!</v>
      </c>
      <c r="S36" s="316" t="e">
        <f t="shared" si="5"/>
        <v>#REF!</v>
      </c>
    </row>
    <row r="37" spans="1:19">
      <c r="A37" s="150" t="e">
        <f>#REF!</f>
        <v>#REF!</v>
      </c>
      <c r="B37" s="54" t="e">
        <f>#REF!</f>
        <v>#REF!</v>
      </c>
      <c r="C37" s="21" t="e">
        <f t="shared" si="6"/>
        <v>#REF!</v>
      </c>
      <c r="D37" s="666"/>
      <c r="E37" s="21">
        <f t="shared" si="7"/>
        <v>1</v>
      </c>
      <c r="F37" s="666"/>
      <c r="G37" s="21">
        <f t="shared" si="8"/>
        <v>1</v>
      </c>
      <c r="H37" s="666"/>
      <c r="I37" s="21">
        <f t="shared" si="9"/>
        <v>1</v>
      </c>
      <c r="J37" s="666"/>
      <c r="K37" s="21">
        <f t="shared" si="10"/>
        <v>1</v>
      </c>
      <c r="L37" s="666"/>
      <c r="M37" s="21">
        <f t="shared" si="11"/>
        <v>1</v>
      </c>
      <c r="N37" s="666"/>
      <c r="O37" s="21">
        <f t="shared" si="12"/>
        <v>1</v>
      </c>
      <c r="P37" s="666" t="e">
        <f>#REF!</f>
        <v>#REF!</v>
      </c>
      <c r="Q37" s="21">
        <f t="shared" si="13"/>
        <v>0</v>
      </c>
      <c r="R37" s="662" t="e">
        <f t="shared" si="14"/>
        <v>#REF!</v>
      </c>
      <c r="S37" s="316" t="e">
        <f t="shared" si="5"/>
        <v>#REF!</v>
      </c>
    </row>
    <row r="38" spans="1:19">
      <c r="A38" s="150" t="e">
        <f>#REF!</f>
        <v>#REF!</v>
      </c>
      <c r="B38" s="54" t="e">
        <f>#REF!</f>
        <v>#REF!</v>
      </c>
      <c r="C38" s="21" t="e">
        <f t="shared" si="6"/>
        <v>#REF!</v>
      </c>
      <c r="D38" s="666"/>
      <c r="E38" s="21">
        <f t="shared" si="7"/>
        <v>1</v>
      </c>
      <c r="F38" s="666"/>
      <c r="G38" s="21">
        <f t="shared" si="8"/>
        <v>1</v>
      </c>
      <c r="H38" s="666"/>
      <c r="I38" s="21">
        <f t="shared" si="9"/>
        <v>1</v>
      </c>
      <c r="J38" s="666"/>
      <c r="K38" s="21">
        <f t="shared" si="10"/>
        <v>1</v>
      </c>
      <c r="L38" s="666"/>
      <c r="M38" s="21">
        <f t="shared" si="11"/>
        <v>1</v>
      </c>
      <c r="N38" s="666"/>
      <c r="O38" s="21">
        <f t="shared" si="12"/>
        <v>1</v>
      </c>
      <c r="P38" s="666" t="e">
        <f>#REF!</f>
        <v>#REF!</v>
      </c>
      <c r="Q38" s="21">
        <f t="shared" si="13"/>
        <v>0</v>
      </c>
      <c r="R38" s="662" t="e">
        <f t="shared" si="14"/>
        <v>#REF!</v>
      </c>
      <c r="S38" s="316" t="e">
        <f t="shared" si="5"/>
        <v>#REF!</v>
      </c>
    </row>
    <row r="39" spans="1:19">
      <c r="A39" s="150" t="e">
        <f>#REF!</f>
        <v>#REF!</v>
      </c>
      <c r="B39" s="54" t="e">
        <f>#REF!</f>
        <v>#REF!</v>
      </c>
      <c r="C39" s="21" t="e">
        <f t="shared" si="6"/>
        <v>#REF!</v>
      </c>
      <c r="D39" s="666"/>
      <c r="E39" s="21">
        <f t="shared" si="7"/>
        <v>1</v>
      </c>
      <c r="F39" s="666"/>
      <c r="G39" s="21">
        <f t="shared" si="8"/>
        <v>1</v>
      </c>
      <c r="H39" s="666"/>
      <c r="I39" s="21">
        <f t="shared" si="9"/>
        <v>1</v>
      </c>
      <c r="J39" s="666"/>
      <c r="K39" s="21">
        <f t="shared" si="10"/>
        <v>1</v>
      </c>
      <c r="L39" s="666"/>
      <c r="M39" s="21">
        <f t="shared" si="11"/>
        <v>1</v>
      </c>
      <c r="N39" s="666"/>
      <c r="O39" s="21">
        <f t="shared" si="12"/>
        <v>1</v>
      </c>
      <c r="P39" s="666" t="e">
        <f>#REF!</f>
        <v>#REF!</v>
      </c>
      <c r="Q39" s="21">
        <f t="shared" si="13"/>
        <v>0</v>
      </c>
      <c r="R39" s="662" t="e">
        <f t="shared" si="14"/>
        <v>#REF!</v>
      </c>
      <c r="S39" s="316" t="e">
        <f t="shared" si="5"/>
        <v>#REF!</v>
      </c>
    </row>
    <row r="40" spans="1:19">
      <c r="A40" s="150" t="e">
        <f>#REF!</f>
        <v>#REF!</v>
      </c>
      <c r="B40" s="54" t="e">
        <f>#REF!</f>
        <v>#REF!</v>
      </c>
      <c r="C40" s="21" t="e">
        <f t="shared" si="6"/>
        <v>#REF!</v>
      </c>
      <c r="D40" s="666"/>
      <c r="E40" s="21">
        <f t="shared" si="7"/>
        <v>1</v>
      </c>
      <c r="F40" s="666"/>
      <c r="G40" s="21">
        <f t="shared" si="8"/>
        <v>1</v>
      </c>
      <c r="H40" s="666"/>
      <c r="I40" s="21">
        <f t="shared" si="9"/>
        <v>1</v>
      </c>
      <c r="J40" s="666"/>
      <c r="K40" s="21">
        <f t="shared" si="10"/>
        <v>1</v>
      </c>
      <c r="L40" s="666"/>
      <c r="M40" s="21">
        <f t="shared" si="11"/>
        <v>1</v>
      </c>
      <c r="N40" s="666"/>
      <c r="O40" s="21">
        <f t="shared" si="12"/>
        <v>1</v>
      </c>
      <c r="P40" s="666" t="e">
        <f>#REF!</f>
        <v>#REF!</v>
      </c>
      <c r="Q40" s="21">
        <f t="shared" si="13"/>
        <v>0</v>
      </c>
      <c r="R40" s="662" t="e">
        <f t="shared" si="14"/>
        <v>#REF!</v>
      </c>
      <c r="S40" s="316" t="e">
        <f t="shared" si="5"/>
        <v>#REF!</v>
      </c>
    </row>
    <row r="41" spans="1:19">
      <c r="A41" s="150" t="e">
        <f>#REF!</f>
        <v>#REF!</v>
      </c>
      <c r="B41" s="54" t="e">
        <f>#REF!</f>
        <v>#REF!</v>
      </c>
      <c r="C41" s="21" t="e">
        <f t="shared" si="6"/>
        <v>#REF!</v>
      </c>
      <c r="D41" s="666"/>
      <c r="E41" s="21">
        <f t="shared" si="7"/>
        <v>1</v>
      </c>
      <c r="F41" s="666"/>
      <c r="G41" s="21">
        <f t="shared" si="8"/>
        <v>1</v>
      </c>
      <c r="H41" s="666"/>
      <c r="I41" s="21">
        <f t="shared" si="9"/>
        <v>1</v>
      </c>
      <c r="J41" s="666"/>
      <c r="K41" s="21">
        <f t="shared" si="10"/>
        <v>1</v>
      </c>
      <c r="L41" s="666"/>
      <c r="M41" s="21">
        <f t="shared" si="11"/>
        <v>1</v>
      </c>
      <c r="N41" s="666"/>
      <c r="O41" s="21">
        <f t="shared" si="12"/>
        <v>1</v>
      </c>
      <c r="P41" s="666" t="e">
        <f>#REF!</f>
        <v>#REF!</v>
      </c>
      <c r="Q41" s="21">
        <f t="shared" si="13"/>
        <v>0</v>
      </c>
      <c r="R41" s="662" t="e">
        <f t="shared" si="14"/>
        <v>#REF!</v>
      </c>
      <c r="S41" s="316" t="e">
        <f t="shared" si="5"/>
        <v>#REF!</v>
      </c>
    </row>
    <row r="42" spans="1:19">
      <c r="A42" s="150" t="e">
        <f>#REF!</f>
        <v>#REF!</v>
      </c>
      <c r="B42" s="54" t="e">
        <f>#REF!</f>
        <v>#REF!</v>
      </c>
      <c r="C42" s="21" t="e">
        <f t="shared" si="6"/>
        <v>#REF!</v>
      </c>
      <c r="D42" s="666"/>
      <c r="E42" s="21">
        <f t="shared" si="7"/>
        <v>1</v>
      </c>
      <c r="F42" s="666"/>
      <c r="G42" s="21">
        <f t="shared" si="8"/>
        <v>1</v>
      </c>
      <c r="H42" s="666"/>
      <c r="I42" s="21">
        <f t="shared" si="9"/>
        <v>1</v>
      </c>
      <c r="J42" s="666"/>
      <c r="K42" s="21">
        <f t="shared" si="10"/>
        <v>1</v>
      </c>
      <c r="L42" s="666"/>
      <c r="M42" s="21">
        <f t="shared" si="11"/>
        <v>1</v>
      </c>
      <c r="N42" s="666"/>
      <c r="O42" s="21">
        <f t="shared" si="12"/>
        <v>1</v>
      </c>
      <c r="P42" s="666" t="e">
        <f>#REF!</f>
        <v>#REF!</v>
      </c>
      <c r="Q42" s="21">
        <f t="shared" si="13"/>
        <v>0</v>
      </c>
      <c r="R42" s="662" t="e">
        <f t="shared" si="14"/>
        <v>#REF!</v>
      </c>
      <c r="S42" s="316" t="e">
        <f t="shared" si="5"/>
        <v>#REF!</v>
      </c>
    </row>
    <row r="43" spans="1:19">
      <c r="A43" s="150" t="e">
        <f>#REF!</f>
        <v>#REF!</v>
      </c>
      <c r="B43" s="54" t="e">
        <f>#REF!</f>
        <v>#REF!</v>
      </c>
      <c r="C43" s="21" t="e">
        <f t="shared" si="6"/>
        <v>#REF!</v>
      </c>
      <c r="D43" s="666"/>
      <c r="E43" s="21">
        <f t="shared" si="7"/>
        <v>1</v>
      </c>
      <c r="F43" s="666"/>
      <c r="G43" s="21">
        <f t="shared" si="8"/>
        <v>1</v>
      </c>
      <c r="H43" s="666"/>
      <c r="I43" s="21">
        <f t="shared" si="9"/>
        <v>1</v>
      </c>
      <c r="J43" s="666"/>
      <c r="K43" s="21">
        <f t="shared" si="10"/>
        <v>1</v>
      </c>
      <c r="L43" s="666"/>
      <c r="M43" s="21">
        <f t="shared" si="11"/>
        <v>1</v>
      </c>
      <c r="N43" s="666"/>
      <c r="O43" s="21">
        <f t="shared" si="12"/>
        <v>1</v>
      </c>
      <c r="P43" s="666" t="e">
        <f>#REF!</f>
        <v>#REF!</v>
      </c>
      <c r="Q43" s="21">
        <f t="shared" si="13"/>
        <v>0</v>
      </c>
      <c r="R43" s="662" t="e">
        <f t="shared" si="14"/>
        <v>#REF!</v>
      </c>
      <c r="S43" s="316" t="e">
        <f t="shared" si="5"/>
        <v>#REF!</v>
      </c>
    </row>
    <row r="44" spans="1:19">
      <c r="A44" s="150" t="e">
        <f>#REF!</f>
        <v>#REF!</v>
      </c>
      <c r="B44" s="54" t="e">
        <f>#REF!</f>
        <v>#REF!</v>
      </c>
      <c r="C44" s="21" t="e">
        <f t="shared" si="6"/>
        <v>#REF!</v>
      </c>
      <c r="D44" s="666"/>
      <c r="E44" s="21">
        <f t="shared" si="7"/>
        <v>1</v>
      </c>
      <c r="F44" s="666"/>
      <c r="G44" s="21">
        <f t="shared" si="8"/>
        <v>1</v>
      </c>
      <c r="H44" s="666"/>
      <c r="I44" s="21">
        <f t="shared" si="9"/>
        <v>1</v>
      </c>
      <c r="J44" s="666"/>
      <c r="K44" s="21">
        <f t="shared" si="10"/>
        <v>1</v>
      </c>
      <c r="L44" s="666"/>
      <c r="M44" s="21">
        <f t="shared" si="11"/>
        <v>1</v>
      </c>
      <c r="N44" s="666"/>
      <c r="O44" s="21">
        <f t="shared" si="12"/>
        <v>1</v>
      </c>
      <c r="P44" s="666" t="e">
        <f>#REF!</f>
        <v>#REF!</v>
      </c>
      <c r="Q44" s="21">
        <f t="shared" si="13"/>
        <v>0</v>
      </c>
      <c r="R44" s="662" t="e">
        <f t="shared" si="14"/>
        <v>#REF!</v>
      </c>
      <c r="S44" s="316" t="e">
        <f t="shared" si="5"/>
        <v>#REF!</v>
      </c>
    </row>
    <row r="45" spans="1:19">
      <c r="A45" s="150" t="e">
        <f>#REF!</f>
        <v>#REF!</v>
      </c>
      <c r="B45" s="54" t="e">
        <f>#REF!</f>
        <v>#REF!</v>
      </c>
      <c r="C45" s="21" t="e">
        <f t="shared" si="6"/>
        <v>#REF!</v>
      </c>
      <c r="D45" s="666"/>
      <c r="E45" s="21">
        <f t="shared" si="7"/>
        <v>1</v>
      </c>
      <c r="F45" s="666"/>
      <c r="G45" s="21">
        <f t="shared" si="8"/>
        <v>1</v>
      </c>
      <c r="H45" s="666"/>
      <c r="I45" s="21">
        <f t="shared" si="9"/>
        <v>1</v>
      </c>
      <c r="J45" s="666"/>
      <c r="K45" s="21">
        <f t="shared" si="10"/>
        <v>1</v>
      </c>
      <c r="L45" s="666"/>
      <c r="M45" s="21">
        <f t="shared" si="11"/>
        <v>1</v>
      </c>
      <c r="N45" s="666"/>
      <c r="O45" s="21">
        <f t="shared" si="12"/>
        <v>1</v>
      </c>
      <c r="P45" s="666" t="e">
        <f>#REF!</f>
        <v>#REF!</v>
      </c>
      <c r="Q45" s="21">
        <f t="shared" si="13"/>
        <v>0</v>
      </c>
      <c r="R45" s="662" t="e">
        <f t="shared" si="14"/>
        <v>#REF!</v>
      </c>
      <c r="S45" s="316" t="e">
        <f t="shared" si="5"/>
        <v>#REF!</v>
      </c>
    </row>
    <row r="46" spans="1:19">
      <c r="A46" s="150" t="e">
        <f>#REF!</f>
        <v>#REF!</v>
      </c>
      <c r="B46" s="54" t="e">
        <f>#REF!</f>
        <v>#REF!</v>
      </c>
      <c r="C46" s="21" t="e">
        <f t="shared" si="6"/>
        <v>#REF!</v>
      </c>
      <c r="D46" s="666"/>
      <c r="E46" s="21">
        <f t="shared" si="7"/>
        <v>1</v>
      </c>
      <c r="F46" s="666"/>
      <c r="G46" s="21">
        <f t="shared" si="8"/>
        <v>1</v>
      </c>
      <c r="H46" s="666"/>
      <c r="I46" s="21">
        <f t="shared" si="9"/>
        <v>1</v>
      </c>
      <c r="J46" s="666"/>
      <c r="K46" s="21">
        <f t="shared" si="10"/>
        <v>1</v>
      </c>
      <c r="L46" s="666"/>
      <c r="M46" s="21">
        <f t="shared" si="11"/>
        <v>1</v>
      </c>
      <c r="N46" s="666"/>
      <c r="O46" s="21">
        <f t="shared" si="12"/>
        <v>1</v>
      </c>
      <c r="P46" s="666" t="e">
        <f>#REF!</f>
        <v>#REF!</v>
      </c>
      <c r="Q46" s="21">
        <f t="shared" si="13"/>
        <v>0</v>
      </c>
      <c r="R46" s="662" t="e">
        <f t="shared" si="14"/>
        <v>#REF!</v>
      </c>
      <c r="S46" s="316" t="e">
        <f t="shared" si="5"/>
        <v>#REF!</v>
      </c>
    </row>
    <row r="47" spans="1:19">
      <c r="A47" s="150" t="e">
        <f>#REF!</f>
        <v>#REF!</v>
      </c>
      <c r="B47" s="54" t="e">
        <f>#REF!</f>
        <v>#REF!</v>
      </c>
      <c r="C47" s="21" t="e">
        <f t="shared" si="6"/>
        <v>#REF!</v>
      </c>
      <c r="D47" s="666"/>
      <c r="E47" s="21">
        <f t="shared" si="7"/>
        <v>1</v>
      </c>
      <c r="F47" s="666"/>
      <c r="G47" s="21">
        <f t="shared" si="8"/>
        <v>1</v>
      </c>
      <c r="H47" s="666"/>
      <c r="I47" s="21">
        <f t="shared" si="9"/>
        <v>1</v>
      </c>
      <c r="J47" s="666"/>
      <c r="K47" s="21">
        <f t="shared" si="10"/>
        <v>1</v>
      </c>
      <c r="L47" s="666"/>
      <c r="M47" s="21">
        <f t="shared" si="11"/>
        <v>1</v>
      </c>
      <c r="N47" s="666"/>
      <c r="O47" s="21">
        <f t="shared" si="12"/>
        <v>1</v>
      </c>
      <c r="P47" s="666" t="e">
        <f>#REF!</f>
        <v>#REF!</v>
      </c>
      <c r="Q47" s="21">
        <f t="shared" si="13"/>
        <v>0</v>
      </c>
      <c r="R47" s="662" t="e">
        <f t="shared" si="14"/>
        <v>#REF!</v>
      </c>
      <c r="S47" s="316" t="e">
        <f t="shared" si="5"/>
        <v>#REF!</v>
      </c>
    </row>
    <row r="48" spans="1:19">
      <c r="A48" s="150" t="e">
        <f>#REF!</f>
        <v>#REF!</v>
      </c>
      <c r="B48" s="54" t="e">
        <f>#REF!</f>
        <v>#REF!</v>
      </c>
      <c r="C48" s="21" t="e">
        <f t="shared" si="6"/>
        <v>#REF!</v>
      </c>
      <c r="D48" s="666"/>
      <c r="E48" s="21">
        <f t="shared" si="7"/>
        <v>1</v>
      </c>
      <c r="F48" s="666"/>
      <c r="G48" s="21">
        <f t="shared" si="8"/>
        <v>1</v>
      </c>
      <c r="H48" s="666"/>
      <c r="I48" s="21">
        <f t="shared" si="9"/>
        <v>1</v>
      </c>
      <c r="J48" s="666"/>
      <c r="K48" s="21">
        <f t="shared" si="10"/>
        <v>1</v>
      </c>
      <c r="L48" s="666"/>
      <c r="M48" s="21">
        <f t="shared" si="11"/>
        <v>1</v>
      </c>
      <c r="N48" s="666"/>
      <c r="O48" s="21">
        <f t="shared" si="12"/>
        <v>1</v>
      </c>
      <c r="P48" s="666" t="e">
        <f>#REF!</f>
        <v>#REF!</v>
      </c>
      <c r="Q48" s="21">
        <f t="shared" si="13"/>
        <v>0</v>
      </c>
      <c r="R48" s="662" t="e">
        <f t="shared" si="14"/>
        <v>#REF!</v>
      </c>
      <c r="S48" s="316" t="e">
        <f t="shared" si="5"/>
        <v>#REF!</v>
      </c>
    </row>
    <row r="49" spans="1:19">
      <c r="A49" s="150" t="e">
        <f>#REF!</f>
        <v>#REF!</v>
      </c>
      <c r="B49" s="54" t="e">
        <f>#REF!</f>
        <v>#REF!</v>
      </c>
      <c r="C49" s="21" t="e">
        <f t="shared" si="6"/>
        <v>#REF!</v>
      </c>
      <c r="D49" s="666"/>
      <c r="E49" s="21">
        <f t="shared" si="7"/>
        <v>1</v>
      </c>
      <c r="F49" s="666"/>
      <c r="G49" s="21">
        <f t="shared" si="8"/>
        <v>1</v>
      </c>
      <c r="H49" s="666"/>
      <c r="I49" s="21">
        <f t="shared" si="9"/>
        <v>1</v>
      </c>
      <c r="J49" s="666"/>
      <c r="K49" s="21">
        <f t="shared" si="10"/>
        <v>1</v>
      </c>
      <c r="L49" s="666"/>
      <c r="M49" s="21">
        <f t="shared" si="11"/>
        <v>1</v>
      </c>
      <c r="N49" s="666"/>
      <c r="O49" s="21">
        <f t="shared" si="12"/>
        <v>1</v>
      </c>
      <c r="P49" s="666" t="e">
        <f>#REF!</f>
        <v>#REF!</v>
      </c>
      <c r="Q49" s="21">
        <f t="shared" si="13"/>
        <v>0</v>
      </c>
      <c r="R49" s="662" t="e">
        <f t="shared" si="14"/>
        <v>#REF!</v>
      </c>
      <c r="S49" s="316" t="e">
        <f t="shared" si="5"/>
        <v>#REF!</v>
      </c>
    </row>
    <row r="50" spans="1:19">
      <c r="A50" s="150" t="e">
        <f>#REF!</f>
        <v>#REF!</v>
      </c>
      <c r="B50" s="54" t="e">
        <f>#REF!</f>
        <v>#REF!</v>
      </c>
      <c r="C50" s="21" t="e">
        <f t="shared" si="6"/>
        <v>#REF!</v>
      </c>
      <c r="D50" s="666"/>
      <c r="E50" s="21">
        <f t="shared" si="7"/>
        <v>1</v>
      </c>
      <c r="F50" s="666"/>
      <c r="G50" s="21">
        <f t="shared" si="8"/>
        <v>1</v>
      </c>
      <c r="H50" s="666"/>
      <c r="I50" s="21">
        <f t="shared" si="9"/>
        <v>1</v>
      </c>
      <c r="J50" s="666"/>
      <c r="K50" s="21">
        <f t="shared" si="10"/>
        <v>1</v>
      </c>
      <c r="L50" s="666"/>
      <c r="M50" s="21">
        <f t="shared" si="11"/>
        <v>1</v>
      </c>
      <c r="N50" s="666"/>
      <c r="O50" s="21">
        <f t="shared" si="12"/>
        <v>1</v>
      </c>
      <c r="P50" s="666" t="e">
        <f>#REF!</f>
        <v>#REF!</v>
      </c>
      <c r="Q50" s="21">
        <f t="shared" si="13"/>
        <v>0</v>
      </c>
      <c r="R50" s="662" t="e">
        <f t="shared" si="14"/>
        <v>#REF!</v>
      </c>
      <c r="S50" s="316" t="e">
        <f t="shared" si="5"/>
        <v>#REF!</v>
      </c>
    </row>
    <row r="51" spans="1:19">
      <c r="A51" s="150" t="e">
        <f>#REF!</f>
        <v>#REF!</v>
      </c>
      <c r="B51" s="54" t="e">
        <f>#REF!</f>
        <v>#REF!</v>
      </c>
      <c r="C51" s="21" t="e">
        <f t="shared" si="6"/>
        <v>#REF!</v>
      </c>
      <c r="D51" s="666"/>
      <c r="E51" s="21">
        <f t="shared" si="7"/>
        <v>1</v>
      </c>
      <c r="F51" s="666"/>
      <c r="G51" s="21">
        <f t="shared" si="8"/>
        <v>1</v>
      </c>
      <c r="H51" s="666"/>
      <c r="I51" s="21">
        <f t="shared" si="9"/>
        <v>1</v>
      </c>
      <c r="J51" s="666"/>
      <c r="K51" s="21">
        <f t="shared" si="10"/>
        <v>1</v>
      </c>
      <c r="L51" s="666"/>
      <c r="M51" s="21">
        <f t="shared" si="11"/>
        <v>1</v>
      </c>
      <c r="N51" s="666"/>
      <c r="O51" s="21">
        <f t="shared" si="12"/>
        <v>1</v>
      </c>
      <c r="P51" s="666" t="e">
        <f>#REF!</f>
        <v>#REF!</v>
      </c>
      <c r="Q51" s="21">
        <f t="shared" si="13"/>
        <v>0</v>
      </c>
      <c r="R51" s="662" t="e">
        <f t="shared" si="14"/>
        <v>#REF!</v>
      </c>
      <c r="S51" s="316" t="e">
        <f t="shared" si="5"/>
        <v>#REF!</v>
      </c>
    </row>
    <row r="52" spans="1:19">
      <c r="A52" s="150" t="e">
        <f>#REF!</f>
        <v>#REF!</v>
      </c>
      <c r="B52" s="54" t="e">
        <f>#REF!</f>
        <v>#REF!</v>
      </c>
      <c r="C52" s="21" t="e">
        <f t="shared" si="6"/>
        <v>#REF!</v>
      </c>
      <c r="D52" s="666"/>
      <c r="E52" s="21">
        <f t="shared" si="7"/>
        <v>1</v>
      </c>
      <c r="F52" s="666"/>
      <c r="G52" s="21">
        <f t="shared" si="8"/>
        <v>1</v>
      </c>
      <c r="H52" s="666"/>
      <c r="I52" s="21">
        <f t="shared" si="9"/>
        <v>1</v>
      </c>
      <c r="J52" s="666"/>
      <c r="K52" s="21">
        <f t="shared" si="10"/>
        <v>1</v>
      </c>
      <c r="L52" s="666"/>
      <c r="M52" s="21">
        <f t="shared" si="11"/>
        <v>1</v>
      </c>
      <c r="N52" s="666"/>
      <c r="O52" s="21">
        <f t="shared" si="12"/>
        <v>1</v>
      </c>
      <c r="P52" s="666" t="e">
        <f>#REF!</f>
        <v>#REF!</v>
      </c>
      <c r="Q52" s="21">
        <f t="shared" si="13"/>
        <v>0</v>
      </c>
      <c r="R52" s="662" t="e">
        <f t="shared" si="14"/>
        <v>#REF!</v>
      </c>
      <c r="S52" s="316" t="e">
        <f t="shared" si="5"/>
        <v>#REF!</v>
      </c>
    </row>
    <row r="53" spans="1:19">
      <c r="A53" s="150" t="e">
        <f>#REF!</f>
        <v>#REF!</v>
      </c>
      <c r="B53" s="54" t="e">
        <f>#REF!</f>
        <v>#REF!</v>
      </c>
      <c r="C53" s="21" t="e">
        <f t="shared" si="6"/>
        <v>#REF!</v>
      </c>
      <c r="D53" s="666"/>
      <c r="E53" s="21">
        <f t="shared" si="7"/>
        <v>1</v>
      </c>
      <c r="F53" s="666"/>
      <c r="G53" s="21">
        <f t="shared" si="8"/>
        <v>1</v>
      </c>
      <c r="H53" s="666"/>
      <c r="I53" s="21">
        <f t="shared" si="9"/>
        <v>1</v>
      </c>
      <c r="J53" s="666"/>
      <c r="K53" s="21">
        <f t="shared" si="10"/>
        <v>1</v>
      </c>
      <c r="L53" s="666"/>
      <c r="M53" s="21">
        <f t="shared" si="11"/>
        <v>1</v>
      </c>
      <c r="N53" s="666"/>
      <c r="O53" s="21">
        <f t="shared" si="12"/>
        <v>1</v>
      </c>
      <c r="P53" s="666" t="e">
        <f>#REF!</f>
        <v>#REF!</v>
      </c>
      <c r="Q53" s="21">
        <f t="shared" si="13"/>
        <v>0</v>
      </c>
      <c r="R53" s="662" t="e">
        <f t="shared" si="14"/>
        <v>#REF!</v>
      </c>
      <c r="S53" s="316" t="e">
        <f t="shared" si="5"/>
        <v>#REF!</v>
      </c>
    </row>
    <row r="54" spans="1:19">
      <c r="A54" s="150" t="e">
        <f>#REF!</f>
        <v>#REF!</v>
      </c>
      <c r="B54" s="54" t="e">
        <f>#REF!</f>
        <v>#REF!</v>
      </c>
      <c r="C54" s="21" t="e">
        <f t="shared" si="6"/>
        <v>#REF!</v>
      </c>
      <c r="D54" s="666"/>
      <c r="E54" s="21">
        <f t="shared" si="7"/>
        <v>1</v>
      </c>
      <c r="F54" s="666"/>
      <c r="G54" s="21">
        <f t="shared" si="8"/>
        <v>1</v>
      </c>
      <c r="H54" s="666"/>
      <c r="I54" s="21">
        <f t="shared" si="9"/>
        <v>1</v>
      </c>
      <c r="J54" s="666"/>
      <c r="K54" s="21">
        <f t="shared" si="10"/>
        <v>1</v>
      </c>
      <c r="L54" s="666"/>
      <c r="M54" s="21">
        <f t="shared" si="11"/>
        <v>1</v>
      </c>
      <c r="N54" s="666"/>
      <c r="O54" s="21">
        <f t="shared" si="12"/>
        <v>1</v>
      </c>
      <c r="P54" s="666" t="e">
        <f>#REF!</f>
        <v>#REF!</v>
      </c>
      <c r="Q54" s="21">
        <f t="shared" si="13"/>
        <v>0</v>
      </c>
      <c r="R54" s="662" t="e">
        <f t="shared" si="14"/>
        <v>#REF!</v>
      </c>
      <c r="S54" s="316" t="e">
        <f t="shared" si="5"/>
        <v>#REF!</v>
      </c>
    </row>
    <row r="55" spans="1:19">
      <c r="A55" s="150" t="e">
        <f>#REF!</f>
        <v>#REF!</v>
      </c>
      <c r="B55" s="54" t="e">
        <f>#REF!</f>
        <v>#REF!</v>
      </c>
      <c r="C55" s="21" t="e">
        <f t="shared" si="6"/>
        <v>#REF!</v>
      </c>
      <c r="D55" s="666"/>
      <c r="E55" s="21">
        <f t="shared" si="7"/>
        <v>1</v>
      </c>
      <c r="F55" s="666"/>
      <c r="G55" s="21">
        <f t="shared" si="8"/>
        <v>1</v>
      </c>
      <c r="H55" s="666"/>
      <c r="I55" s="21">
        <f t="shared" si="9"/>
        <v>1</v>
      </c>
      <c r="J55" s="666"/>
      <c r="K55" s="21">
        <f t="shared" si="10"/>
        <v>1</v>
      </c>
      <c r="L55" s="666"/>
      <c r="M55" s="21">
        <f t="shared" si="11"/>
        <v>1</v>
      </c>
      <c r="N55" s="666"/>
      <c r="O55" s="21">
        <f t="shared" si="12"/>
        <v>1</v>
      </c>
      <c r="P55" s="666" t="e">
        <f>#REF!</f>
        <v>#REF!</v>
      </c>
      <c r="Q55" s="21">
        <f t="shared" si="13"/>
        <v>0</v>
      </c>
      <c r="R55" s="662" t="e">
        <f t="shared" si="14"/>
        <v>#REF!</v>
      </c>
      <c r="S55" s="316" t="e">
        <f t="shared" si="5"/>
        <v>#REF!</v>
      </c>
    </row>
    <row r="56" spans="1:19">
      <c r="A56" s="150" t="e">
        <f>#REF!</f>
        <v>#REF!</v>
      </c>
      <c r="B56" s="54" t="e">
        <f>#REF!</f>
        <v>#REF!</v>
      </c>
      <c r="C56" s="21" t="e">
        <f t="shared" si="6"/>
        <v>#REF!</v>
      </c>
      <c r="D56" s="666"/>
      <c r="E56" s="21">
        <f t="shared" si="7"/>
        <v>1</v>
      </c>
      <c r="F56" s="666"/>
      <c r="G56" s="21">
        <f t="shared" si="8"/>
        <v>1</v>
      </c>
      <c r="H56" s="666"/>
      <c r="I56" s="21">
        <f t="shared" si="9"/>
        <v>1</v>
      </c>
      <c r="J56" s="666"/>
      <c r="K56" s="21">
        <f t="shared" si="10"/>
        <v>1</v>
      </c>
      <c r="L56" s="666"/>
      <c r="M56" s="21">
        <f t="shared" si="11"/>
        <v>1</v>
      </c>
      <c r="N56" s="666"/>
      <c r="O56" s="21">
        <f t="shared" si="12"/>
        <v>1</v>
      </c>
      <c r="P56" s="666" t="e">
        <f>#REF!</f>
        <v>#REF!</v>
      </c>
      <c r="Q56" s="21">
        <f t="shared" si="13"/>
        <v>0</v>
      </c>
      <c r="R56" s="662" t="e">
        <f t="shared" si="14"/>
        <v>#REF!</v>
      </c>
      <c r="S56" s="316" t="e">
        <f t="shared" si="5"/>
        <v>#REF!</v>
      </c>
    </row>
    <row r="57" spans="1:19">
      <c r="A57" s="150" t="e">
        <f>#REF!</f>
        <v>#REF!</v>
      </c>
      <c r="B57" s="54" t="e">
        <f>#REF!</f>
        <v>#REF!</v>
      </c>
      <c r="C57" s="21" t="e">
        <f t="shared" si="6"/>
        <v>#REF!</v>
      </c>
      <c r="D57" s="666"/>
      <c r="E57" s="21">
        <f t="shared" si="7"/>
        <v>1</v>
      </c>
      <c r="F57" s="666"/>
      <c r="G57" s="21">
        <f t="shared" si="8"/>
        <v>1</v>
      </c>
      <c r="H57" s="666"/>
      <c r="I57" s="21">
        <f t="shared" si="9"/>
        <v>1</v>
      </c>
      <c r="J57" s="666"/>
      <c r="K57" s="21">
        <f t="shared" si="10"/>
        <v>1</v>
      </c>
      <c r="L57" s="666"/>
      <c r="M57" s="21">
        <f t="shared" si="11"/>
        <v>1</v>
      </c>
      <c r="N57" s="666"/>
      <c r="O57" s="21">
        <f t="shared" si="12"/>
        <v>1</v>
      </c>
      <c r="P57" s="666" t="e">
        <f>#REF!</f>
        <v>#REF!</v>
      </c>
      <c r="Q57" s="21">
        <f t="shared" si="13"/>
        <v>0</v>
      </c>
      <c r="R57" s="662" t="e">
        <f t="shared" si="14"/>
        <v>#REF!</v>
      </c>
      <c r="S57" s="316" t="e">
        <f t="shared" si="5"/>
        <v>#REF!</v>
      </c>
    </row>
    <row r="58" spans="1:19">
      <c r="A58" s="150" t="e">
        <f>#REF!</f>
        <v>#REF!</v>
      </c>
      <c r="B58" s="54" t="e">
        <f>#REF!</f>
        <v>#REF!</v>
      </c>
      <c r="C58" s="21" t="e">
        <f t="shared" si="6"/>
        <v>#REF!</v>
      </c>
      <c r="D58" s="666"/>
      <c r="E58" s="21">
        <f t="shared" si="7"/>
        <v>1</v>
      </c>
      <c r="F58" s="666"/>
      <c r="G58" s="21">
        <f t="shared" si="8"/>
        <v>1</v>
      </c>
      <c r="H58" s="666"/>
      <c r="I58" s="21">
        <f t="shared" si="9"/>
        <v>1</v>
      </c>
      <c r="J58" s="666"/>
      <c r="K58" s="21">
        <f t="shared" si="10"/>
        <v>1</v>
      </c>
      <c r="L58" s="666"/>
      <c r="M58" s="21">
        <f t="shared" si="11"/>
        <v>1</v>
      </c>
      <c r="N58" s="666"/>
      <c r="O58" s="21">
        <f t="shared" si="12"/>
        <v>1</v>
      </c>
      <c r="P58" s="666" t="e">
        <f>#REF!</f>
        <v>#REF!</v>
      </c>
      <c r="Q58" s="21">
        <f t="shared" si="13"/>
        <v>0</v>
      </c>
      <c r="R58" s="662" t="e">
        <f t="shared" si="14"/>
        <v>#REF!</v>
      </c>
      <c r="S58" s="316" t="e">
        <f t="shared" si="5"/>
        <v>#REF!</v>
      </c>
    </row>
    <row r="59" spans="1:19">
      <c r="A59" s="150" t="e">
        <f>#REF!</f>
        <v>#REF!</v>
      </c>
      <c r="B59" s="54" t="e">
        <f>#REF!</f>
        <v>#REF!</v>
      </c>
      <c r="C59" s="21" t="e">
        <f t="shared" si="6"/>
        <v>#REF!</v>
      </c>
      <c r="D59" s="666"/>
      <c r="E59" s="21">
        <f t="shared" si="7"/>
        <v>1</v>
      </c>
      <c r="F59" s="666"/>
      <c r="G59" s="21">
        <f t="shared" si="8"/>
        <v>1</v>
      </c>
      <c r="H59" s="666"/>
      <c r="I59" s="21">
        <f t="shared" si="9"/>
        <v>1</v>
      </c>
      <c r="J59" s="666"/>
      <c r="K59" s="21">
        <f t="shared" si="10"/>
        <v>1</v>
      </c>
      <c r="L59" s="666"/>
      <c r="M59" s="21">
        <f t="shared" si="11"/>
        <v>1</v>
      </c>
      <c r="N59" s="666"/>
      <c r="O59" s="21">
        <f t="shared" si="12"/>
        <v>1</v>
      </c>
      <c r="P59" s="666" t="e">
        <f>#REF!</f>
        <v>#REF!</v>
      </c>
      <c r="Q59" s="21">
        <f t="shared" si="13"/>
        <v>0</v>
      </c>
      <c r="R59" s="662" t="e">
        <f t="shared" si="14"/>
        <v>#REF!</v>
      </c>
      <c r="S59" s="316" t="e">
        <f t="shared" si="5"/>
        <v>#REF!</v>
      </c>
    </row>
    <row r="60" spans="1:19">
      <c r="A60" s="150" t="e">
        <f>#REF!</f>
        <v>#REF!</v>
      </c>
      <c r="B60" s="54" t="e">
        <f>#REF!</f>
        <v>#REF!</v>
      </c>
      <c r="C60" s="21" t="e">
        <f t="shared" si="6"/>
        <v>#REF!</v>
      </c>
      <c r="D60" s="666"/>
      <c r="E60" s="21">
        <f t="shared" si="7"/>
        <v>1</v>
      </c>
      <c r="F60" s="666"/>
      <c r="G60" s="21">
        <f t="shared" si="8"/>
        <v>1</v>
      </c>
      <c r="H60" s="666"/>
      <c r="I60" s="21">
        <f t="shared" si="9"/>
        <v>1</v>
      </c>
      <c r="J60" s="666"/>
      <c r="K60" s="21">
        <f t="shared" si="10"/>
        <v>1</v>
      </c>
      <c r="L60" s="666"/>
      <c r="M60" s="21">
        <f t="shared" si="11"/>
        <v>1</v>
      </c>
      <c r="N60" s="666"/>
      <c r="O60" s="21">
        <f t="shared" si="12"/>
        <v>1</v>
      </c>
      <c r="P60" s="666" t="e">
        <f>#REF!</f>
        <v>#REF!</v>
      </c>
      <c r="Q60" s="21">
        <f t="shared" si="13"/>
        <v>0</v>
      </c>
      <c r="R60" s="662" t="e">
        <f t="shared" si="14"/>
        <v>#REF!</v>
      </c>
      <c r="S60" s="316" t="e">
        <f t="shared" si="5"/>
        <v>#REF!</v>
      </c>
    </row>
    <row r="61" spans="1:19">
      <c r="A61" s="150" t="e">
        <f>#REF!</f>
        <v>#REF!</v>
      </c>
      <c r="B61" s="54" t="e">
        <f>#REF!</f>
        <v>#REF!</v>
      </c>
      <c r="C61" s="21" t="e">
        <f t="shared" si="6"/>
        <v>#REF!</v>
      </c>
      <c r="D61" s="666"/>
      <c r="E61" s="21">
        <f t="shared" si="7"/>
        <v>1</v>
      </c>
      <c r="F61" s="666"/>
      <c r="G61" s="21">
        <f t="shared" si="8"/>
        <v>1</v>
      </c>
      <c r="H61" s="666"/>
      <c r="I61" s="21">
        <f t="shared" si="9"/>
        <v>1</v>
      </c>
      <c r="J61" s="666"/>
      <c r="K61" s="21">
        <f t="shared" si="10"/>
        <v>1</v>
      </c>
      <c r="L61" s="666"/>
      <c r="M61" s="21">
        <f t="shared" si="11"/>
        <v>1</v>
      </c>
      <c r="N61" s="666"/>
      <c r="O61" s="21">
        <f t="shared" si="12"/>
        <v>1</v>
      </c>
      <c r="P61" s="666" t="e">
        <f>#REF!</f>
        <v>#REF!</v>
      </c>
      <c r="Q61" s="21">
        <f t="shared" si="13"/>
        <v>0</v>
      </c>
      <c r="R61" s="662" t="e">
        <f t="shared" si="14"/>
        <v>#REF!</v>
      </c>
      <c r="S61" s="316" t="e">
        <f t="shared" si="5"/>
        <v>#REF!</v>
      </c>
    </row>
    <row r="62" spans="1:19">
      <c r="A62" s="150" t="e">
        <f>#REF!</f>
        <v>#REF!</v>
      </c>
      <c r="B62" s="54" t="e">
        <f>#REF!</f>
        <v>#REF!</v>
      </c>
      <c r="C62" s="21" t="e">
        <f t="shared" si="6"/>
        <v>#REF!</v>
      </c>
      <c r="D62" s="666"/>
      <c r="E62" s="21">
        <f t="shared" si="7"/>
        <v>1</v>
      </c>
      <c r="F62" s="666"/>
      <c r="G62" s="21">
        <f t="shared" si="8"/>
        <v>1</v>
      </c>
      <c r="H62" s="666"/>
      <c r="I62" s="21">
        <f t="shared" si="9"/>
        <v>1</v>
      </c>
      <c r="J62" s="666"/>
      <c r="K62" s="21">
        <f t="shared" si="10"/>
        <v>1</v>
      </c>
      <c r="L62" s="666"/>
      <c r="M62" s="21">
        <f t="shared" si="11"/>
        <v>1</v>
      </c>
      <c r="N62" s="666"/>
      <c r="O62" s="21">
        <f t="shared" si="12"/>
        <v>1</v>
      </c>
      <c r="P62" s="666" t="e">
        <f>#REF!</f>
        <v>#REF!</v>
      </c>
      <c r="Q62" s="21">
        <f t="shared" si="13"/>
        <v>0</v>
      </c>
      <c r="R62" s="662" t="e">
        <f t="shared" si="14"/>
        <v>#REF!</v>
      </c>
      <c r="S62" s="316" t="e">
        <f t="shared" si="5"/>
        <v>#REF!</v>
      </c>
    </row>
    <row r="63" spans="1:19">
      <c r="A63" s="150" t="e">
        <f>#REF!</f>
        <v>#REF!</v>
      </c>
      <c r="B63" s="54" t="e">
        <f>#REF!</f>
        <v>#REF!</v>
      </c>
      <c r="C63" s="21" t="e">
        <f t="shared" si="6"/>
        <v>#REF!</v>
      </c>
      <c r="D63" s="666"/>
      <c r="E63" s="21">
        <f t="shared" si="7"/>
        <v>1</v>
      </c>
      <c r="F63" s="666"/>
      <c r="G63" s="21">
        <f t="shared" si="8"/>
        <v>1</v>
      </c>
      <c r="H63" s="666"/>
      <c r="I63" s="21">
        <f t="shared" si="9"/>
        <v>1</v>
      </c>
      <c r="J63" s="666"/>
      <c r="K63" s="21">
        <f t="shared" si="10"/>
        <v>1</v>
      </c>
      <c r="L63" s="666"/>
      <c r="M63" s="21">
        <f t="shared" si="11"/>
        <v>1</v>
      </c>
      <c r="N63" s="666"/>
      <c r="O63" s="21">
        <f t="shared" si="12"/>
        <v>1</v>
      </c>
      <c r="P63" s="666" t="e">
        <f>#REF!</f>
        <v>#REF!</v>
      </c>
      <c r="Q63" s="21">
        <f t="shared" si="13"/>
        <v>0</v>
      </c>
      <c r="R63" s="662" t="e">
        <f t="shared" si="14"/>
        <v>#REF!</v>
      </c>
      <c r="S63" s="316" t="e">
        <f t="shared" si="5"/>
        <v>#REF!</v>
      </c>
    </row>
    <row r="64" spans="1:19">
      <c r="A64" s="150" t="e">
        <f>#REF!</f>
        <v>#REF!</v>
      </c>
      <c r="B64" s="54" t="e">
        <f>#REF!</f>
        <v>#REF!</v>
      </c>
      <c r="C64" s="21" t="e">
        <f t="shared" si="6"/>
        <v>#REF!</v>
      </c>
      <c r="D64" s="666"/>
      <c r="E64" s="21">
        <f t="shared" si="7"/>
        <v>1</v>
      </c>
      <c r="F64" s="666"/>
      <c r="G64" s="21">
        <f t="shared" si="8"/>
        <v>1</v>
      </c>
      <c r="H64" s="666"/>
      <c r="I64" s="21">
        <f t="shared" si="9"/>
        <v>1</v>
      </c>
      <c r="J64" s="666"/>
      <c r="K64" s="21">
        <f t="shared" si="10"/>
        <v>1</v>
      </c>
      <c r="L64" s="666"/>
      <c r="M64" s="21">
        <f t="shared" si="11"/>
        <v>1</v>
      </c>
      <c r="N64" s="666"/>
      <c r="O64" s="21">
        <f t="shared" si="12"/>
        <v>1</v>
      </c>
      <c r="P64" s="666" t="e">
        <f>#REF!</f>
        <v>#REF!</v>
      </c>
      <c r="Q64" s="21">
        <f t="shared" si="13"/>
        <v>0</v>
      </c>
      <c r="R64" s="662" t="e">
        <f t="shared" si="14"/>
        <v>#REF!</v>
      </c>
      <c r="S64" s="316" t="e">
        <f t="shared" si="5"/>
        <v>#REF!</v>
      </c>
    </row>
    <row r="65" spans="1:19">
      <c r="A65" s="150" t="e">
        <f>#REF!</f>
        <v>#REF!</v>
      </c>
      <c r="B65" s="54" t="e">
        <f>#REF!</f>
        <v>#REF!</v>
      </c>
      <c r="C65" s="21" t="e">
        <f t="shared" si="6"/>
        <v>#REF!</v>
      </c>
      <c r="D65" s="666"/>
      <c r="E65" s="21">
        <f t="shared" si="7"/>
        <v>1</v>
      </c>
      <c r="F65" s="666"/>
      <c r="G65" s="21">
        <f t="shared" si="8"/>
        <v>1</v>
      </c>
      <c r="H65" s="666"/>
      <c r="I65" s="21">
        <f t="shared" si="9"/>
        <v>1</v>
      </c>
      <c r="J65" s="666"/>
      <c r="K65" s="21">
        <f t="shared" si="10"/>
        <v>1</v>
      </c>
      <c r="L65" s="666"/>
      <c r="M65" s="21">
        <f t="shared" si="11"/>
        <v>1</v>
      </c>
      <c r="N65" s="666"/>
      <c r="O65" s="21">
        <f t="shared" si="12"/>
        <v>1</v>
      </c>
      <c r="P65" s="666" t="e">
        <f>#REF!</f>
        <v>#REF!</v>
      </c>
      <c r="Q65" s="21">
        <f t="shared" si="13"/>
        <v>0</v>
      </c>
      <c r="R65" s="662" t="e">
        <f t="shared" si="14"/>
        <v>#REF!</v>
      </c>
      <c r="S65" s="316" t="e">
        <f t="shared" si="5"/>
        <v>#REF!</v>
      </c>
    </row>
    <row r="66" spans="1:19">
      <c r="A66" s="150" t="e">
        <f>#REF!</f>
        <v>#REF!</v>
      </c>
      <c r="B66" s="54" t="e">
        <f>#REF!</f>
        <v>#REF!</v>
      </c>
      <c r="C66" s="21" t="e">
        <f t="shared" si="6"/>
        <v>#REF!</v>
      </c>
      <c r="D66" s="666"/>
      <c r="E66" s="21">
        <f t="shared" si="7"/>
        <v>1</v>
      </c>
      <c r="F66" s="666"/>
      <c r="G66" s="21">
        <f t="shared" si="8"/>
        <v>1</v>
      </c>
      <c r="H66" s="666"/>
      <c r="I66" s="21">
        <f t="shared" si="9"/>
        <v>1</v>
      </c>
      <c r="J66" s="666"/>
      <c r="K66" s="21">
        <f t="shared" si="10"/>
        <v>1</v>
      </c>
      <c r="L66" s="666"/>
      <c r="M66" s="21">
        <f t="shared" si="11"/>
        <v>1</v>
      </c>
      <c r="N66" s="666"/>
      <c r="O66" s="21">
        <f t="shared" si="12"/>
        <v>1</v>
      </c>
      <c r="P66" s="666" t="e">
        <f>#REF!</f>
        <v>#REF!</v>
      </c>
      <c r="Q66" s="21">
        <f t="shared" si="13"/>
        <v>0</v>
      </c>
      <c r="R66" s="662" t="e">
        <f t="shared" si="14"/>
        <v>#REF!</v>
      </c>
      <c r="S66" s="316" t="e">
        <f t="shared" si="5"/>
        <v>#REF!</v>
      </c>
    </row>
    <row r="67" spans="1:19">
      <c r="A67" s="150" t="e">
        <f>#REF!</f>
        <v>#REF!</v>
      </c>
      <c r="B67" s="54" t="e">
        <f>#REF!</f>
        <v>#REF!</v>
      </c>
      <c r="C67" s="21" t="e">
        <f t="shared" si="6"/>
        <v>#REF!</v>
      </c>
      <c r="D67" s="666"/>
      <c r="E67" s="21">
        <f t="shared" si="7"/>
        <v>1</v>
      </c>
      <c r="F67" s="666"/>
      <c r="G67" s="21">
        <f t="shared" si="8"/>
        <v>1</v>
      </c>
      <c r="H67" s="666"/>
      <c r="I67" s="21">
        <f t="shared" si="9"/>
        <v>1</v>
      </c>
      <c r="J67" s="666"/>
      <c r="K67" s="21">
        <f t="shared" si="10"/>
        <v>1</v>
      </c>
      <c r="L67" s="666"/>
      <c r="M67" s="21">
        <f t="shared" si="11"/>
        <v>1</v>
      </c>
      <c r="N67" s="666"/>
      <c r="O67" s="21">
        <f t="shared" si="12"/>
        <v>1</v>
      </c>
      <c r="P67" s="666" t="e">
        <f>#REF!</f>
        <v>#REF!</v>
      </c>
      <c r="Q67" s="21">
        <f t="shared" si="13"/>
        <v>0</v>
      </c>
      <c r="R67" s="662" t="e">
        <f t="shared" si="14"/>
        <v>#REF!</v>
      </c>
      <c r="S67" s="316" t="e">
        <f t="shared" si="5"/>
        <v>#REF!</v>
      </c>
    </row>
    <row r="68" spans="1:19">
      <c r="A68" s="150" t="e">
        <f>#REF!</f>
        <v>#REF!</v>
      </c>
      <c r="B68" s="54" t="e">
        <f>#REF!</f>
        <v>#REF!</v>
      </c>
      <c r="C68" s="21" t="e">
        <f t="shared" si="6"/>
        <v>#REF!</v>
      </c>
      <c r="D68" s="666"/>
      <c r="E68" s="21">
        <f t="shared" si="7"/>
        <v>1</v>
      </c>
      <c r="F68" s="666"/>
      <c r="G68" s="21">
        <f t="shared" si="8"/>
        <v>1</v>
      </c>
      <c r="H68" s="666"/>
      <c r="I68" s="21">
        <f t="shared" si="9"/>
        <v>1</v>
      </c>
      <c r="J68" s="666"/>
      <c r="K68" s="21">
        <f t="shared" si="10"/>
        <v>1</v>
      </c>
      <c r="L68" s="666"/>
      <c r="M68" s="21">
        <f t="shared" si="11"/>
        <v>1</v>
      </c>
      <c r="N68" s="666"/>
      <c r="O68" s="21">
        <f t="shared" si="12"/>
        <v>1</v>
      </c>
      <c r="P68" s="666" t="e">
        <f>#REF!</f>
        <v>#REF!</v>
      </c>
      <c r="Q68" s="21">
        <f t="shared" si="13"/>
        <v>0</v>
      </c>
      <c r="R68" s="662" t="e">
        <f t="shared" si="14"/>
        <v>#REF!</v>
      </c>
      <c r="S68" s="316" t="e">
        <f t="shared" si="5"/>
        <v>#REF!</v>
      </c>
    </row>
    <row r="69" spans="1:19">
      <c r="A69" s="150" t="e">
        <f>#REF!</f>
        <v>#REF!</v>
      </c>
      <c r="B69" s="54" t="e">
        <f>#REF!</f>
        <v>#REF!</v>
      </c>
      <c r="C69" s="21" t="e">
        <f t="shared" si="6"/>
        <v>#REF!</v>
      </c>
      <c r="D69" s="666"/>
      <c r="E69" s="21">
        <f t="shared" si="7"/>
        <v>1</v>
      </c>
      <c r="F69" s="666"/>
      <c r="G69" s="21">
        <f t="shared" si="8"/>
        <v>1</v>
      </c>
      <c r="H69" s="666"/>
      <c r="I69" s="21">
        <f t="shared" si="9"/>
        <v>1</v>
      </c>
      <c r="J69" s="666"/>
      <c r="K69" s="21">
        <f t="shared" si="10"/>
        <v>1</v>
      </c>
      <c r="L69" s="666"/>
      <c r="M69" s="21">
        <f t="shared" si="11"/>
        <v>1</v>
      </c>
      <c r="N69" s="666"/>
      <c r="O69" s="21">
        <f t="shared" si="12"/>
        <v>1</v>
      </c>
      <c r="P69" s="666" t="e">
        <f>#REF!</f>
        <v>#REF!</v>
      </c>
      <c r="Q69" s="21">
        <f t="shared" si="13"/>
        <v>0</v>
      </c>
      <c r="R69" s="662" t="e">
        <f t="shared" si="14"/>
        <v>#REF!</v>
      </c>
      <c r="S69" s="316" t="e">
        <f t="shared" si="5"/>
        <v>#REF!</v>
      </c>
    </row>
    <row r="70" spans="1:19">
      <c r="A70" s="150" t="e">
        <f>#REF!</f>
        <v>#REF!</v>
      </c>
      <c r="B70" s="54" t="e">
        <f>#REF!</f>
        <v>#REF!</v>
      </c>
      <c r="C70" s="21" t="e">
        <f t="shared" si="6"/>
        <v>#REF!</v>
      </c>
      <c r="D70" s="666"/>
      <c r="E70" s="21">
        <f t="shared" si="7"/>
        <v>1</v>
      </c>
      <c r="F70" s="666"/>
      <c r="G70" s="21">
        <f t="shared" si="8"/>
        <v>1</v>
      </c>
      <c r="H70" s="666"/>
      <c r="I70" s="21">
        <f t="shared" si="9"/>
        <v>1</v>
      </c>
      <c r="J70" s="666"/>
      <c r="K70" s="21">
        <f t="shared" si="10"/>
        <v>1</v>
      </c>
      <c r="L70" s="666"/>
      <c r="M70" s="21">
        <f t="shared" si="11"/>
        <v>1</v>
      </c>
      <c r="N70" s="666"/>
      <c r="O70" s="21">
        <f t="shared" si="12"/>
        <v>1</v>
      </c>
      <c r="P70" s="666" t="e">
        <f>#REF!</f>
        <v>#REF!</v>
      </c>
      <c r="Q70" s="21">
        <f t="shared" si="13"/>
        <v>0</v>
      </c>
      <c r="R70" s="662" t="e">
        <f t="shared" si="14"/>
        <v>#REF!</v>
      </c>
      <c r="S70" s="316" t="e">
        <f t="shared" si="5"/>
        <v>#REF!</v>
      </c>
    </row>
    <row r="71" spans="1:19">
      <c r="A71" s="150" t="e">
        <f>#REF!</f>
        <v>#REF!</v>
      </c>
      <c r="B71" s="54" t="e">
        <f>#REF!</f>
        <v>#REF!</v>
      </c>
      <c r="C71" s="21" t="e">
        <f t="shared" si="6"/>
        <v>#REF!</v>
      </c>
      <c r="D71" s="666"/>
      <c r="E71" s="21">
        <f t="shared" si="7"/>
        <v>1</v>
      </c>
      <c r="F71" s="666"/>
      <c r="G71" s="21">
        <f t="shared" si="8"/>
        <v>1</v>
      </c>
      <c r="H71" s="666"/>
      <c r="I71" s="21">
        <f t="shared" si="9"/>
        <v>1</v>
      </c>
      <c r="J71" s="666"/>
      <c r="K71" s="21">
        <f t="shared" si="10"/>
        <v>1</v>
      </c>
      <c r="L71" s="666"/>
      <c r="M71" s="21">
        <f t="shared" si="11"/>
        <v>1</v>
      </c>
      <c r="N71" s="666"/>
      <c r="O71" s="21">
        <f t="shared" si="12"/>
        <v>1</v>
      </c>
      <c r="P71" s="666" t="e">
        <f>#REF!</f>
        <v>#REF!</v>
      </c>
      <c r="Q71" s="21">
        <f t="shared" si="13"/>
        <v>0</v>
      </c>
      <c r="R71" s="662" t="e">
        <f t="shared" si="14"/>
        <v>#REF!</v>
      </c>
      <c r="S71" s="316" t="e">
        <f t="shared" si="5"/>
        <v>#REF!</v>
      </c>
    </row>
    <row r="72" spans="1:19">
      <c r="A72" s="150" t="e">
        <f>#REF!</f>
        <v>#REF!</v>
      </c>
      <c r="B72" s="54" t="e">
        <f>#REF!</f>
        <v>#REF!</v>
      </c>
      <c r="C72" s="21" t="e">
        <f t="shared" si="6"/>
        <v>#REF!</v>
      </c>
      <c r="D72" s="666"/>
      <c r="E72" s="21">
        <f t="shared" si="7"/>
        <v>1</v>
      </c>
      <c r="F72" s="666"/>
      <c r="G72" s="21">
        <f t="shared" si="8"/>
        <v>1</v>
      </c>
      <c r="H72" s="666"/>
      <c r="I72" s="21">
        <f t="shared" si="9"/>
        <v>1</v>
      </c>
      <c r="J72" s="666"/>
      <c r="K72" s="21">
        <f t="shared" si="10"/>
        <v>1</v>
      </c>
      <c r="L72" s="666"/>
      <c r="M72" s="21">
        <f t="shared" si="11"/>
        <v>1</v>
      </c>
      <c r="N72" s="666"/>
      <c r="O72" s="21">
        <f t="shared" si="12"/>
        <v>1</v>
      </c>
      <c r="P72" s="666" t="e">
        <f>#REF!</f>
        <v>#REF!</v>
      </c>
      <c r="Q72" s="21">
        <f t="shared" si="13"/>
        <v>0</v>
      </c>
      <c r="R72" s="662" t="e">
        <f t="shared" si="14"/>
        <v>#REF!</v>
      </c>
      <c r="S72" s="316" t="e">
        <f t="shared" si="5"/>
        <v>#REF!</v>
      </c>
    </row>
    <row r="73" spans="1:19">
      <c r="A73" s="150" t="e">
        <f>#REF!</f>
        <v>#REF!</v>
      </c>
      <c r="B73" s="54" t="e">
        <f>#REF!</f>
        <v>#REF!</v>
      </c>
      <c r="C73" s="21" t="e">
        <f t="shared" si="6"/>
        <v>#REF!</v>
      </c>
      <c r="D73" s="666"/>
      <c r="E73" s="21">
        <f t="shared" si="7"/>
        <v>1</v>
      </c>
      <c r="F73" s="666"/>
      <c r="G73" s="21">
        <f t="shared" si="8"/>
        <v>1</v>
      </c>
      <c r="H73" s="666"/>
      <c r="I73" s="21">
        <f t="shared" si="9"/>
        <v>1</v>
      </c>
      <c r="J73" s="666"/>
      <c r="K73" s="21">
        <f t="shared" si="10"/>
        <v>1</v>
      </c>
      <c r="L73" s="666"/>
      <c r="M73" s="21">
        <f t="shared" si="11"/>
        <v>1</v>
      </c>
      <c r="N73" s="666"/>
      <c r="O73" s="21">
        <f t="shared" si="12"/>
        <v>1</v>
      </c>
      <c r="P73" s="666" t="e">
        <f>#REF!</f>
        <v>#REF!</v>
      </c>
      <c r="Q73" s="21">
        <f t="shared" si="13"/>
        <v>0</v>
      </c>
      <c r="R73" s="662" t="e">
        <f t="shared" si="14"/>
        <v>#REF!</v>
      </c>
      <c r="S73" s="316" t="e">
        <f t="shared" si="5"/>
        <v>#REF!</v>
      </c>
    </row>
    <row r="74" spans="1:19">
      <c r="A74" s="150" t="e">
        <f>#REF!</f>
        <v>#REF!</v>
      </c>
      <c r="B74" s="54" t="e">
        <f>#REF!</f>
        <v>#REF!</v>
      </c>
      <c r="C74" s="21" t="e">
        <f t="shared" si="6"/>
        <v>#REF!</v>
      </c>
      <c r="D74" s="666"/>
      <c r="E74" s="21">
        <f t="shared" si="7"/>
        <v>1</v>
      </c>
      <c r="F74" s="666"/>
      <c r="G74" s="21">
        <f t="shared" si="8"/>
        <v>1</v>
      </c>
      <c r="H74" s="666"/>
      <c r="I74" s="21">
        <f t="shared" si="9"/>
        <v>1</v>
      </c>
      <c r="J74" s="666"/>
      <c r="K74" s="21">
        <f t="shared" si="10"/>
        <v>1</v>
      </c>
      <c r="L74" s="666"/>
      <c r="M74" s="21">
        <f t="shared" si="11"/>
        <v>1</v>
      </c>
      <c r="N74" s="666"/>
      <c r="O74" s="21">
        <f t="shared" si="12"/>
        <v>1</v>
      </c>
      <c r="P74" s="666" t="e">
        <f>#REF!</f>
        <v>#REF!</v>
      </c>
      <c r="Q74" s="21">
        <f t="shared" si="13"/>
        <v>0</v>
      </c>
      <c r="R74" s="662" t="e">
        <f t="shared" si="14"/>
        <v>#REF!</v>
      </c>
      <c r="S74" s="316" t="e">
        <f t="shared" si="5"/>
        <v>#REF!</v>
      </c>
    </row>
    <row r="75" spans="1:19">
      <c r="A75" s="150" t="e">
        <f>#REF!</f>
        <v>#REF!</v>
      </c>
      <c r="B75" s="54" t="e">
        <f>#REF!</f>
        <v>#REF!</v>
      </c>
      <c r="C75" s="21" t="e">
        <f t="shared" si="6"/>
        <v>#REF!</v>
      </c>
      <c r="D75" s="666"/>
      <c r="E75" s="21">
        <f t="shared" si="7"/>
        <v>1</v>
      </c>
      <c r="F75" s="666"/>
      <c r="G75" s="21">
        <f t="shared" si="8"/>
        <v>1</v>
      </c>
      <c r="H75" s="666"/>
      <c r="I75" s="21">
        <f t="shared" si="9"/>
        <v>1</v>
      </c>
      <c r="J75" s="666"/>
      <c r="K75" s="21">
        <f t="shared" si="10"/>
        <v>1</v>
      </c>
      <c r="L75" s="666"/>
      <c r="M75" s="21">
        <f t="shared" si="11"/>
        <v>1</v>
      </c>
      <c r="N75" s="666"/>
      <c r="O75" s="21">
        <f t="shared" si="12"/>
        <v>1</v>
      </c>
      <c r="P75" s="666" t="e">
        <f>#REF!</f>
        <v>#REF!</v>
      </c>
      <c r="Q75" s="21">
        <f t="shared" si="13"/>
        <v>0</v>
      </c>
      <c r="R75" s="662" t="e">
        <f t="shared" si="14"/>
        <v>#REF!</v>
      </c>
      <c r="S75" s="316" t="e">
        <f t="shared" si="5"/>
        <v>#REF!</v>
      </c>
    </row>
    <row r="76" spans="1:19">
      <c r="A76" s="150" t="e">
        <f>#REF!</f>
        <v>#REF!</v>
      </c>
      <c r="B76" s="54" t="e">
        <f>#REF!</f>
        <v>#REF!</v>
      </c>
      <c r="C76" s="21" t="e">
        <f t="shared" si="6"/>
        <v>#REF!</v>
      </c>
      <c r="D76" s="666"/>
      <c r="E76" s="21">
        <f t="shared" si="7"/>
        <v>1</v>
      </c>
      <c r="F76" s="666"/>
      <c r="G76" s="21">
        <f t="shared" si="8"/>
        <v>1</v>
      </c>
      <c r="H76" s="666"/>
      <c r="I76" s="21">
        <f t="shared" si="9"/>
        <v>1</v>
      </c>
      <c r="J76" s="666"/>
      <c r="K76" s="21">
        <f t="shared" si="10"/>
        <v>1</v>
      </c>
      <c r="L76" s="666"/>
      <c r="M76" s="21">
        <f t="shared" si="11"/>
        <v>1</v>
      </c>
      <c r="N76" s="666"/>
      <c r="O76" s="21">
        <f t="shared" si="12"/>
        <v>1</v>
      </c>
      <c r="P76" s="666" t="e">
        <f>#REF!</f>
        <v>#REF!</v>
      </c>
      <c r="Q76" s="21">
        <f t="shared" si="13"/>
        <v>0</v>
      </c>
      <c r="R76" s="662" t="e">
        <f t="shared" si="14"/>
        <v>#REF!</v>
      </c>
      <c r="S76" s="316" t="e">
        <f t="shared" si="5"/>
        <v>#REF!</v>
      </c>
    </row>
    <row r="77" spans="1:19">
      <c r="A77" s="150" t="e">
        <f>#REF!</f>
        <v>#REF!</v>
      </c>
      <c r="B77" s="54" t="e">
        <f>#REF!</f>
        <v>#REF!</v>
      </c>
      <c r="C77" s="21" t="e">
        <f t="shared" si="6"/>
        <v>#REF!</v>
      </c>
      <c r="D77" s="666"/>
      <c r="E77" s="21">
        <f t="shared" si="7"/>
        <v>1</v>
      </c>
      <c r="F77" s="666"/>
      <c r="G77" s="21">
        <f t="shared" si="8"/>
        <v>1</v>
      </c>
      <c r="H77" s="666"/>
      <c r="I77" s="21">
        <f t="shared" si="9"/>
        <v>1</v>
      </c>
      <c r="J77" s="666"/>
      <c r="K77" s="21">
        <f t="shared" si="10"/>
        <v>1</v>
      </c>
      <c r="L77" s="666"/>
      <c r="M77" s="21">
        <f t="shared" si="11"/>
        <v>1</v>
      </c>
      <c r="N77" s="666"/>
      <c r="O77" s="21">
        <f t="shared" si="12"/>
        <v>1</v>
      </c>
      <c r="P77" s="666" t="e">
        <f>#REF!</f>
        <v>#REF!</v>
      </c>
      <c r="Q77" s="21">
        <f t="shared" si="13"/>
        <v>0</v>
      </c>
      <c r="R77" s="662" t="e">
        <f t="shared" si="14"/>
        <v>#REF!</v>
      </c>
      <c r="S77" s="316" t="e">
        <f t="shared" si="5"/>
        <v>#REF!</v>
      </c>
    </row>
    <row r="78" spans="1:19">
      <c r="A78" s="150" t="e">
        <f>#REF!</f>
        <v>#REF!</v>
      </c>
      <c r="B78" s="54" t="e">
        <f>#REF!</f>
        <v>#REF!</v>
      </c>
      <c r="C78" s="21" t="e">
        <f t="shared" si="6"/>
        <v>#REF!</v>
      </c>
      <c r="D78" s="666"/>
      <c r="E78" s="21">
        <f t="shared" si="7"/>
        <v>1</v>
      </c>
      <c r="F78" s="666"/>
      <c r="G78" s="21">
        <f t="shared" si="8"/>
        <v>1</v>
      </c>
      <c r="H78" s="666"/>
      <c r="I78" s="21">
        <f t="shared" si="9"/>
        <v>1</v>
      </c>
      <c r="J78" s="666"/>
      <c r="K78" s="21">
        <f t="shared" si="10"/>
        <v>1</v>
      </c>
      <c r="L78" s="666"/>
      <c r="M78" s="21">
        <f t="shared" si="11"/>
        <v>1</v>
      </c>
      <c r="N78" s="666"/>
      <c r="O78" s="21">
        <f t="shared" si="12"/>
        <v>1</v>
      </c>
      <c r="P78" s="666" t="e">
        <f>#REF!</f>
        <v>#REF!</v>
      </c>
      <c r="Q78" s="21">
        <f t="shared" si="13"/>
        <v>0</v>
      </c>
      <c r="R78" s="662" t="e">
        <f t="shared" si="14"/>
        <v>#REF!</v>
      </c>
      <c r="S78" s="316" t="e">
        <f t="shared" si="5"/>
        <v>#REF!</v>
      </c>
    </row>
    <row r="79" spans="1:19">
      <c r="A79" s="150" t="e">
        <f>#REF!</f>
        <v>#REF!</v>
      </c>
      <c r="B79" s="54" t="e">
        <f>#REF!</f>
        <v>#REF!</v>
      </c>
      <c r="C79" s="21" t="e">
        <f t="shared" si="6"/>
        <v>#REF!</v>
      </c>
      <c r="D79" s="666"/>
      <c r="E79" s="21">
        <f t="shared" si="7"/>
        <v>1</v>
      </c>
      <c r="F79" s="666"/>
      <c r="G79" s="21">
        <f t="shared" si="8"/>
        <v>1</v>
      </c>
      <c r="H79" s="666"/>
      <c r="I79" s="21">
        <f t="shared" si="9"/>
        <v>1</v>
      </c>
      <c r="J79" s="666"/>
      <c r="K79" s="21">
        <f t="shared" si="10"/>
        <v>1</v>
      </c>
      <c r="L79" s="666"/>
      <c r="M79" s="21">
        <f t="shared" si="11"/>
        <v>1</v>
      </c>
      <c r="N79" s="666"/>
      <c r="O79" s="21">
        <f t="shared" si="12"/>
        <v>1</v>
      </c>
      <c r="P79" s="666" t="e">
        <f>#REF!</f>
        <v>#REF!</v>
      </c>
      <c r="Q79" s="21">
        <f t="shared" si="13"/>
        <v>0</v>
      </c>
      <c r="R79" s="662" t="e">
        <f t="shared" si="14"/>
        <v>#REF!</v>
      </c>
      <c r="S79" s="316" t="e">
        <f t="shared" si="5"/>
        <v>#REF!</v>
      </c>
    </row>
    <row r="80" spans="1:19">
      <c r="A80" s="150" t="e">
        <f>#REF!</f>
        <v>#REF!</v>
      </c>
      <c r="B80" s="54" t="e">
        <f>#REF!</f>
        <v>#REF!</v>
      </c>
      <c r="C80" s="21" t="e">
        <f t="shared" si="6"/>
        <v>#REF!</v>
      </c>
      <c r="D80" s="666"/>
      <c r="E80" s="21">
        <f t="shared" si="7"/>
        <v>1</v>
      </c>
      <c r="F80" s="666"/>
      <c r="G80" s="21">
        <f t="shared" si="8"/>
        <v>1</v>
      </c>
      <c r="H80" s="666"/>
      <c r="I80" s="21">
        <f t="shared" si="9"/>
        <v>1</v>
      </c>
      <c r="J80" s="666"/>
      <c r="K80" s="21">
        <f t="shared" si="10"/>
        <v>1</v>
      </c>
      <c r="L80" s="666"/>
      <c r="M80" s="21">
        <f t="shared" si="11"/>
        <v>1</v>
      </c>
      <c r="N80" s="666"/>
      <c r="O80" s="21">
        <f t="shared" si="12"/>
        <v>1</v>
      </c>
      <c r="P80" s="666" t="e">
        <f>#REF!</f>
        <v>#REF!</v>
      </c>
      <c r="Q80" s="21">
        <f t="shared" si="13"/>
        <v>0</v>
      </c>
      <c r="R80" s="662" t="e">
        <f t="shared" si="14"/>
        <v>#REF!</v>
      </c>
      <c r="S80" s="316" t="e">
        <f t="shared" si="5"/>
        <v>#REF!</v>
      </c>
    </row>
    <row r="81" spans="1:19">
      <c r="A81" s="150" t="e">
        <f>#REF!</f>
        <v>#REF!</v>
      </c>
      <c r="B81" s="54" t="e">
        <f>#REF!</f>
        <v>#REF!</v>
      </c>
      <c r="C81" s="21" t="e">
        <f t="shared" si="6"/>
        <v>#REF!</v>
      </c>
      <c r="D81" s="666"/>
      <c r="E81" s="21">
        <f t="shared" si="7"/>
        <v>1</v>
      </c>
      <c r="F81" s="666"/>
      <c r="G81" s="21">
        <f t="shared" si="8"/>
        <v>1</v>
      </c>
      <c r="H81" s="666"/>
      <c r="I81" s="21">
        <f t="shared" si="9"/>
        <v>1</v>
      </c>
      <c r="J81" s="666"/>
      <c r="K81" s="21">
        <f t="shared" si="10"/>
        <v>1</v>
      </c>
      <c r="L81" s="666"/>
      <c r="M81" s="21">
        <f t="shared" si="11"/>
        <v>1</v>
      </c>
      <c r="N81" s="666"/>
      <c r="O81" s="21">
        <f t="shared" si="12"/>
        <v>1</v>
      </c>
      <c r="P81" s="666" t="e">
        <f>#REF!</f>
        <v>#REF!</v>
      </c>
      <c r="Q81" s="21">
        <f t="shared" si="13"/>
        <v>0</v>
      </c>
      <c r="R81" s="662" t="e">
        <f t="shared" si="14"/>
        <v>#REF!</v>
      </c>
      <c r="S81" s="316" t="e">
        <f t="shared" si="5"/>
        <v>#REF!</v>
      </c>
    </row>
    <row r="82" spans="1:19">
      <c r="A82" s="150" t="e">
        <f>#REF!</f>
        <v>#REF!</v>
      </c>
      <c r="B82" s="54" t="e">
        <f>#REF!</f>
        <v>#REF!</v>
      </c>
      <c r="C82" s="21" t="e">
        <f t="shared" si="6"/>
        <v>#REF!</v>
      </c>
      <c r="D82" s="666"/>
      <c r="E82" s="21">
        <f t="shared" si="7"/>
        <v>1</v>
      </c>
      <c r="F82" s="666"/>
      <c r="G82" s="21">
        <f t="shared" si="8"/>
        <v>1</v>
      </c>
      <c r="H82" s="666"/>
      <c r="I82" s="21">
        <f t="shared" si="9"/>
        <v>1</v>
      </c>
      <c r="J82" s="666"/>
      <c r="K82" s="21">
        <f t="shared" si="10"/>
        <v>1</v>
      </c>
      <c r="L82" s="666"/>
      <c r="M82" s="21">
        <f t="shared" si="11"/>
        <v>1</v>
      </c>
      <c r="N82" s="666"/>
      <c r="O82" s="21">
        <f t="shared" si="12"/>
        <v>1</v>
      </c>
      <c r="P82" s="666" t="e">
        <f>#REF!</f>
        <v>#REF!</v>
      </c>
      <c r="Q82" s="21">
        <f t="shared" si="13"/>
        <v>0</v>
      </c>
      <c r="R82" s="662" t="e">
        <f t="shared" si="14"/>
        <v>#REF!</v>
      </c>
      <c r="S82" s="316" t="e">
        <f t="shared" si="5"/>
        <v>#REF!</v>
      </c>
    </row>
    <row r="83" spans="1:19">
      <c r="A83" s="150" t="e">
        <f>#REF!</f>
        <v>#REF!</v>
      </c>
      <c r="B83" s="54" t="e">
        <f>#REF!</f>
        <v>#REF!</v>
      </c>
      <c r="C83" s="21" t="e">
        <f t="shared" si="6"/>
        <v>#REF!</v>
      </c>
      <c r="D83" s="666"/>
      <c r="E83" s="21">
        <f t="shared" si="7"/>
        <v>1</v>
      </c>
      <c r="F83" s="666"/>
      <c r="G83" s="21">
        <f t="shared" si="8"/>
        <v>1</v>
      </c>
      <c r="H83" s="666"/>
      <c r="I83" s="21">
        <f t="shared" si="9"/>
        <v>1</v>
      </c>
      <c r="J83" s="666"/>
      <c r="K83" s="21">
        <f t="shared" si="10"/>
        <v>1</v>
      </c>
      <c r="L83" s="666"/>
      <c r="M83" s="21">
        <f t="shared" si="11"/>
        <v>1</v>
      </c>
      <c r="N83" s="666"/>
      <c r="O83" s="21">
        <f t="shared" si="12"/>
        <v>1</v>
      </c>
      <c r="P83" s="666" t="e">
        <f>#REF!</f>
        <v>#REF!</v>
      </c>
      <c r="Q83" s="21">
        <f t="shared" si="13"/>
        <v>0</v>
      </c>
      <c r="R83" s="662" t="e">
        <f t="shared" si="14"/>
        <v>#REF!</v>
      </c>
      <c r="S83" s="316" t="e">
        <f t="shared" si="5"/>
        <v>#REF!</v>
      </c>
    </row>
    <row r="84" spans="1:19">
      <c r="A84" s="150" t="e">
        <f>#REF!</f>
        <v>#REF!</v>
      </c>
      <c r="B84" s="54" t="e">
        <f>#REF!</f>
        <v>#REF!</v>
      </c>
      <c r="C84" s="21" t="e">
        <f t="shared" si="6"/>
        <v>#REF!</v>
      </c>
      <c r="D84" s="666"/>
      <c r="E84" s="21">
        <f t="shared" si="7"/>
        <v>1</v>
      </c>
      <c r="F84" s="666"/>
      <c r="G84" s="21">
        <f t="shared" si="8"/>
        <v>1</v>
      </c>
      <c r="H84" s="666"/>
      <c r="I84" s="21">
        <f t="shared" si="9"/>
        <v>1</v>
      </c>
      <c r="J84" s="666"/>
      <c r="K84" s="21">
        <f t="shared" si="10"/>
        <v>1</v>
      </c>
      <c r="L84" s="666"/>
      <c r="M84" s="21">
        <f t="shared" si="11"/>
        <v>1</v>
      </c>
      <c r="N84" s="666"/>
      <c r="O84" s="21">
        <f t="shared" si="12"/>
        <v>1</v>
      </c>
      <c r="P84" s="666" t="e">
        <f>#REF!</f>
        <v>#REF!</v>
      </c>
      <c r="Q84" s="21">
        <f t="shared" si="13"/>
        <v>0</v>
      </c>
      <c r="R84" s="662" t="e">
        <f t="shared" si="14"/>
        <v>#REF!</v>
      </c>
      <c r="S84" s="316" t="e">
        <f t="shared" si="5"/>
        <v>#REF!</v>
      </c>
    </row>
    <row r="85" spans="1:19">
      <c r="A85" s="150" t="e">
        <f>#REF!</f>
        <v>#REF!</v>
      </c>
      <c r="B85" s="54" t="e">
        <f>#REF!</f>
        <v>#REF!</v>
      </c>
      <c r="C85" s="21" t="e">
        <f t="shared" si="6"/>
        <v>#REF!</v>
      </c>
      <c r="D85" s="666"/>
      <c r="E85" s="21">
        <f t="shared" si="7"/>
        <v>1</v>
      </c>
      <c r="F85" s="666"/>
      <c r="G85" s="21">
        <f t="shared" si="8"/>
        <v>1</v>
      </c>
      <c r="H85" s="666"/>
      <c r="I85" s="21">
        <f t="shared" si="9"/>
        <v>1</v>
      </c>
      <c r="J85" s="666"/>
      <c r="K85" s="21">
        <f t="shared" si="10"/>
        <v>1</v>
      </c>
      <c r="L85" s="666"/>
      <c r="M85" s="21">
        <f t="shared" si="11"/>
        <v>1</v>
      </c>
      <c r="N85" s="666"/>
      <c r="O85" s="21">
        <f t="shared" si="12"/>
        <v>1</v>
      </c>
      <c r="P85" s="666" t="e">
        <f>#REF!</f>
        <v>#REF!</v>
      </c>
      <c r="Q85" s="21">
        <f t="shared" si="13"/>
        <v>0</v>
      </c>
      <c r="R85" s="662" t="e">
        <f t="shared" si="14"/>
        <v>#REF!</v>
      </c>
      <c r="S85" s="316" t="e">
        <f t="shared" si="5"/>
        <v>#REF!</v>
      </c>
    </row>
    <row r="86" spans="1:19">
      <c r="A86" s="150" t="e">
        <f>#REF!</f>
        <v>#REF!</v>
      </c>
      <c r="B86" s="54" t="e">
        <f>#REF!</f>
        <v>#REF!</v>
      </c>
      <c r="C86" s="21" t="e">
        <f t="shared" si="6"/>
        <v>#REF!</v>
      </c>
      <c r="D86" s="666"/>
      <c r="E86" s="21">
        <f t="shared" si="7"/>
        <v>1</v>
      </c>
      <c r="F86" s="666"/>
      <c r="G86" s="21">
        <f t="shared" si="8"/>
        <v>1</v>
      </c>
      <c r="H86" s="666"/>
      <c r="I86" s="21">
        <f t="shared" si="9"/>
        <v>1</v>
      </c>
      <c r="J86" s="666"/>
      <c r="K86" s="21">
        <f t="shared" si="10"/>
        <v>1</v>
      </c>
      <c r="L86" s="666"/>
      <c r="M86" s="21">
        <f t="shared" si="11"/>
        <v>1</v>
      </c>
      <c r="N86" s="666"/>
      <c r="O86" s="21">
        <f t="shared" si="12"/>
        <v>1</v>
      </c>
      <c r="P86" s="666" t="e">
        <f>#REF!</f>
        <v>#REF!</v>
      </c>
      <c r="Q86" s="21">
        <f t="shared" si="13"/>
        <v>0</v>
      </c>
      <c r="R86" s="662" t="e">
        <f t="shared" si="14"/>
        <v>#REF!</v>
      </c>
      <c r="S86" s="316" t="e">
        <f t="shared" si="5"/>
        <v>#REF!</v>
      </c>
    </row>
    <row r="87" spans="1:19">
      <c r="A87" s="150" t="e">
        <f>#REF!</f>
        <v>#REF!</v>
      </c>
      <c r="B87" s="54" t="e">
        <f>#REF!</f>
        <v>#REF!</v>
      </c>
      <c r="C87" s="21" t="e">
        <f t="shared" si="6"/>
        <v>#REF!</v>
      </c>
      <c r="D87" s="666"/>
      <c r="E87" s="21">
        <f t="shared" si="7"/>
        <v>1</v>
      </c>
      <c r="F87" s="666"/>
      <c r="G87" s="21">
        <f t="shared" si="8"/>
        <v>1</v>
      </c>
      <c r="H87" s="666"/>
      <c r="I87" s="21">
        <f t="shared" si="9"/>
        <v>1</v>
      </c>
      <c r="J87" s="666"/>
      <c r="K87" s="21">
        <f t="shared" si="10"/>
        <v>1</v>
      </c>
      <c r="L87" s="666"/>
      <c r="M87" s="21">
        <f t="shared" si="11"/>
        <v>1</v>
      </c>
      <c r="N87" s="666"/>
      <c r="O87" s="21">
        <f t="shared" si="12"/>
        <v>1</v>
      </c>
      <c r="P87" s="666" t="e">
        <f>#REF!</f>
        <v>#REF!</v>
      </c>
      <c r="Q87" s="21">
        <f t="shared" si="13"/>
        <v>0</v>
      </c>
      <c r="R87" s="662" t="e">
        <f t="shared" si="14"/>
        <v>#REF!</v>
      </c>
      <c r="S87" s="316" t="e">
        <f t="shared" si="5"/>
        <v>#REF!</v>
      </c>
    </row>
    <row r="88" spans="1:19">
      <c r="A88" s="150" t="e">
        <f>#REF!</f>
        <v>#REF!</v>
      </c>
      <c r="B88" s="54" t="e">
        <f>#REF!</f>
        <v>#REF!</v>
      </c>
      <c r="C88" s="21" t="e">
        <f t="shared" si="6"/>
        <v>#REF!</v>
      </c>
      <c r="D88" s="666"/>
      <c r="E88" s="21">
        <f t="shared" si="7"/>
        <v>1</v>
      </c>
      <c r="F88" s="666"/>
      <c r="G88" s="21">
        <f t="shared" si="8"/>
        <v>1</v>
      </c>
      <c r="H88" s="666"/>
      <c r="I88" s="21">
        <f t="shared" si="9"/>
        <v>1</v>
      </c>
      <c r="J88" s="666"/>
      <c r="K88" s="21">
        <f t="shared" si="10"/>
        <v>1</v>
      </c>
      <c r="L88" s="666"/>
      <c r="M88" s="21">
        <f t="shared" si="11"/>
        <v>1</v>
      </c>
      <c r="N88" s="666"/>
      <c r="O88" s="21">
        <f t="shared" si="12"/>
        <v>1</v>
      </c>
      <c r="P88" s="666" t="e">
        <f>#REF!</f>
        <v>#REF!</v>
      </c>
      <c r="Q88" s="21">
        <f t="shared" si="13"/>
        <v>0</v>
      </c>
      <c r="R88" s="662" t="e">
        <f t="shared" si="14"/>
        <v>#REF!</v>
      </c>
      <c r="S88" s="316" t="e">
        <f t="shared" ref="S88:S151" si="15">ROUND(R88*B88/10000,0)</f>
        <v>#REF!</v>
      </c>
    </row>
    <row r="89" spans="1:19">
      <c r="A89" s="150" t="e">
        <f>#REF!</f>
        <v>#REF!</v>
      </c>
      <c r="B89" s="54" t="e">
        <f>#REF!</f>
        <v>#REF!</v>
      </c>
      <c r="C89" s="21" t="e">
        <f t="shared" si="6"/>
        <v>#REF!</v>
      </c>
      <c r="D89" s="666"/>
      <c r="E89" s="21">
        <f t="shared" si="7"/>
        <v>1</v>
      </c>
      <c r="F89" s="666"/>
      <c r="G89" s="21">
        <f t="shared" si="8"/>
        <v>1</v>
      </c>
      <c r="H89" s="666"/>
      <c r="I89" s="21">
        <f t="shared" si="9"/>
        <v>1</v>
      </c>
      <c r="J89" s="666"/>
      <c r="K89" s="21">
        <f t="shared" si="10"/>
        <v>1</v>
      </c>
      <c r="L89" s="666"/>
      <c r="M89" s="21">
        <f t="shared" si="11"/>
        <v>1</v>
      </c>
      <c r="N89" s="666"/>
      <c r="O89" s="21">
        <f t="shared" si="12"/>
        <v>1</v>
      </c>
      <c r="P89" s="666" t="e">
        <f>#REF!</f>
        <v>#REF!</v>
      </c>
      <c r="Q89" s="21">
        <f t="shared" si="13"/>
        <v>0</v>
      </c>
      <c r="R89" s="662" t="e">
        <f t="shared" si="14"/>
        <v>#REF!</v>
      </c>
      <c r="S89" s="316" t="e">
        <f t="shared" si="15"/>
        <v>#REF!</v>
      </c>
    </row>
    <row r="90" spans="1:19">
      <c r="A90" s="150" t="e">
        <f>#REF!</f>
        <v>#REF!</v>
      </c>
      <c r="B90" s="54" t="e">
        <f>#REF!</f>
        <v>#REF!</v>
      </c>
      <c r="C90" s="21" t="e">
        <f t="shared" ref="C90:C153" si="16">IF(B90="",1,(LOOKUP(B90,$3:$3,$4:$4)-LOOKUP($B$24,$3:$3,$4:$4)+100)/100)</f>
        <v>#REF!</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e">
        <f>#REF!</f>
        <v>#REF!</v>
      </c>
      <c r="Q90" s="21">
        <f t="shared" ref="Q90:Q153" si="23">(SUMIF($17:$17,P90,$18:$18)-SUMIF($17:$17,$P$24,$18:$18)+100)/100</f>
        <v>0</v>
      </c>
      <c r="R90" s="662" t="e">
        <f t="shared" ref="R90:R153" si="24">IF(B90="",0,ROUND($R$24*C90*E90*G90*I90*K90*M90*O90*Q90,0))</f>
        <v>#REF!</v>
      </c>
      <c r="S90" s="316" t="e">
        <f t="shared" si="15"/>
        <v>#REF!</v>
      </c>
    </row>
    <row r="91" spans="1:19">
      <c r="A91" s="150" t="e">
        <f>#REF!</f>
        <v>#REF!</v>
      </c>
      <c r="B91" s="54" t="e">
        <f>#REF!</f>
        <v>#REF!</v>
      </c>
      <c r="C91" s="21" t="e">
        <f t="shared" si="16"/>
        <v>#REF!</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e">
        <f>#REF!</f>
        <v>#REF!</v>
      </c>
      <c r="Q91" s="21">
        <f t="shared" si="23"/>
        <v>0</v>
      </c>
      <c r="R91" s="662" t="e">
        <f t="shared" si="24"/>
        <v>#REF!</v>
      </c>
      <c r="S91" s="316" t="e">
        <f t="shared" si="15"/>
        <v>#REF!</v>
      </c>
    </row>
    <row r="92" spans="1:19">
      <c r="A92" s="150" t="e">
        <f>#REF!</f>
        <v>#REF!</v>
      </c>
      <c r="B92" s="54" t="e">
        <f>#REF!</f>
        <v>#REF!</v>
      </c>
      <c r="C92" s="21" t="e">
        <f t="shared" si="16"/>
        <v>#REF!</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e">
        <f>#REF!</f>
        <v>#REF!</v>
      </c>
      <c r="Q92" s="21">
        <f t="shared" si="23"/>
        <v>0</v>
      </c>
      <c r="R92" s="662" t="e">
        <f t="shared" si="24"/>
        <v>#REF!</v>
      </c>
      <c r="S92" s="316" t="e">
        <f t="shared" si="15"/>
        <v>#REF!</v>
      </c>
    </row>
    <row r="93" spans="1:19">
      <c r="A93" s="150" t="e">
        <f>#REF!</f>
        <v>#REF!</v>
      </c>
      <c r="B93" s="54" t="e">
        <f>#REF!</f>
        <v>#REF!</v>
      </c>
      <c r="C93" s="21" t="e">
        <f t="shared" si="16"/>
        <v>#REF!</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e">
        <f>#REF!</f>
        <v>#REF!</v>
      </c>
      <c r="Q93" s="21">
        <f t="shared" si="23"/>
        <v>0</v>
      </c>
      <c r="R93" s="662" t="e">
        <f t="shared" si="24"/>
        <v>#REF!</v>
      </c>
      <c r="S93" s="316" t="e">
        <f t="shared" si="15"/>
        <v>#REF!</v>
      </c>
    </row>
    <row r="94" spans="1:19">
      <c r="A94" s="150" t="e">
        <f>#REF!</f>
        <v>#REF!</v>
      </c>
      <c r="B94" s="54" t="e">
        <f>#REF!</f>
        <v>#REF!</v>
      </c>
      <c r="C94" s="21" t="e">
        <f t="shared" si="16"/>
        <v>#REF!</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e">
        <f>#REF!</f>
        <v>#REF!</v>
      </c>
      <c r="Q94" s="21">
        <f t="shared" si="23"/>
        <v>0</v>
      </c>
      <c r="R94" s="662" t="e">
        <f t="shared" si="24"/>
        <v>#REF!</v>
      </c>
      <c r="S94" s="316" t="e">
        <f t="shared" si="15"/>
        <v>#REF!</v>
      </c>
    </row>
    <row r="95" spans="1:19">
      <c r="A95" s="150" t="e">
        <f>#REF!</f>
        <v>#REF!</v>
      </c>
      <c r="B95" s="54" t="e">
        <f>#REF!</f>
        <v>#REF!</v>
      </c>
      <c r="C95" s="21" t="e">
        <f t="shared" si="16"/>
        <v>#REF!</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e">
        <f>#REF!</f>
        <v>#REF!</v>
      </c>
      <c r="Q95" s="21">
        <f t="shared" si="23"/>
        <v>0</v>
      </c>
      <c r="R95" s="662" t="e">
        <f t="shared" si="24"/>
        <v>#REF!</v>
      </c>
      <c r="S95" s="316" t="e">
        <f t="shared" si="15"/>
        <v>#REF!</v>
      </c>
    </row>
    <row r="96" spans="1:19">
      <c r="A96" s="150" t="e">
        <f>#REF!</f>
        <v>#REF!</v>
      </c>
      <c r="B96" s="54" t="e">
        <f>#REF!</f>
        <v>#REF!</v>
      </c>
      <c r="C96" s="21" t="e">
        <f t="shared" si="16"/>
        <v>#REF!</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e">
        <f>#REF!</f>
        <v>#REF!</v>
      </c>
      <c r="Q96" s="21">
        <f t="shared" si="23"/>
        <v>0</v>
      </c>
      <c r="R96" s="662" t="e">
        <f t="shared" si="24"/>
        <v>#REF!</v>
      </c>
      <c r="S96" s="316" t="e">
        <f t="shared" si="15"/>
        <v>#REF!</v>
      </c>
    </row>
    <row r="97" spans="1:19">
      <c r="A97" s="150" t="e">
        <f>#REF!</f>
        <v>#REF!</v>
      </c>
      <c r="B97" s="54" t="e">
        <f>#REF!</f>
        <v>#REF!</v>
      </c>
      <c r="C97" s="21" t="e">
        <f t="shared" si="16"/>
        <v>#REF!</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e">
        <f>#REF!</f>
        <v>#REF!</v>
      </c>
      <c r="Q97" s="21">
        <f t="shared" si="23"/>
        <v>0</v>
      </c>
      <c r="R97" s="662" t="e">
        <f t="shared" si="24"/>
        <v>#REF!</v>
      </c>
      <c r="S97" s="316" t="e">
        <f t="shared" si="15"/>
        <v>#REF!</v>
      </c>
    </row>
    <row r="98" spans="1:19">
      <c r="A98" s="150" t="e">
        <f>#REF!</f>
        <v>#REF!</v>
      </c>
      <c r="B98" s="54" t="e">
        <f>#REF!</f>
        <v>#REF!</v>
      </c>
      <c r="C98" s="21" t="e">
        <f t="shared" si="16"/>
        <v>#REF!</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e">
        <f>#REF!</f>
        <v>#REF!</v>
      </c>
      <c r="Q98" s="21">
        <f t="shared" si="23"/>
        <v>0</v>
      </c>
      <c r="R98" s="662" t="e">
        <f t="shared" si="24"/>
        <v>#REF!</v>
      </c>
      <c r="S98" s="316" t="e">
        <f t="shared" si="15"/>
        <v>#REF!</v>
      </c>
    </row>
    <row r="99" spans="1:19">
      <c r="A99" s="150" t="e">
        <f>#REF!</f>
        <v>#REF!</v>
      </c>
      <c r="B99" s="54" t="e">
        <f>#REF!</f>
        <v>#REF!</v>
      </c>
      <c r="C99" s="21" t="e">
        <f t="shared" si="16"/>
        <v>#REF!</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e">
        <f>#REF!</f>
        <v>#REF!</v>
      </c>
      <c r="Q99" s="21">
        <f t="shared" si="23"/>
        <v>0</v>
      </c>
      <c r="R99" s="662" t="e">
        <f t="shared" si="24"/>
        <v>#REF!</v>
      </c>
      <c r="S99" s="316" t="e">
        <f t="shared" si="15"/>
        <v>#REF!</v>
      </c>
    </row>
    <row r="100" spans="1:19">
      <c r="A100" s="150" t="e">
        <f>#REF!</f>
        <v>#REF!</v>
      </c>
      <c r="B100" s="54" t="e">
        <f>#REF!</f>
        <v>#REF!</v>
      </c>
      <c r="C100" s="21" t="e">
        <f t="shared" si="16"/>
        <v>#REF!</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e">
        <f>#REF!</f>
        <v>#REF!</v>
      </c>
      <c r="Q100" s="21">
        <f t="shared" si="23"/>
        <v>0</v>
      </c>
      <c r="R100" s="662" t="e">
        <f t="shared" si="24"/>
        <v>#REF!</v>
      </c>
      <c r="S100" s="316" t="e">
        <f t="shared" si="15"/>
        <v>#REF!</v>
      </c>
    </row>
    <row r="101" spans="1:19">
      <c r="A101" s="150" t="e">
        <f>#REF!</f>
        <v>#REF!</v>
      </c>
      <c r="B101" s="54" t="e">
        <f>#REF!</f>
        <v>#REF!</v>
      </c>
      <c r="C101" s="21" t="e">
        <f t="shared" si="16"/>
        <v>#REF!</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e">
        <f>#REF!</f>
        <v>#REF!</v>
      </c>
      <c r="Q101" s="21">
        <f t="shared" si="23"/>
        <v>0</v>
      </c>
      <c r="R101" s="662" t="e">
        <f t="shared" si="24"/>
        <v>#REF!</v>
      </c>
      <c r="S101" s="316" t="e">
        <f t="shared" si="15"/>
        <v>#REF!</v>
      </c>
    </row>
    <row r="102" spans="1:19">
      <c r="A102" s="150" t="e">
        <f>#REF!</f>
        <v>#REF!</v>
      </c>
      <c r="B102" s="54" t="e">
        <f>#REF!</f>
        <v>#REF!</v>
      </c>
      <c r="C102" s="21" t="e">
        <f t="shared" si="16"/>
        <v>#REF!</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e">
        <f>#REF!</f>
        <v>#REF!</v>
      </c>
      <c r="Q102" s="21">
        <f t="shared" si="23"/>
        <v>0</v>
      </c>
      <c r="R102" s="662" t="e">
        <f t="shared" si="24"/>
        <v>#REF!</v>
      </c>
      <c r="S102" s="316" t="e">
        <f t="shared" si="15"/>
        <v>#REF!</v>
      </c>
    </row>
    <row r="103" spans="1:19">
      <c r="A103" s="150" t="e">
        <f>#REF!</f>
        <v>#REF!</v>
      </c>
      <c r="B103" s="54" t="e">
        <f>#REF!</f>
        <v>#REF!</v>
      </c>
      <c r="C103" s="21" t="e">
        <f t="shared" si="16"/>
        <v>#REF!</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e">
        <f>#REF!</f>
        <v>#REF!</v>
      </c>
      <c r="Q103" s="21">
        <f t="shared" si="23"/>
        <v>0</v>
      </c>
      <c r="R103" s="662" t="e">
        <f t="shared" si="24"/>
        <v>#REF!</v>
      </c>
      <c r="S103" s="316" t="e">
        <f t="shared" si="15"/>
        <v>#REF!</v>
      </c>
    </row>
    <row r="104" spans="1:19">
      <c r="A104" s="150" t="e">
        <f>#REF!</f>
        <v>#REF!</v>
      </c>
      <c r="B104" s="54" t="e">
        <f>#REF!</f>
        <v>#REF!</v>
      </c>
      <c r="C104" s="21" t="e">
        <f t="shared" si="16"/>
        <v>#REF!</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e">
        <f>#REF!</f>
        <v>#REF!</v>
      </c>
      <c r="Q104" s="21">
        <f t="shared" si="23"/>
        <v>0</v>
      </c>
      <c r="R104" s="662" t="e">
        <f t="shared" si="24"/>
        <v>#REF!</v>
      </c>
      <c r="S104" s="316" t="e">
        <f t="shared" si="15"/>
        <v>#REF!</v>
      </c>
    </row>
    <row r="105" spans="1:19">
      <c r="A105" s="150" t="e">
        <f>#REF!</f>
        <v>#REF!</v>
      </c>
      <c r="B105" s="54" t="e">
        <f>#REF!</f>
        <v>#REF!</v>
      </c>
      <c r="C105" s="21" t="e">
        <f t="shared" si="16"/>
        <v>#REF!</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e">
        <f>#REF!</f>
        <v>#REF!</v>
      </c>
      <c r="Q105" s="21">
        <f t="shared" si="23"/>
        <v>0</v>
      </c>
      <c r="R105" s="662" t="e">
        <f t="shared" si="24"/>
        <v>#REF!</v>
      </c>
      <c r="S105" s="316" t="e">
        <f t="shared" si="15"/>
        <v>#REF!</v>
      </c>
    </row>
    <row r="106" spans="1:19">
      <c r="A106" s="150" t="e">
        <f>#REF!</f>
        <v>#REF!</v>
      </c>
      <c r="B106" s="54" t="e">
        <f>#REF!</f>
        <v>#REF!</v>
      </c>
      <c r="C106" s="21" t="e">
        <f t="shared" si="16"/>
        <v>#REF!</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e">
        <f>#REF!</f>
        <v>#REF!</v>
      </c>
      <c r="Q106" s="21">
        <f t="shared" si="23"/>
        <v>0</v>
      </c>
      <c r="R106" s="662" t="e">
        <f t="shared" si="24"/>
        <v>#REF!</v>
      </c>
      <c r="S106" s="316" t="e">
        <f t="shared" si="15"/>
        <v>#REF!</v>
      </c>
    </row>
    <row r="107" spans="1:19">
      <c r="A107" s="150" t="e">
        <f>#REF!</f>
        <v>#REF!</v>
      </c>
      <c r="B107" s="54" t="e">
        <f>#REF!</f>
        <v>#REF!</v>
      </c>
      <c r="C107" s="21" t="e">
        <f t="shared" si="16"/>
        <v>#REF!</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e">
        <f>#REF!</f>
        <v>#REF!</v>
      </c>
      <c r="Q107" s="21">
        <f t="shared" si="23"/>
        <v>0</v>
      </c>
      <c r="R107" s="662" t="e">
        <f t="shared" si="24"/>
        <v>#REF!</v>
      </c>
      <c r="S107" s="316" t="e">
        <f t="shared" si="15"/>
        <v>#REF!</v>
      </c>
    </row>
    <row r="108" spans="1:19">
      <c r="A108" s="150" t="e">
        <f>#REF!</f>
        <v>#REF!</v>
      </c>
      <c r="B108" s="54" t="e">
        <f>#REF!</f>
        <v>#REF!</v>
      </c>
      <c r="C108" s="21" t="e">
        <f t="shared" si="16"/>
        <v>#REF!</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e">
        <f>#REF!</f>
        <v>#REF!</v>
      </c>
      <c r="Q108" s="21">
        <f t="shared" si="23"/>
        <v>0</v>
      </c>
      <c r="R108" s="662" t="e">
        <f t="shared" si="24"/>
        <v>#REF!</v>
      </c>
      <c r="S108" s="316" t="e">
        <f t="shared" si="15"/>
        <v>#REF!</v>
      </c>
    </row>
    <row r="109" spans="1:19">
      <c r="A109" s="150" t="e">
        <f>#REF!</f>
        <v>#REF!</v>
      </c>
      <c r="B109" s="54" t="e">
        <f>#REF!</f>
        <v>#REF!</v>
      </c>
      <c r="C109" s="21" t="e">
        <f t="shared" si="16"/>
        <v>#REF!</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e">
        <f>#REF!</f>
        <v>#REF!</v>
      </c>
      <c r="Q109" s="21">
        <f t="shared" si="23"/>
        <v>0</v>
      </c>
      <c r="R109" s="662" t="e">
        <f t="shared" si="24"/>
        <v>#REF!</v>
      </c>
      <c r="S109" s="316" t="e">
        <f t="shared" si="15"/>
        <v>#REF!</v>
      </c>
    </row>
    <row r="110" spans="1:19">
      <c r="A110" s="150" t="e">
        <f>#REF!</f>
        <v>#REF!</v>
      </c>
      <c r="B110" s="54" t="e">
        <f>#REF!</f>
        <v>#REF!</v>
      </c>
      <c r="C110" s="21" t="e">
        <f t="shared" si="16"/>
        <v>#REF!</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e">
        <f>#REF!</f>
        <v>#REF!</v>
      </c>
      <c r="Q110" s="21">
        <f t="shared" si="23"/>
        <v>0</v>
      </c>
      <c r="R110" s="662" t="e">
        <f t="shared" si="24"/>
        <v>#REF!</v>
      </c>
      <c r="S110" s="316" t="e">
        <f t="shared" si="15"/>
        <v>#REF!</v>
      </c>
    </row>
    <row r="111" spans="1:19">
      <c r="A111" s="150" t="e">
        <f>#REF!</f>
        <v>#REF!</v>
      </c>
      <c r="B111" s="54" t="e">
        <f>#REF!</f>
        <v>#REF!</v>
      </c>
      <c r="C111" s="21" t="e">
        <f t="shared" si="16"/>
        <v>#REF!</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e">
        <f>#REF!</f>
        <v>#REF!</v>
      </c>
      <c r="Q111" s="21">
        <f t="shared" si="23"/>
        <v>0</v>
      </c>
      <c r="R111" s="662" t="e">
        <f t="shared" si="24"/>
        <v>#REF!</v>
      </c>
      <c r="S111" s="316" t="e">
        <f t="shared" si="15"/>
        <v>#REF!</v>
      </c>
    </row>
    <row r="112" spans="1:19">
      <c r="A112" s="150" t="e">
        <f>#REF!</f>
        <v>#REF!</v>
      </c>
      <c r="B112" s="54" t="e">
        <f>#REF!</f>
        <v>#REF!</v>
      </c>
      <c r="C112" s="21" t="e">
        <f t="shared" si="16"/>
        <v>#REF!</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e">
        <f>#REF!</f>
        <v>#REF!</v>
      </c>
      <c r="Q112" s="21">
        <f t="shared" si="23"/>
        <v>0</v>
      </c>
      <c r="R112" s="662" t="e">
        <f t="shared" si="24"/>
        <v>#REF!</v>
      </c>
      <c r="S112" s="316" t="e">
        <f t="shared" si="15"/>
        <v>#REF!</v>
      </c>
    </row>
    <row r="113" spans="1:19">
      <c r="A113" s="150" t="e">
        <f>#REF!</f>
        <v>#REF!</v>
      </c>
      <c r="B113" s="54" t="e">
        <f>#REF!</f>
        <v>#REF!</v>
      </c>
      <c r="C113" s="21" t="e">
        <f t="shared" si="16"/>
        <v>#REF!</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e">
        <f>#REF!</f>
        <v>#REF!</v>
      </c>
      <c r="Q113" s="21">
        <f t="shared" si="23"/>
        <v>0</v>
      </c>
      <c r="R113" s="662" t="e">
        <f t="shared" si="24"/>
        <v>#REF!</v>
      </c>
      <c r="S113" s="316" t="e">
        <f t="shared" si="15"/>
        <v>#REF!</v>
      </c>
    </row>
    <row r="114" spans="1:19">
      <c r="A114" s="150" t="e">
        <f>#REF!</f>
        <v>#REF!</v>
      </c>
      <c r="B114" s="54" t="e">
        <f>#REF!</f>
        <v>#REF!</v>
      </c>
      <c r="C114" s="21" t="e">
        <f t="shared" si="16"/>
        <v>#REF!</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e">
        <f>#REF!</f>
        <v>#REF!</v>
      </c>
      <c r="Q114" s="21">
        <f t="shared" si="23"/>
        <v>0</v>
      </c>
      <c r="R114" s="662" t="e">
        <f t="shared" si="24"/>
        <v>#REF!</v>
      </c>
      <c r="S114" s="316" t="e">
        <f t="shared" si="15"/>
        <v>#REF!</v>
      </c>
    </row>
    <row r="115" spans="1:19">
      <c r="A115" s="150" t="e">
        <f>#REF!</f>
        <v>#REF!</v>
      </c>
      <c r="B115" s="54" t="e">
        <f>#REF!</f>
        <v>#REF!</v>
      </c>
      <c r="C115" s="21" t="e">
        <f t="shared" si="16"/>
        <v>#REF!</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e">
        <f>#REF!</f>
        <v>#REF!</v>
      </c>
      <c r="Q115" s="21">
        <f t="shared" si="23"/>
        <v>0</v>
      </c>
      <c r="R115" s="662" t="e">
        <f t="shared" si="24"/>
        <v>#REF!</v>
      </c>
      <c r="S115" s="316" t="e">
        <f t="shared" si="15"/>
        <v>#REF!</v>
      </c>
    </row>
    <row r="116" spans="1:19">
      <c r="A116" s="150" t="e">
        <f>#REF!</f>
        <v>#REF!</v>
      </c>
      <c r="B116" s="54" t="e">
        <f>#REF!</f>
        <v>#REF!</v>
      </c>
      <c r="C116" s="21" t="e">
        <f t="shared" si="16"/>
        <v>#REF!</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e">
        <f>#REF!</f>
        <v>#REF!</v>
      </c>
      <c r="Q116" s="21">
        <f t="shared" si="23"/>
        <v>0</v>
      </c>
      <c r="R116" s="662" t="e">
        <f t="shared" si="24"/>
        <v>#REF!</v>
      </c>
      <c r="S116" s="316" t="e">
        <f t="shared" si="15"/>
        <v>#REF!</v>
      </c>
    </row>
    <row r="117" spans="1:19">
      <c r="A117" s="150" t="e">
        <f>#REF!</f>
        <v>#REF!</v>
      </c>
      <c r="B117" s="54" t="e">
        <f>#REF!</f>
        <v>#REF!</v>
      </c>
      <c r="C117" s="21" t="e">
        <f t="shared" si="16"/>
        <v>#REF!</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e">
        <f>#REF!</f>
        <v>#REF!</v>
      </c>
      <c r="Q117" s="21">
        <f t="shared" si="23"/>
        <v>0</v>
      </c>
      <c r="R117" s="662" t="e">
        <f t="shared" si="24"/>
        <v>#REF!</v>
      </c>
      <c r="S117" s="316" t="e">
        <f t="shared" si="15"/>
        <v>#REF!</v>
      </c>
    </row>
    <row r="118" spans="1:19">
      <c r="A118" s="150" t="e">
        <f>#REF!</f>
        <v>#REF!</v>
      </c>
      <c r="B118" s="54" t="e">
        <f>#REF!</f>
        <v>#REF!</v>
      </c>
      <c r="C118" s="21" t="e">
        <f t="shared" si="16"/>
        <v>#REF!</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e">
        <f>#REF!</f>
        <v>#REF!</v>
      </c>
      <c r="Q118" s="21">
        <f t="shared" si="23"/>
        <v>0</v>
      </c>
      <c r="R118" s="662" t="e">
        <f t="shared" si="24"/>
        <v>#REF!</v>
      </c>
      <c r="S118" s="316" t="e">
        <f t="shared" si="15"/>
        <v>#REF!</v>
      </c>
    </row>
    <row r="119" spans="1:19">
      <c r="A119" s="150" t="e">
        <f>#REF!</f>
        <v>#REF!</v>
      </c>
      <c r="B119" s="54" t="e">
        <f>#REF!</f>
        <v>#REF!</v>
      </c>
      <c r="C119" s="21" t="e">
        <f t="shared" si="16"/>
        <v>#REF!</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e">
        <f>#REF!</f>
        <v>#REF!</v>
      </c>
      <c r="Q119" s="21">
        <f t="shared" si="23"/>
        <v>0</v>
      </c>
      <c r="R119" s="662" t="e">
        <f t="shared" si="24"/>
        <v>#REF!</v>
      </c>
      <c r="S119" s="316" t="e">
        <f t="shared" si="15"/>
        <v>#REF!</v>
      </c>
    </row>
    <row r="120" spans="1:19">
      <c r="A120" s="150" t="e">
        <f>#REF!</f>
        <v>#REF!</v>
      </c>
      <c r="B120" s="54" t="e">
        <f>#REF!</f>
        <v>#REF!</v>
      </c>
      <c r="C120" s="21" t="e">
        <f t="shared" si="16"/>
        <v>#REF!</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e">
        <f>#REF!</f>
        <v>#REF!</v>
      </c>
      <c r="Q120" s="21">
        <f t="shared" si="23"/>
        <v>0</v>
      </c>
      <c r="R120" s="662" t="e">
        <f t="shared" si="24"/>
        <v>#REF!</v>
      </c>
      <c r="S120" s="316" t="e">
        <f t="shared" si="15"/>
        <v>#REF!</v>
      </c>
    </row>
    <row r="121" spans="1:19">
      <c r="A121" s="150" t="e">
        <f>#REF!</f>
        <v>#REF!</v>
      </c>
      <c r="B121" s="54" t="e">
        <f>#REF!</f>
        <v>#REF!</v>
      </c>
      <c r="C121" s="21" t="e">
        <f t="shared" si="16"/>
        <v>#REF!</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e">
        <f>#REF!</f>
        <v>#REF!</v>
      </c>
      <c r="Q121" s="21">
        <f t="shared" si="23"/>
        <v>0</v>
      </c>
      <c r="R121" s="662" t="e">
        <f t="shared" si="24"/>
        <v>#REF!</v>
      </c>
      <c r="S121" s="316" t="e">
        <f t="shared" si="15"/>
        <v>#REF!</v>
      </c>
    </row>
    <row r="122" spans="1:19">
      <c r="A122" s="150" t="e">
        <f>#REF!</f>
        <v>#REF!</v>
      </c>
      <c r="B122" s="54" t="e">
        <f>#REF!</f>
        <v>#REF!</v>
      </c>
      <c r="C122" s="21" t="e">
        <f t="shared" si="16"/>
        <v>#REF!</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e">
        <f>#REF!</f>
        <v>#REF!</v>
      </c>
      <c r="Q122" s="21">
        <f t="shared" si="23"/>
        <v>0</v>
      </c>
      <c r="R122" s="662" t="e">
        <f t="shared" si="24"/>
        <v>#REF!</v>
      </c>
      <c r="S122" s="316" t="e">
        <f t="shared" si="15"/>
        <v>#REF!</v>
      </c>
    </row>
    <row r="123" spans="1:19">
      <c r="A123" s="150" t="e">
        <f>#REF!</f>
        <v>#REF!</v>
      </c>
      <c r="B123" s="54" t="e">
        <f>#REF!</f>
        <v>#REF!</v>
      </c>
      <c r="C123" s="21" t="e">
        <f t="shared" si="16"/>
        <v>#REF!</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e">
        <f>#REF!</f>
        <v>#REF!</v>
      </c>
      <c r="Q123" s="21">
        <f t="shared" si="23"/>
        <v>0</v>
      </c>
      <c r="R123" s="662" t="e">
        <f t="shared" si="24"/>
        <v>#REF!</v>
      </c>
      <c r="S123" s="316" t="e">
        <f t="shared" si="15"/>
        <v>#REF!</v>
      </c>
    </row>
    <row r="124" spans="1:19">
      <c r="A124" s="150" t="e">
        <f>#REF!</f>
        <v>#REF!</v>
      </c>
      <c r="B124" s="54" t="e">
        <f>#REF!</f>
        <v>#REF!</v>
      </c>
      <c r="C124" s="21" t="e">
        <f t="shared" si="16"/>
        <v>#REF!</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e">
        <f>#REF!</f>
        <v>#REF!</v>
      </c>
      <c r="Q124" s="21">
        <f t="shared" si="23"/>
        <v>0</v>
      </c>
      <c r="R124" s="662" t="e">
        <f t="shared" si="24"/>
        <v>#REF!</v>
      </c>
      <c r="S124" s="316" t="e">
        <f t="shared" si="15"/>
        <v>#REF!</v>
      </c>
    </row>
    <row r="125" spans="1:19">
      <c r="A125" s="150" t="e">
        <f>#REF!</f>
        <v>#REF!</v>
      </c>
      <c r="B125" s="54" t="e">
        <f>#REF!</f>
        <v>#REF!</v>
      </c>
      <c r="C125" s="21" t="e">
        <f t="shared" si="16"/>
        <v>#REF!</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e">
        <f>#REF!</f>
        <v>#REF!</v>
      </c>
      <c r="Q125" s="21">
        <f t="shared" si="23"/>
        <v>0</v>
      </c>
      <c r="R125" s="662" t="e">
        <f t="shared" si="24"/>
        <v>#REF!</v>
      </c>
      <c r="S125" s="316" t="e">
        <f t="shared" si="15"/>
        <v>#REF!</v>
      </c>
    </row>
    <row r="126" spans="1:19">
      <c r="A126" s="150" t="e">
        <f>#REF!</f>
        <v>#REF!</v>
      </c>
      <c r="B126" s="54" t="e">
        <f>#REF!</f>
        <v>#REF!</v>
      </c>
      <c r="C126" s="21" t="e">
        <f t="shared" si="16"/>
        <v>#REF!</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e">
        <f>#REF!</f>
        <v>#REF!</v>
      </c>
      <c r="Q126" s="21">
        <f t="shared" si="23"/>
        <v>0</v>
      </c>
      <c r="R126" s="662" t="e">
        <f t="shared" si="24"/>
        <v>#REF!</v>
      </c>
      <c r="S126" s="316" t="e">
        <f t="shared" si="15"/>
        <v>#REF!</v>
      </c>
    </row>
    <row r="127" spans="1:19">
      <c r="A127" s="150" t="e">
        <f>#REF!</f>
        <v>#REF!</v>
      </c>
      <c r="B127" s="54" t="e">
        <f>#REF!</f>
        <v>#REF!</v>
      </c>
      <c r="C127" s="21" t="e">
        <f t="shared" si="16"/>
        <v>#REF!</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e">
        <f>#REF!</f>
        <v>#REF!</v>
      </c>
      <c r="Q127" s="21">
        <f t="shared" si="23"/>
        <v>0</v>
      </c>
      <c r="R127" s="662" t="e">
        <f t="shared" si="24"/>
        <v>#REF!</v>
      </c>
      <c r="S127" s="316" t="e">
        <f t="shared" si="15"/>
        <v>#REF!</v>
      </c>
    </row>
    <row r="128" spans="1:19">
      <c r="A128" s="150" t="e">
        <f>#REF!</f>
        <v>#REF!</v>
      </c>
      <c r="B128" s="54" t="e">
        <f>#REF!</f>
        <v>#REF!</v>
      </c>
      <c r="C128" s="21" t="e">
        <f t="shared" si="16"/>
        <v>#REF!</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e">
        <f>#REF!</f>
        <v>#REF!</v>
      </c>
      <c r="Q128" s="21">
        <f t="shared" si="23"/>
        <v>0</v>
      </c>
      <c r="R128" s="662" t="e">
        <f t="shared" si="24"/>
        <v>#REF!</v>
      </c>
      <c r="S128" s="316" t="e">
        <f t="shared" si="15"/>
        <v>#REF!</v>
      </c>
    </row>
    <row r="129" spans="1:19">
      <c r="A129" s="150" t="e">
        <f>#REF!</f>
        <v>#REF!</v>
      </c>
      <c r="B129" s="54" t="e">
        <f>#REF!</f>
        <v>#REF!</v>
      </c>
      <c r="C129" s="21" t="e">
        <f t="shared" si="16"/>
        <v>#REF!</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e">
        <f>#REF!</f>
        <v>#REF!</v>
      </c>
      <c r="Q129" s="21">
        <f t="shared" si="23"/>
        <v>0</v>
      </c>
      <c r="R129" s="662" t="e">
        <f t="shared" si="24"/>
        <v>#REF!</v>
      </c>
      <c r="S129" s="316" t="e">
        <f t="shared" si="15"/>
        <v>#REF!</v>
      </c>
    </row>
    <row r="130" spans="1:19">
      <c r="A130" s="150" t="e">
        <f>#REF!</f>
        <v>#REF!</v>
      </c>
      <c r="B130" s="54" t="e">
        <f>#REF!</f>
        <v>#REF!</v>
      </c>
      <c r="C130" s="21" t="e">
        <f t="shared" si="16"/>
        <v>#REF!</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e">
        <f>#REF!</f>
        <v>#REF!</v>
      </c>
      <c r="Q130" s="21">
        <f t="shared" si="23"/>
        <v>0</v>
      </c>
      <c r="R130" s="662" t="e">
        <f t="shared" si="24"/>
        <v>#REF!</v>
      </c>
      <c r="S130" s="316" t="e">
        <f t="shared" si="15"/>
        <v>#REF!</v>
      </c>
    </row>
    <row r="131" spans="1:19">
      <c r="A131" s="150" t="e">
        <f>#REF!</f>
        <v>#REF!</v>
      </c>
      <c r="B131" s="54" t="e">
        <f>#REF!</f>
        <v>#REF!</v>
      </c>
      <c r="C131" s="21" t="e">
        <f t="shared" si="16"/>
        <v>#REF!</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e">
        <f>#REF!</f>
        <v>#REF!</v>
      </c>
      <c r="Q131" s="21">
        <f t="shared" si="23"/>
        <v>0</v>
      </c>
      <c r="R131" s="662" t="e">
        <f t="shared" si="24"/>
        <v>#REF!</v>
      </c>
      <c r="S131" s="316" t="e">
        <f t="shared" si="15"/>
        <v>#REF!</v>
      </c>
    </row>
    <row r="132" spans="1:19">
      <c r="A132" s="150" t="e">
        <f>#REF!</f>
        <v>#REF!</v>
      </c>
      <c r="B132" s="54" t="e">
        <f>#REF!</f>
        <v>#REF!</v>
      </c>
      <c r="C132" s="21" t="e">
        <f t="shared" si="16"/>
        <v>#REF!</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e">
        <f>#REF!</f>
        <v>#REF!</v>
      </c>
      <c r="Q132" s="21">
        <f t="shared" si="23"/>
        <v>0</v>
      </c>
      <c r="R132" s="662" t="e">
        <f t="shared" si="24"/>
        <v>#REF!</v>
      </c>
      <c r="S132" s="316" t="e">
        <f t="shared" si="15"/>
        <v>#REF!</v>
      </c>
    </row>
    <row r="133" spans="1:19">
      <c r="A133" s="150" t="e">
        <f>#REF!</f>
        <v>#REF!</v>
      </c>
      <c r="B133" s="54" t="e">
        <f>#REF!</f>
        <v>#REF!</v>
      </c>
      <c r="C133" s="21" t="e">
        <f t="shared" si="16"/>
        <v>#REF!</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e">
        <f>#REF!</f>
        <v>#REF!</v>
      </c>
      <c r="Q133" s="21">
        <f t="shared" si="23"/>
        <v>0</v>
      </c>
      <c r="R133" s="662" t="e">
        <f t="shared" si="24"/>
        <v>#REF!</v>
      </c>
      <c r="S133" s="316" t="e">
        <f t="shared" si="15"/>
        <v>#REF!</v>
      </c>
    </row>
    <row r="134" spans="1:19">
      <c r="A134" s="150" t="e">
        <f>#REF!</f>
        <v>#REF!</v>
      </c>
      <c r="B134" s="54" t="e">
        <f>#REF!</f>
        <v>#REF!</v>
      </c>
      <c r="C134" s="21" t="e">
        <f t="shared" si="16"/>
        <v>#REF!</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e">
        <f>#REF!</f>
        <v>#REF!</v>
      </c>
      <c r="Q134" s="21">
        <f t="shared" si="23"/>
        <v>0</v>
      </c>
      <c r="R134" s="662" t="e">
        <f t="shared" si="24"/>
        <v>#REF!</v>
      </c>
      <c r="S134" s="316" t="e">
        <f t="shared" si="15"/>
        <v>#REF!</v>
      </c>
    </row>
    <row r="135" spans="1:19">
      <c r="A135" s="150" t="e">
        <f>#REF!</f>
        <v>#REF!</v>
      </c>
      <c r="B135" s="54" t="e">
        <f>#REF!</f>
        <v>#REF!</v>
      </c>
      <c r="C135" s="21" t="e">
        <f t="shared" si="16"/>
        <v>#REF!</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e">
        <f>#REF!</f>
        <v>#REF!</v>
      </c>
      <c r="Q135" s="21">
        <f t="shared" si="23"/>
        <v>0</v>
      </c>
      <c r="R135" s="662" t="e">
        <f t="shared" si="24"/>
        <v>#REF!</v>
      </c>
      <c r="S135" s="316" t="e">
        <f t="shared" si="15"/>
        <v>#REF!</v>
      </c>
    </row>
    <row r="136" spans="1:19">
      <c r="A136" s="150" t="e">
        <f>#REF!</f>
        <v>#REF!</v>
      </c>
      <c r="B136" s="54" t="e">
        <f>#REF!</f>
        <v>#REF!</v>
      </c>
      <c r="C136" s="21" t="e">
        <f t="shared" si="16"/>
        <v>#REF!</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e">
        <f>#REF!</f>
        <v>#REF!</v>
      </c>
      <c r="Q136" s="21">
        <f t="shared" si="23"/>
        <v>0</v>
      </c>
      <c r="R136" s="662" t="e">
        <f t="shared" si="24"/>
        <v>#REF!</v>
      </c>
      <c r="S136" s="316" t="e">
        <f t="shared" si="15"/>
        <v>#REF!</v>
      </c>
    </row>
    <row r="137" spans="1:19">
      <c r="A137" s="150" t="e">
        <f>#REF!</f>
        <v>#REF!</v>
      </c>
      <c r="B137" s="54" t="e">
        <f>#REF!</f>
        <v>#REF!</v>
      </c>
      <c r="C137" s="21" t="e">
        <f t="shared" si="16"/>
        <v>#REF!</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e">
        <f>#REF!</f>
        <v>#REF!</v>
      </c>
      <c r="Q137" s="21">
        <f t="shared" si="23"/>
        <v>0</v>
      </c>
      <c r="R137" s="662" t="e">
        <f t="shared" si="24"/>
        <v>#REF!</v>
      </c>
      <c r="S137" s="316" t="e">
        <f t="shared" si="15"/>
        <v>#REF!</v>
      </c>
    </row>
    <row r="138" spans="1:19">
      <c r="A138" s="150" t="e">
        <f>#REF!</f>
        <v>#REF!</v>
      </c>
      <c r="B138" s="54" t="e">
        <f>#REF!</f>
        <v>#REF!</v>
      </c>
      <c r="C138" s="21" t="e">
        <f t="shared" si="16"/>
        <v>#REF!</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e">
        <f>#REF!</f>
        <v>#REF!</v>
      </c>
      <c r="Q138" s="21">
        <f t="shared" si="23"/>
        <v>0</v>
      </c>
      <c r="R138" s="662" t="e">
        <f t="shared" si="24"/>
        <v>#REF!</v>
      </c>
      <c r="S138" s="316" t="e">
        <f t="shared" si="15"/>
        <v>#REF!</v>
      </c>
    </row>
    <row r="139" spans="1:19">
      <c r="A139" s="150" t="e">
        <f>#REF!</f>
        <v>#REF!</v>
      </c>
      <c r="B139" s="54" t="e">
        <f>#REF!</f>
        <v>#REF!</v>
      </c>
      <c r="C139" s="21" t="e">
        <f t="shared" si="16"/>
        <v>#REF!</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e">
        <f>#REF!</f>
        <v>#REF!</v>
      </c>
      <c r="Q139" s="21">
        <f t="shared" si="23"/>
        <v>0</v>
      </c>
      <c r="R139" s="662" t="e">
        <f t="shared" si="24"/>
        <v>#REF!</v>
      </c>
      <c r="S139" s="316" t="e">
        <f t="shared" si="15"/>
        <v>#REF!</v>
      </c>
    </row>
    <row r="140" spans="1:19">
      <c r="A140" s="150" t="e">
        <f>#REF!</f>
        <v>#REF!</v>
      </c>
      <c r="B140" s="54" t="e">
        <f>#REF!</f>
        <v>#REF!</v>
      </c>
      <c r="C140" s="21" t="e">
        <f t="shared" si="16"/>
        <v>#REF!</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e">
        <f>#REF!</f>
        <v>#REF!</v>
      </c>
      <c r="Q140" s="21">
        <f t="shared" si="23"/>
        <v>0</v>
      </c>
      <c r="R140" s="662" t="e">
        <f t="shared" si="24"/>
        <v>#REF!</v>
      </c>
      <c r="S140" s="316" t="e">
        <f t="shared" si="15"/>
        <v>#REF!</v>
      </c>
    </row>
    <row r="141" spans="1:19">
      <c r="A141" s="150" t="e">
        <f>#REF!</f>
        <v>#REF!</v>
      </c>
      <c r="B141" s="54" t="e">
        <f>#REF!</f>
        <v>#REF!</v>
      </c>
      <c r="C141" s="21" t="e">
        <f t="shared" si="16"/>
        <v>#REF!</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e">
        <f>#REF!</f>
        <v>#REF!</v>
      </c>
      <c r="Q141" s="21">
        <f t="shared" si="23"/>
        <v>0</v>
      </c>
      <c r="R141" s="662" t="e">
        <f t="shared" si="24"/>
        <v>#REF!</v>
      </c>
      <c r="S141" s="316" t="e">
        <f t="shared" si="15"/>
        <v>#REF!</v>
      </c>
    </row>
    <row r="142" spans="1:19">
      <c r="A142" s="150" t="e">
        <f>#REF!</f>
        <v>#REF!</v>
      </c>
      <c r="B142" s="54" t="e">
        <f>#REF!</f>
        <v>#REF!</v>
      </c>
      <c r="C142" s="21" t="e">
        <f t="shared" si="16"/>
        <v>#REF!</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e">
        <f>#REF!</f>
        <v>#REF!</v>
      </c>
      <c r="Q142" s="21">
        <f t="shared" si="23"/>
        <v>0</v>
      </c>
      <c r="R142" s="662" t="e">
        <f t="shared" si="24"/>
        <v>#REF!</v>
      </c>
      <c r="S142" s="316" t="e">
        <f t="shared" si="15"/>
        <v>#REF!</v>
      </c>
    </row>
    <row r="143" spans="1:19">
      <c r="A143" s="150" t="e">
        <f>#REF!</f>
        <v>#REF!</v>
      </c>
      <c r="B143" s="54" t="e">
        <f>#REF!</f>
        <v>#REF!</v>
      </c>
      <c r="C143" s="21" t="e">
        <f t="shared" si="16"/>
        <v>#REF!</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e">
        <f>#REF!</f>
        <v>#REF!</v>
      </c>
      <c r="Q143" s="21">
        <f t="shared" si="23"/>
        <v>0</v>
      </c>
      <c r="R143" s="662" t="e">
        <f t="shared" si="24"/>
        <v>#REF!</v>
      </c>
      <c r="S143" s="316" t="e">
        <f t="shared" si="15"/>
        <v>#REF!</v>
      </c>
    </row>
    <row r="144" spans="1:19">
      <c r="A144" s="150" t="e">
        <f>#REF!</f>
        <v>#REF!</v>
      </c>
      <c r="B144" s="54" t="e">
        <f>#REF!</f>
        <v>#REF!</v>
      </c>
      <c r="C144" s="21" t="e">
        <f t="shared" si="16"/>
        <v>#REF!</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e">
        <f>#REF!</f>
        <v>#REF!</v>
      </c>
      <c r="Q144" s="21">
        <f t="shared" si="23"/>
        <v>0</v>
      </c>
      <c r="R144" s="662" t="e">
        <f t="shared" si="24"/>
        <v>#REF!</v>
      </c>
      <c r="S144" s="316" t="e">
        <f t="shared" si="15"/>
        <v>#REF!</v>
      </c>
    </row>
    <row r="145" spans="1:19">
      <c r="A145" s="150" t="e">
        <f>#REF!</f>
        <v>#REF!</v>
      </c>
      <c r="B145" s="54" t="e">
        <f>#REF!</f>
        <v>#REF!</v>
      </c>
      <c r="C145" s="21" t="e">
        <f t="shared" si="16"/>
        <v>#REF!</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e">
        <f>#REF!</f>
        <v>#REF!</v>
      </c>
      <c r="Q145" s="21">
        <f t="shared" si="23"/>
        <v>0</v>
      </c>
      <c r="R145" s="662" t="e">
        <f t="shared" si="24"/>
        <v>#REF!</v>
      </c>
      <c r="S145" s="316" t="e">
        <f t="shared" si="15"/>
        <v>#REF!</v>
      </c>
    </row>
    <row r="146" spans="1:19">
      <c r="A146" s="150" t="e">
        <f>#REF!</f>
        <v>#REF!</v>
      </c>
      <c r="B146" s="54" t="e">
        <f>#REF!</f>
        <v>#REF!</v>
      </c>
      <c r="C146" s="21" t="e">
        <f t="shared" si="16"/>
        <v>#REF!</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e">
        <f>#REF!</f>
        <v>#REF!</v>
      </c>
      <c r="Q146" s="21">
        <f t="shared" si="23"/>
        <v>0</v>
      </c>
      <c r="R146" s="662" t="e">
        <f t="shared" si="24"/>
        <v>#REF!</v>
      </c>
      <c r="S146" s="316" t="e">
        <f t="shared" si="15"/>
        <v>#REF!</v>
      </c>
    </row>
    <row r="147" spans="1:19">
      <c r="A147" s="150" t="e">
        <f>#REF!</f>
        <v>#REF!</v>
      </c>
      <c r="B147" s="54" t="e">
        <f>#REF!</f>
        <v>#REF!</v>
      </c>
      <c r="C147" s="21" t="e">
        <f t="shared" si="16"/>
        <v>#REF!</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e">
        <f>#REF!</f>
        <v>#REF!</v>
      </c>
      <c r="Q147" s="21">
        <f t="shared" si="23"/>
        <v>0</v>
      </c>
      <c r="R147" s="662" t="e">
        <f t="shared" si="24"/>
        <v>#REF!</v>
      </c>
      <c r="S147" s="316" t="e">
        <f t="shared" si="15"/>
        <v>#REF!</v>
      </c>
    </row>
    <row r="148" spans="1:19">
      <c r="A148" s="150" t="e">
        <f>#REF!</f>
        <v>#REF!</v>
      </c>
      <c r="B148" s="54" t="e">
        <f>#REF!</f>
        <v>#REF!</v>
      </c>
      <c r="C148" s="21" t="e">
        <f t="shared" si="16"/>
        <v>#REF!</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e">
        <f>#REF!</f>
        <v>#REF!</v>
      </c>
      <c r="Q148" s="21">
        <f t="shared" si="23"/>
        <v>0</v>
      </c>
      <c r="R148" s="662" t="e">
        <f t="shared" si="24"/>
        <v>#REF!</v>
      </c>
      <c r="S148" s="316" t="e">
        <f t="shared" si="15"/>
        <v>#REF!</v>
      </c>
    </row>
    <row r="149" spans="1:19">
      <c r="A149" s="150" t="e">
        <f>#REF!</f>
        <v>#REF!</v>
      </c>
      <c r="B149" s="54" t="e">
        <f>#REF!</f>
        <v>#REF!</v>
      </c>
      <c r="C149" s="21" t="e">
        <f t="shared" si="16"/>
        <v>#REF!</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e">
        <f>#REF!</f>
        <v>#REF!</v>
      </c>
      <c r="Q149" s="21">
        <f t="shared" si="23"/>
        <v>0</v>
      </c>
      <c r="R149" s="662" t="e">
        <f t="shared" si="24"/>
        <v>#REF!</v>
      </c>
      <c r="S149" s="316" t="e">
        <f t="shared" si="15"/>
        <v>#REF!</v>
      </c>
    </row>
    <row r="150" spans="1:19">
      <c r="A150" s="150" t="e">
        <f>#REF!</f>
        <v>#REF!</v>
      </c>
      <c r="B150" s="54" t="e">
        <f>#REF!</f>
        <v>#REF!</v>
      </c>
      <c r="C150" s="21" t="e">
        <f t="shared" si="16"/>
        <v>#REF!</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e">
        <f>#REF!</f>
        <v>#REF!</v>
      </c>
      <c r="Q150" s="21">
        <f t="shared" si="23"/>
        <v>0</v>
      </c>
      <c r="R150" s="662" t="e">
        <f t="shared" si="24"/>
        <v>#REF!</v>
      </c>
      <c r="S150" s="316" t="e">
        <f t="shared" si="15"/>
        <v>#REF!</v>
      </c>
    </row>
    <row r="151" spans="1:19">
      <c r="A151" s="150" t="e">
        <f>#REF!</f>
        <v>#REF!</v>
      </c>
      <c r="B151" s="54" t="e">
        <f>#REF!</f>
        <v>#REF!</v>
      </c>
      <c r="C151" s="21" t="e">
        <f t="shared" si="16"/>
        <v>#REF!</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e">
        <f>#REF!</f>
        <v>#REF!</v>
      </c>
      <c r="Q151" s="21">
        <f t="shared" si="23"/>
        <v>0</v>
      </c>
      <c r="R151" s="662" t="e">
        <f t="shared" si="24"/>
        <v>#REF!</v>
      </c>
      <c r="S151" s="316" t="e">
        <f t="shared" si="15"/>
        <v>#REF!</v>
      </c>
    </row>
    <row r="152" spans="1:19">
      <c r="A152" s="150" t="e">
        <f>#REF!</f>
        <v>#REF!</v>
      </c>
      <c r="B152" s="54" t="e">
        <f>#REF!</f>
        <v>#REF!</v>
      </c>
      <c r="C152" s="21" t="e">
        <f t="shared" si="16"/>
        <v>#REF!</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e">
        <f>#REF!</f>
        <v>#REF!</v>
      </c>
      <c r="Q152" s="21">
        <f t="shared" si="23"/>
        <v>0</v>
      </c>
      <c r="R152" s="662" t="e">
        <f t="shared" si="24"/>
        <v>#REF!</v>
      </c>
      <c r="S152" s="316" t="e">
        <f t="shared" ref="S152:S215" si="25">ROUND(R152*B152/10000,0)</f>
        <v>#REF!</v>
      </c>
    </row>
    <row r="153" spans="1:19">
      <c r="A153" s="150" t="e">
        <f>#REF!</f>
        <v>#REF!</v>
      </c>
      <c r="B153" s="54" t="e">
        <f>#REF!</f>
        <v>#REF!</v>
      </c>
      <c r="C153" s="21" t="e">
        <f t="shared" si="16"/>
        <v>#REF!</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e">
        <f>#REF!</f>
        <v>#REF!</v>
      </c>
      <c r="Q153" s="21">
        <f t="shared" si="23"/>
        <v>0</v>
      </c>
      <c r="R153" s="662" t="e">
        <f t="shared" si="24"/>
        <v>#REF!</v>
      </c>
      <c r="S153" s="316" t="e">
        <f t="shared" si="25"/>
        <v>#REF!</v>
      </c>
    </row>
    <row r="154" spans="1:19">
      <c r="A154" s="150" t="e">
        <f>#REF!</f>
        <v>#REF!</v>
      </c>
      <c r="B154" s="54" t="e">
        <f>#REF!</f>
        <v>#REF!</v>
      </c>
      <c r="C154" s="21" t="e">
        <f t="shared" ref="C154:C217" si="26">IF(B154="",1,(LOOKUP(B154,$3:$3,$4:$4)-LOOKUP($B$24,$3:$3,$4:$4)+100)/100)</f>
        <v>#REF!</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e">
        <f>#REF!</f>
        <v>#REF!</v>
      </c>
      <c r="Q154" s="21">
        <f t="shared" ref="Q154:Q217" si="33">(SUMIF($17:$17,P154,$18:$18)-SUMIF($17:$17,$P$24,$18:$18)+100)/100</f>
        <v>0</v>
      </c>
      <c r="R154" s="662" t="e">
        <f t="shared" ref="R154:R217" si="34">IF(B154="",0,ROUND($R$24*C154*E154*G154*I154*K154*M154*O154*Q154,0))</f>
        <v>#REF!</v>
      </c>
      <c r="S154" s="316" t="e">
        <f t="shared" si="25"/>
        <v>#REF!</v>
      </c>
    </row>
    <row r="155" spans="1:19">
      <c r="A155" s="150" t="e">
        <f>#REF!</f>
        <v>#REF!</v>
      </c>
      <c r="B155" s="54" t="e">
        <f>#REF!</f>
        <v>#REF!</v>
      </c>
      <c r="C155" s="21" t="e">
        <f t="shared" si="26"/>
        <v>#REF!</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e">
        <f>#REF!</f>
        <v>#REF!</v>
      </c>
      <c r="Q155" s="21">
        <f t="shared" si="33"/>
        <v>0</v>
      </c>
      <c r="R155" s="662" t="e">
        <f t="shared" si="34"/>
        <v>#REF!</v>
      </c>
      <c r="S155" s="316" t="e">
        <f t="shared" si="25"/>
        <v>#REF!</v>
      </c>
    </row>
    <row r="156" spans="1:19">
      <c r="A156" s="150" t="e">
        <f>#REF!</f>
        <v>#REF!</v>
      </c>
      <c r="B156" s="54" t="e">
        <f>#REF!</f>
        <v>#REF!</v>
      </c>
      <c r="C156" s="21" t="e">
        <f t="shared" si="26"/>
        <v>#REF!</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e">
        <f>#REF!</f>
        <v>#REF!</v>
      </c>
      <c r="Q156" s="21">
        <f t="shared" si="33"/>
        <v>0</v>
      </c>
      <c r="R156" s="662" t="e">
        <f t="shared" si="34"/>
        <v>#REF!</v>
      </c>
      <c r="S156" s="316" t="e">
        <f t="shared" si="25"/>
        <v>#REF!</v>
      </c>
    </row>
    <row r="157" spans="1:19">
      <c r="A157" s="150" t="e">
        <f>#REF!</f>
        <v>#REF!</v>
      </c>
      <c r="B157" s="54" t="e">
        <f>#REF!</f>
        <v>#REF!</v>
      </c>
      <c r="C157" s="21" t="e">
        <f t="shared" si="26"/>
        <v>#REF!</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e">
        <f>#REF!</f>
        <v>#REF!</v>
      </c>
      <c r="Q157" s="21">
        <f t="shared" si="33"/>
        <v>0</v>
      </c>
      <c r="R157" s="662" t="e">
        <f t="shared" si="34"/>
        <v>#REF!</v>
      </c>
      <c r="S157" s="316" t="e">
        <f t="shared" si="25"/>
        <v>#REF!</v>
      </c>
    </row>
    <row r="158" spans="1:19">
      <c r="A158" s="150" t="e">
        <f>#REF!</f>
        <v>#REF!</v>
      </c>
      <c r="B158" s="54" t="e">
        <f>#REF!</f>
        <v>#REF!</v>
      </c>
      <c r="C158" s="21" t="e">
        <f t="shared" si="26"/>
        <v>#REF!</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e">
        <f>#REF!</f>
        <v>#REF!</v>
      </c>
      <c r="Q158" s="21">
        <f t="shared" si="33"/>
        <v>0</v>
      </c>
      <c r="R158" s="662" t="e">
        <f t="shared" si="34"/>
        <v>#REF!</v>
      </c>
      <c r="S158" s="316" t="e">
        <f t="shared" si="25"/>
        <v>#REF!</v>
      </c>
    </row>
    <row r="159" spans="1:19">
      <c r="A159" s="150" t="e">
        <f>#REF!</f>
        <v>#REF!</v>
      </c>
      <c r="B159" s="54" t="e">
        <f>#REF!</f>
        <v>#REF!</v>
      </c>
      <c r="C159" s="21" t="e">
        <f t="shared" si="26"/>
        <v>#REF!</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e">
        <f>#REF!</f>
        <v>#REF!</v>
      </c>
      <c r="Q159" s="21">
        <f t="shared" si="33"/>
        <v>0</v>
      </c>
      <c r="R159" s="662" t="e">
        <f t="shared" si="34"/>
        <v>#REF!</v>
      </c>
      <c r="S159" s="316" t="e">
        <f t="shared" si="25"/>
        <v>#REF!</v>
      </c>
    </row>
    <row r="160" spans="1:19">
      <c r="A160" s="150" t="e">
        <f>#REF!</f>
        <v>#REF!</v>
      </c>
      <c r="B160" s="54" t="e">
        <f>#REF!</f>
        <v>#REF!</v>
      </c>
      <c r="C160" s="21" t="e">
        <f t="shared" si="26"/>
        <v>#REF!</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e">
        <f>#REF!</f>
        <v>#REF!</v>
      </c>
      <c r="Q160" s="21">
        <f t="shared" si="33"/>
        <v>0</v>
      </c>
      <c r="R160" s="662" t="e">
        <f t="shared" si="34"/>
        <v>#REF!</v>
      </c>
      <c r="S160" s="316" t="e">
        <f t="shared" si="25"/>
        <v>#REF!</v>
      </c>
    </row>
    <row r="161" spans="1:19">
      <c r="A161" s="150" t="e">
        <f>#REF!</f>
        <v>#REF!</v>
      </c>
      <c r="B161" s="54" t="e">
        <f>#REF!</f>
        <v>#REF!</v>
      </c>
      <c r="C161" s="21" t="e">
        <f t="shared" si="26"/>
        <v>#REF!</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e">
        <f>#REF!</f>
        <v>#REF!</v>
      </c>
      <c r="Q161" s="21">
        <f t="shared" si="33"/>
        <v>0</v>
      </c>
      <c r="R161" s="662" t="e">
        <f t="shared" si="34"/>
        <v>#REF!</v>
      </c>
      <c r="S161" s="316" t="e">
        <f t="shared" si="25"/>
        <v>#REF!</v>
      </c>
    </row>
    <row r="162" spans="1:19">
      <c r="A162" s="150" t="e">
        <f>#REF!</f>
        <v>#REF!</v>
      </c>
      <c r="B162" s="54" t="e">
        <f>#REF!</f>
        <v>#REF!</v>
      </c>
      <c r="C162" s="21" t="e">
        <f t="shared" si="26"/>
        <v>#REF!</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e">
        <f>#REF!</f>
        <v>#REF!</v>
      </c>
      <c r="Q162" s="21">
        <f t="shared" si="33"/>
        <v>0</v>
      </c>
      <c r="R162" s="662" t="e">
        <f t="shared" si="34"/>
        <v>#REF!</v>
      </c>
      <c r="S162" s="316" t="e">
        <f t="shared" si="25"/>
        <v>#REF!</v>
      </c>
    </row>
    <row r="163" spans="1:19">
      <c r="A163" s="150" t="e">
        <f>#REF!</f>
        <v>#REF!</v>
      </c>
      <c r="B163" s="54" t="e">
        <f>#REF!</f>
        <v>#REF!</v>
      </c>
      <c r="C163" s="21" t="e">
        <f t="shared" si="26"/>
        <v>#REF!</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e">
        <f>#REF!</f>
        <v>#REF!</v>
      </c>
      <c r="Q163" s="21">
        <f t="shared" si="33"/>
        <v>0</v>
      </c>
      <c r="R163" s="662" t="e">
        <f t="shared" si="34"/>
        <v>#REF!</v>
      </c>
      <c r="S163" s="316" t="e">
        <f t="shared" si="25"/>
        <v>#REF!</v>
      </c>
    </row>
    <row r="164" spans="1:19">
      <c r="A164" s="150" t="e">
        <f>#REF!</f>
        <v>#REF!</v>
      </c>
      <c r="B164" s="54" t="e">
        <f>#REF!</f>
        <v>#REF!</v>
      </c>
      <c r="C164" s="21" t="e">
        <f t="shared" si="26"/>
        <v>#REF!</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e">
        <f>#REF!</f>
        <v>#REF!</v>
      </c>
      <c r="Q164" s="21">
        <f t="shared" si="33"/>
        <v>0</v>
      </c>
      <c r="R164" s="662" t="e">
        <f t="shared" si="34"/>
        <v>#REF!</v>
      </c>
      <c r="S164" s="316" t="e">
        <f t="shared" si="25"/>
        <v>#REF!</v>
      </c>
    </row>
    <row r="165" spans="1:19">
      <c r="A165" s="150" t="e">
        <f>#REF!</f>
        <v>#REF!</v>
      </c>
      <c r="B165" s="54" t="e">
        <f>#REF!</f>
        <v>#REF!</v>
      </c>
      <c r="C165" s="21" t="e">
        <f t="shared" si="26"/>
        <v>#REF!</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e">
        <f>#REF!</f>
        <v>#REF!</v>
      </c>
      <c r="Q165" s="21">
        <f t="shared" si="33"/>
        <v>0</v>
      </c>
      <c r="R165" s="662" t="e">
        <f t="shared" si="34"/>
        <v>#REF!</v>
      </c>
      <c r="S165" s="316" t="e">
        <f t="shared" si="25"/>
        <v>#REF!</v>
      </c>
    </row>
    <row r="166" spans="1:19">
      <c r="A166" s="150" t="e">
        <f>#REF!</f>
        <v>#REF!</v>
      </c>
      <c r="B166" s="54" t="e">
        <f>#REF!</f>
        <v>#REF!</v>
      </c>
      <c r="C166" s="21" t="e">
        <f t="shared" si="26"/>
        <v>#REF!</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e">
        <f>#REF!</f>
        <v>#REF!</v>
      </c>
      <c r="Q166" s="21">
        <f t="shared" si="33"/>
        <v>0</v>
      </c>
      <c r="R166" s="662" t="e">
        <f t="shared" si="34"/>
        <v>#REF!</v>
      </c>
      <c r="S166" s="316" t="e">
        <f t="shared" si="25"/>
        <v>#REF!</v>
      </c>
    </row>
    <row r="167" spans="1:19">
      <c r="A167" s="150" t="e">
        <f>#REF!</f>
        <v>#REF!</v>
      </c>
      <c r="B167" s="54" t="e">
        <f>#REF!</f>
        <v>#REF!</v>
      </c>
      <c r="C167" s="21" t="e">
        <f t="shared" si="26"/>
        <v>#REF!</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e">
        <f>#REF!</f>
        <v>#REF!</v>
      </c>
      <c r="Q167" s="21">
        <f t="shared" si="33"/>
        <v>0</v>
      </c>
      <c r="R167" s="662" t="e">
        <f t="shared" si="34"/>
        <v>#REF!</v>
      </c>
      <c r="S167" s="316" t="e">
        <f t="shared" si="25"/>
        <v>#REF!</v>
      </c>
    </row>
    <row r="168" spans="1:19">
      <c r="A168" s="150" t="e">
        <f>#REF!</f>
        <v>#REF!</v>
      </c>
      <c r="B168" s="54" t="e">
        <f>#REF!</f>
        <v>#REF!</v>
      </c>
      <c r="C168" s="21" t="e">
        <f t="shared" si="26"/>
        <v>#REF!</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e">
        <f>#REF!</f>
        <v>#REF!</v>
      </c>
      <c r="Q168" s="21">
        <f t="shared" si="33"/>
        <v>0</v>
      </c>
      <c r="R168" s="662" t="e">
        <f t="shared" si="34"/>
        <v>#REF!</v>
      </c>
      <c r="S168" s="316" t="e">
        <f t="shared" si="25"/>
        <v>#REF!</v>
      </c>
    </row>
    <row r="169" spans="1:19">
      <c r="A169" s="150" t="e">
        <f>#REF!</f>
        <v>#REF!</v>
      </c>
      <c r="B169" s="54" t="e">
        <f>#REF!</f>
        <v>#REF!</v>
      </c>
      <c r="C169" s="21" t="e">
        <f t="shared" si="26"/>
        <v>#REF!</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e">
        <f>#REF!</f>
        <v>#REF!</v>
      </c>
      <c r="Q169" s="21">
        <f t="shared" si="33"/>
        <v>0</v>
      </c>
      <c r="R169" s="662" t="e">
        <f t="shared" si="34"/>
        <v>#REF!</v>
      </c>
      <c r="S169" s="316" t="e">
        <f t="shared" si="25"/>
        <v>#REF!</v>
      </c>
    </row>
    <row r="170" spans="1:19">
      <c r="A170" s="150" t="e">
        <f>#REF!</f>
        <v>#REF!</v>
      </c>
      <c r="B170" s="54" t="e">
        <f>#REF!</f>
        <v>#REF!</v>
      </c>
      <c r="C170" s="21" t="e">
        <f t="shared" si="26"/>
        <v>#REF!</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e">
        <f>#REF!</f>
        <v>#REF!</v>
      </c>
      <c r="Q170" s="21">
        <f t="shared" si="33"/>
        <v>0</v>
      </c>
      <c r="R170" s="662" t="e">
        <f t="shared" si="34"/>
        <v>#REF!</v>
      </c>
      <c r="S170" s="316" t="e">
        <f t="shared" si="25"/>
        <v>#REF!</v>
      </c>
    </row>
    <row r="171" spans="1:19">
      <c r="A171" s="150" t="e">
        <f>#REF!</f>
        <v>#REF!</v>
      </c>
      <c r="B171" s="54" t="e">
        <f>#REF!</f>
        <v>#REF!</v>
      </c>
      <c r="C171" s="21" t="e">
        <f t="shared" si="26"/>
        <v>#REF!</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e">
        <f>#REF!</f>
        <v>#REF!</v>
      </c>
      <c r="Q171" s="21">
        <f t="shared" si="33"/>
        <v>0</v>
      </c>
      <c r="R171" s="662" t="e">
        <f t="shared" si="34"/>
        <v>#REF!</v>
      </c>
      <c r="S171" s="316" t="e">
        <f t="shared" si="25"/>
        <v>#REF!</v>
      </c>
    </row>
    <row r="172" spans="1:19">
      <c r="A172" s="150" t="e">
        <f>#REF!</f>
        <v>#REF!</v>
      </c>
      <c r="B172" s="54" t="e">
        <f>#REF!</f>
        <v>#REF!</v>
      </c>
      <c r="C172" s="21" t="e">
        <f t="shared" si="26"/>
        <v>#REF!</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e">
        <f>#REF!</f>
        <v>#REF!</v>
      </c>
      <c r="Q172" s="21">
        <f t="shared" si="33"/>
        <v>0</v>
      </c>
      <c r="R172" s="662" t="e">
        <f t="shared" si="34"/>
        <v>#REF!</v>
      </c>
      <c r="S172" s="316" t="e">
        <f t="shared" si="25"/>
        <v>#REF!</v>
      </c>
    </row>
    <row r="173" spans="1:19">
      <c r="A173" s="150" t="e">
        <f>#REF!</f>
        <v>#REF!</v>
      </c>
      <c r="B173" s="54" t="e">
        <f>#REF!</f>
        <v>#REF!</v>
      </c>
      <c r="C173" s="21" t="e">
        <f t="shared" si="26"/>
        <v>#REF!</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e">
        <f>#REF!</f>
        <v>#REF!</v>
      </c>
      <c r="Q173" s="21">
        <f t="shared" si="33"/>
        <v>0</v>
      </c>
      <c r="R173" s="662" t="e">
        <f t="shared" si="34"/>
        <v>#REF!</v>
      </c>
      <c r="S173" s="316" t="e">
        <f t="shared" si="25"/>
        <v>#REF!</v>
      </c>
    </row>
    <row r="174" spans="1:19">
      <c r="A174" s="150" t="e">
        <f>#REF!</f>
        <v>#REF!</v>
      </c>
      <c r="B174" s="54" t="e">
        <f>#REF!</f>
        <v>#REF!</v>
      </c>
      <c r="C174" s="21" t="e">
        <f t="shared" si="26"/>
        <v>#REF!</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e">
        <f>#REF!</f>
        <v>#REF!</v>
      </c>
      <c r="Q174" s="21">
        <f t="shared" si="33"/>
        <v>0</v>
      </c>
      <c r="R174" s="662" t="e">
        <f t="shared" si="34"/>
        <v>#REF!</v>
      </c>
      <c r="S174" s="316" t="e">
        <f t="shared" si="25"/>
        <v>#REF!</v>
      </c>
    </row>
    <row r="175" spans="1:19">
      <c r="A175" s="150" t="e">
        <f>#REF!</f>
        <v>#REF!</v>
      </c>
      <c r="B175" s="54" t="e">
        <f>#REF!</f>
        <v>#REF!</v>
      </c>
      <c r="C175" s="21" t="e">
        <f t="shared" si="26"/>
        <v>#REF!</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e">
        <f>#REF!</f>
        <v>#REF!</v>
      </c>
      <c r="Q175" s="21">
        <f t="shared" si="33"/>
        <v>0</v>
      </c>
      <c r="R175" s="662" t="e">
        <f t="shared" si="34"/>
        <v>#REF!</v>
      </c>
      <c r="S175" s="316" t="e">
        <f t="shared" si="25"/>
        <v>#REF!</v>
      </c>
    </row>
    <row r="176" spans="1:19">
      <c r="A176" s="150" t="e">
        <f>#REF!</f>
        <v>#REF!</v>
      </c>
      <c r="B176" s="54" t="e">
        <f>#REF!</f>
        <v>#REF!</v>
      </c>
      <c r="C176" s="21" t="e">
        <f t="shared" si="26"/>
        <v>#REF!</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e">
        <f>#REF!</f>
        <v>#REF!</v>
      </c>
      <c r="Q176" s="21">
        <f t="shared" si="33"/>
        <v>0</v>
      </c>
      <c r="R176" s="662" t="e">
        <f t="shared" si="34"/>
        <v>#REF!</v>
      </c>
      <c r="S176" s="316" t="e">
        <f t="shared" si="25"/>
        <v>#REF!</v>
      </c>
    </row>
    <row r="177" spans="1:19">
      <c r="A177" s="150" t="e">
        <f>#REF!</f>
        <v>#REF!</v>
      </c>
      <c r="B177" s="54" t="e">
        <f>#REF!</f>
        <v>#REF!</v>
      </c>
      <c r="C177" s="21" t="e">
        <f t="shared" si="26"/>
        <v>#REF!</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e">
        <f>#REF!</f>
        <v>#REF!</v>
      </c>
      <c r="Q177" s="21">
        <f t="shared" si="33"/>
        <v>0</v>
      </c>
      <c r="R177" s="662" t="e">
        <f t="shared" si="34"/>
        <v>#REF!</v>
      </c>
      <c r="S177" s="316" t="e">
        <f t="shared" si="25"/>
        <v>#REF!</v>
      </c>
    </row>
    <row r="178" spans="1:19">
      <c r="A178" s="150" t="e">
        <f>#REF!</f>
        <v>#REF!</v>
      </c>
      <c r="B178" s="54" t="e">
        <f>#REF!</f>
        <v>#REF!</v>
      </c>
      <c r="C178" s="21" t="e">
        <f t="shared" si="26"/>
        <v>#REF!</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e">
        <f>#REF!</f>
        <v>#REF!</v>
      </c>
      <c r="Q178" s="21">
        <f t="shared" si="33"/>
        <v>0</v>
      </c>
      <c r="R178" s="662" t="e">
        <f t="shared" si="34"/>
        <v>#REF!</v>
      </c>
      <c r="S178" s="316" t="e">
        <f t="shared" si="25"/>
        <v>#REF!</v>
      </c>
    </row>
    <row r="179" spans="1:19">
      <c r="A179" s="150" t="e">
        <f>#REF!</f>
        <v>#REF!</v>
      </c>
      <c r="B179" s="54" t="e">
        <f>#REF!</f>
        <v>#REF!</v>
      </c>
      <c r="C179" s="21" t="e">
        <f t="shared" si="26"/>
        <v>#REF!</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e">
        <f>#REF!</f>
        <v>#REF!</v>
      </c>
      <c r="Q179" s="21">
        <f t="shared" si="33"/>
        <v>0</v>
      </c>
      <c r="R179" s="662" t="e">
        <f t="shared" si="34"/>
        <v>#REF!</v>
      </c>
      <c r="S179" s="316" t="e">
        <f t="shared" si="25"/>
        <v>#REF!</v>
      </c>
    </row>
    <row r="180" spans="1:19">
      <c r="A180" s="150" t="e">
        <f>#REF!</f>
        <v>#REF!</v>
      </c>
      <c r="B180" s="54" t="e">
        <f>#REF!</f>
        <v>#REF!</v>
      </c>
      <c r="C180" s="21" t="e">
        <f t="shared" si="26"/>
        <v>#REF!</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e">
        <f>#REF!</f>
        <v>#REF!</v>
      </c>
      <c r="Q180" s="21">
        <f t="shared" si="33"/>
        <v>0</v>
      </c>
      <c r="R180" s="662" t="e">
        <f t="shared" si="34"/>
        <v>#REF!</v>
      </c>
      <c r="S180" s="316" t="e">
        <f t="shared" si="25"/>
        <v>#REF!</v>
      </c>
    </row>
    <row r="181" spans="1:19">
      <c r="A181" s="150" t="e">
        <f>#REF!</f>
        <v>#REF!</v>
      </c>
      <c r="B181" s="54" t="e">
        <f>#REF!</f>
        <v>#REF!</v>
      </c>
      <c r="C181" s="21" t="e">
        <f t="shared" si="26"/>
        <v>#REF!</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e">
        <f>#REF!</f>
        <v>#REF!</v>
      </c>
      <c r="Q181" s="21">
        <f t="shared" si="33"/>
        <v>0</v>
      </c>
      <c r="R181" s="662" t="e">
        <f t="shared" si="34"/>
        <v>#REF!</v>
      </c>
      <c r="S181" s="316" t="e">
        <f t="shared" si="25"/>
        <v>#REF!</v>
      </c>
    </row>
    <row r="182" spans="1:19">
      <c r="A182" s="150" t="e">
        <f>#REF!</f>
        <v>#REF!</v>
      </c>
      <c r="B182" s="54" t="e">
        <f>#REF!</f>
        <v>#REF!</v>
      </c>
      <c r="C182" s="21" t="e">
        <f t="shared" si="26"/>
        <v>#REF!</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e">
        <f>#REF!</f>
        <v>#REF!</v>
      </c>
      <c r="Q182" s="21">
        <f t="shared" si="33"/>
        <v>0</v>
      </c>
      <c r="R182" s="662" t="e">
        <f t="shared" si="34"/>
        <v>#REF!</v>
      </c>
      <c r="S182" s="316" t="e">
        <f t="shared" si="25"/>
        <v>#REF!</v>
      </c>
    </row>
    <row r="183" spans="1:19">
      <c r="A183" s="150" t="e">
        <f>#REF!</f>
        <v>#REF!</v>
      </c>
      <c r="B183" s="54" t="e">
        <f>#REF!</f>
        <v>#REF!</v>
      </c>
      <c r="C183" s="21" t="e">
        <f t="shared" si="26"/>
        <v>#REF!</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e">
        <f>#REF!</f>
        <v>#REF!</v>
      </c>
      <c r="Q183" s="21">
        <f t="shared" si="33"/>
        <v>0</v>
      </c>
      <c r="R183" s="662" t="e">
        <f t="shared" si="34"/>
        <v>#REF!</v>
      </c>
      <c r="S183" s="316" t="e">
        <f t="shared" si="25"/>
        <v>#REF!</v>
      </c>
    </row>
    <row r="184" spans="1:19">
      <c r="A184" s="150" t="e">
        <f>#REF!</f>
        <v>#REF!</v>
      </c>
      <c r="B184" s="54" t="e">
        <f>#REF!</f>
        <v>#REF!</v>
      </c>
      <c r="C184" s="21" t="e">
        <f t="shared" si="26"/>
        <v>#REF!</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e">
        <f>#REF!</f>
        <v>#REF!</v>
      </c>
      <c r="Q184" s="21">
        <f t="shared" si="33"/>
        <v>0</v>
      </c>
      <c r="R184" s="662" t="e">
        <f t="shared" si="34"/>
        <v>#REF!</v>
      </c>
      <c r="S184" s="316" t="e">
        <f t="shared" si="25"/>
        <v>#REF!</v>
      </c>
    </row>
    <row r="185" spans="1:19">
      <c r="A185" s="150" t="e">
        <f>#REF!</f>
        <v>#REF!</v>
      </c>
      <c r="B185" s="54" t="e">
        <f>#REF!</f>
        <v>#REF!</v>
      </c>
      <c r="C185" s="21" t="e">
        <f t="shared" si="26"/>
        <v>#REF!</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e">
        <f>#REF!</f>
        <v>#REF!</v>
      </c>
      <c r="Q185" s="21">
        <f t="shared" si="33"/>
        <v>0</v>
      </c>
      <c r="R185" s="662" t="e">
        <f t="shared" si="34"/>
        <v>#REF!</v>
      </c>
      <c r="S185" s="316" t="e">
        <f t="shared" si="25"/>
        <v>#REF!</v>
      </c>
    </row>
    <row r="186" spans="1:19">
      <c r="A186" s="150" t="e">
        <f>#REF!</f>
        <v>#REF!</v>
      </c>
      <c r="B186" s="54" t="e">
        <f>#REF!</f>
        <v>#REF!</v>
      </c>
      <c r="C186" s="21" t="e">
        <f t="shared" si="26"/>
        <v>#REF!</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e">
        <f>#REF!</f>
        <v>#REF!</v>
      </c>
      <c r="Q186" s="21">
        <f t="shared" si="33"/>
        <v>0</v>
      </c>
      <c r="R186" s="662" t="e">
        <f t="shared" si="34"/>
        <v>#REF!</v>
      </c>
      <c r="S186" s="316" t="e">
        <f t="shared" si="25"/>
        <v>#REF!</v>
      </c>
    </row>
    <row r="187" spans="1:19">
      <c r="A187" s="150" t="e">
        <f>#REF!</f>
        <v>#REF!</v>
      </c>
      <c r="B187" s="54" t="e">
        <f>#REF!</f>
        <v>#REF!</v>
      </c>
      <c r="C187" s="21" t="e">
        <f t="shared" si="26"/>
        <v>#REF!</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e">
        <f>#REF!</f>
        <v>#REF!</v>
      </c>
      <c r="Q187" s="21">
        <f t="shared" si="33"/>
        <v>0</v>
      </c>
      <c r="R187" s="662" t="e">
        <f t="shared" si="34"/>
        <v>#REF!</v>
      </c>
      <c r="S187" s="316" t="e">
        <f t="shared" si="25"/>
        <v>#REF!</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J31" sqref="J31"/>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25" t="str">
        <f>项目基本情况!S2</f>
        <v>北京市房地产</v>
      </c>
      <c r="B2" s="3626"/>
      <c r="C2" s="3626"/>
      <c r="D2" s="3626"/>
      <c r="E2" s="3626"/>
      <c r="F2" s="3626"/>
      <c r="G2" s="3626"/>
      <c r="H2" s="3626"/>
      <c r="I2" s="3627"/>
    </row>
    <row r="3" spans="1:12" ht="12.75">
      <c r="A3" s="3629" t="s">
        <v>1262</v>
      </c>
      <c r="B3" s="3630"/>
      <c r="C3" s="3630"/>
      <c r="D3" s="3630"/>
      <c r="E3" s="3630"/>
      <c r="F3" s="3630"/>
      <c r="G3" s="3630"/>
      <c r="H3" s="3630"/>
      <c r="I3" s="3630"/>
    </row>
    <row r="4" spans="1:12" ht="14.25">
      <c r="A4" s="1751" t="s">
        <v>1263</v>
      </c>
      <c r="B4" s="1752" t="s">
        <v>1264</v>
      </c>
      <c r="C4" s="1753" t="s">
        <v>3614</v>
      </c>
      <c r="D4" s="1753" t="s">
        <v>3398</v>
      </c>
      <c r="E4" s="3631" t="s">
        <v>1265</v>
      </c>
      <c r="F4" s="3632"/>
      <c r="G4" s="3632"/>
      <c r="H4" s="3632"/>
      <c r="I4" s="3633"/>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05" t="s">
        <v>1266</v>
      </c>
      <c r="B5" s="3592">
        <v>25</v>
      </c>
      <c r="C5" s="3608"/>
      <c r="D5" s="3628"/>
      <c r="E5" s="131" t="s">
        <v>1267</v>
      </c>
      <c r="F5" s="1754"/>
      <c r="G5" s="1754"/>
      <c r="H5" s="1754"/>
      <c r="I5" s="1370"/>
    </row>
    <row r="6" spans="1:12" ht="12.75">
      <c r="A6" s="3605"/>
      <c r="B6" s="3592"/>
      <c r="C6" s="3609"/>
      <c r="D6" s="3628"/>
      <c r="E6" s="131" t="s">
        <v>1268</v>
      </c>
      <c r="F6" s="1754"/>
      <c r="G6" s="1754"/>
      <c r="H6" s="1754"/>
      <c r="I6" s="1370"/>
    </row>
    <row r="7" spans="1:12" ht="12.75">
      <c r="A7" s="3605"/>
      <c r="B7" s="3592"/>
      <c r="C7" s="3610"/>
      <c r="D7" s="3628"/>
      <c r="E7" s="131" t="s">
        <v>1269</v>
      </c>
      <c r="F7" s="1754"/>
      <c r="G7" s="1754"/>
      <c r="H7" s="1754"/>
      <c r="I7" s="1370"/>
    </row>
    <row r="8" spans="1:12" ht="12.75">
      <c r="A8" s="3605" t="s">
        <v>1270</v>
      </c>
      <c r="B8" s="3592">
        <v>15</v>
      </c>
      <c r="C8" s="3608"/>
      <c r="D8" s="3628"/>
      <c r="E8" s="131" t="s">
        <v>1271</v>
      </c>
      <c r="F8" s="1754"/>
      <c r="G8" s="1754"/>
      <c r="H8" s="1754"/>
      <c r="I8" s="1370"/>
    </row>
    <row r="9" spans="1:12" ht="12.75">
      <c r="A9" s="3605"/>
      <c r="B9" s="3592"/>
      <c r="C9" s="3610"/>
      <c r="D9" s="3628"/>
      <c r="E9" s="131" t="s">
        <v>1272</v>
      </c>
      <c r="F9" s="1754"/>
      <c r="G9" s="1754"/>
      <c r="H9" s="1754"/>
      <c r="I9" s="1370"/>
    </row>
    <row r="10" spans="1:12" ht="12.75">
      <c r="A10" s="3605" t="s">
        <v>1273</v>
      </c>
      <c r="B10" s="3592">
        <v>15</v>
      </c>
      <c r="C10" s="3608"/>
      <c r="D10" s="3628"/>
      <c r="E10" s="131" t="s">
        <v>1274</v>
      </c>
      <c r="F10" s="1754"/>
      <c r="G10" s="1754"/>
      <c r="H10" s="1754"/>
      <c r="I10" s="1370"/>
    </row>
    <row r="11" spans="1:12" ht="12.75">
      <c r="A11" s="3605"/>
      <c r="B11" s="3592"/>
      <c r="C11" s="3610"/>
      <c r="D11" s="3628"/>
      <c r="E11" s="131" t="s">
        <v>1275</v>
      </c>
      <c r="F11" s="1754"/>
      <c r="G11" s="1754"/>
      <c r="H11" s="1754"/>
      <c r="I11" s="1370"/>
    </row>
    <row r="12" spans="1:12" ht="12.75">
      <c r="A12" s="3605" t="s">
        <v>1276</v>
      </c>
      <c r="B12" s="3592">
        <v>15</v>
      </c>
      <c r="C12" s="3608"/>
      <c r="D12" s="3628"/>
      <c r="E12" s="131" t="s">
        <v>1277</v>
      </c>
      <c r="F12" s="1754"/>
      <c r="G12" s="1754"/>
      <c r="H12" s="1754"/>
      <c r="I12" s="1370"/>
    </row>
    <row r="13" spans="1:12" ht="12.75">
      <c r="A13" s="3605"/>
      <c r="B13" s="3592"/>
      <c r="C13" s="3610"/>
      <c r="D13" s="3628"/>
      <c r="E13" s="131" t="s">
        <v>1278</v>
      </c>
      <c r="F13" s="1754"/>
      <c r="G13" s="1754"/>
      <c r="H13" s="1754"/>
      <c r="I13" s="1370"/>
    </row>
    <row r="14" spans="1:12" ht="12.75">
      <c r="A14" s="3605" t="s">
        <v>1279</v>
      </c>
      <c r="B14" s="3592">
        <v>30</v>
      </c>
      <c r="C14" s="3608">
        <v>6</v>
      </c>
      <c r="D14" s="3628">
        <v>4</v>
      </c>
      <c r="E14" s="131" t="s">
        <v>1280</v>
      </c>
      <c r="F14" s="1754"/>
      <c r="G14" s="1754"/>
      <c r="H14" s="1754"/>
      <c r="I14" s="1370"/>
    </row>
    <row r="15" spans="1:12" ht="12.75">
      <c r="A15" s="3605"/>
      <c r="B15" s="3592"/>
      <c r="C15" s="3609"/>
      <c r="D15" s="3628"/>
      <c r="E15" s="131" t="s">
        <v>1281</v>
      </c>
      <c r="F15" s="1754"/>
      <c r="G15" s="1754"/>
      <c r="H15" s="1754"/>
      <c r="I15" s="1370"/>
    </row>
    <row r="16" spans="1:12" ht="12.75">
      <c r="A16" s="3605"/>
      <c r="B16" s="3592"/>
      <c r="C16" s="3610"/>
      <c r="D16" s="3628"/>
      <c r="E16" s="131" t="s">
        <v>1282</v>
      </c>
      <c r="F16" s="1754"/>
      <c r="G16" s="1754"/>
      <c r="H16" s="1754"/>
      <c r="I16" s="1370"/>
    </row>
    <row r="17" spans="1:36" ht="15">
      <c r="A17" s="1755" t="s">
        <v>1283</v>
      </c>
      <c r="B17" s="56"/>
      <c r="C17" s="132">
        <f>SUM(C5:C16)</f>
        <v>6</v>
      </c>
      <c r="D17" s="132">
        <f>SUM(D5:D16)</f>
        <v>4</v>
      </c>
      <c r="E17" s="129"/>
      <c r="F17" s="129"/>
      <c r="G17" s="129"/>
      <c r="H17" s="129"/>
      <c r="I17" s="129"/>
      <c r="K17" s="302"/>
      <c r="L17" s="302" t="s">
        <v>1284</v>
      </c>
      <c r="M17" s="302" t="s">
        <v>1285</v>
      </c>
    </row>
    <row r="18" spans="1:36" ht="31.9" customHeight="1" thickBot="1">
      <c r="A18" s="1756" t="s">
        <v>1286</v>
      </c>
      <c r="B18" s="1757"/>
      <c r="C18" s="133">
        <f>ROUND(C17/SUM(C17:D17),2)</f>
        <v>0.6</v>
      </c>
      <c r="D18" s="133">
        <f>1-C18</f>
        <v>0.4</v>
      </c>
      <c r="E18" s="3615" t="s">
        <v>2128</v>
      </c>
      <c r="F18" s="3616"/>
      <c r="G18" s="3616"/>
      <c r="H18" s="3616"/>
      <c r="I18" s="3616"/>
      <c r="K18" s="302" t="s">
        <v>1287</v>
      </c>
      <c r="L18" s="302">
        <f>IF(C1="",'数据-汇总表'!E3,SUMIF(项目类型,C1,'数据-汇总表'!E17:E26)+SUMIF(项目类型,C1,'数据-汇总表'!I17:I26))</f>
        <v>50816.34</v>
      </c>
      <c r="M18" s="302">
        <f>IF(C1="",'数据-汇总表'!E3,SUMIF(项目类型,C1,'数据-汇总表'!E17:E26))</f>
        <v>50816.34</v>
      </c>
    </row>
    <row r="19" spans="1:36" ht="15">
      <c r="A19" s="1758" t="s">
        <v>1288</v>
      </c>
      <c r="B19" s="1759" t="s">
        <v>1289</v>
      </c>
      <c r="C19" s="134">
        <f ca="1">SUMIF(INDIRECT("'"&amp;C4&amp;"'"&amp;"!A:A"),结果表车库!B19,INDIRECT("'"&amp;C4&amp;"'"&amp;"!B:B"))</f>
        <v>7</v>
      </c>
      <c r="D19" s="135">
        <f ca="1">SUMIF(INDIRECT("'"&amp;D4&amp;"'"&amp;"!A:A"),结果表车库!B19,INDIRECT("'"&amp;D4&amp;"'"&amp;"!B:B"))</f>
        <v>2794.1210999999998</v>
      </c>
      <c r="E19" s="1758" t="s">
        <v>1290</v>
      </c>
      <c r="F19" s="1759" t="s">
        <v>1289</v>
      </c>
      <c r="G19" s="136">
        <f ca="1">ROUND(C19*$C$18+D19*$D$18,0)</f>
        <v>1122</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SUMIF(INDIRECT("'"&amp;C4&amp;"'"&amp;"!A:A"),结果表车库!B20,INDIRECT("'"&amp;C4&amp;"'"&amp;"!B:B"))</f>
        <v>8</v>
      </c>
      <c r="D20" s="138">
        <f ca="1">SUMIF(INDIRECT("'"&amp;D4&amp;"'"&amp;"!A:A"),结果表车库!B20,INDIRECT("'"&amp;D4&amp;"'"&amp;"!B:B"))</f>
        <v>3220</v>
      </c>
      <c r="E20" s="1761"/>
      <c r="F20" s="1024" t="s">
        <v>1293</v>
      </c>
      <c r="G20" s="139">
        <f ca="1">ROUND(C20*$C$18+D20*$D$18,0)</f>
        <v>1293</v>
      </c>
      <c r="H20" s="807" t="s">
        <v>1294</v>
      </c>
      <c r="I20" s="129"/>
    </row>
    <row r="21" spans="1:36" ht="15" customHeight="1" thickBot="1">
      <c r="A21" s="827"/>
      <c r="B21" s="1762" t="s">
        <v>1295</v>
      </c>
      <c r="C21" s="718">
        <f ca="1">ROUND(C19*10000/L19,0)</f>
        <v>4</v>
      </c>
      <c r="D21" s="719">
        <f ca="1">ROUND(D19*10000/L19,0)</f>
        <v>1610</v>
      </c>
      <c r="E21" s="827"/>
      <c r="F21" s="1762" t="s">
        <v>1295</v>
      </c>
      <c r="G21" s="140">
        <f ca="1">ROUND(G19*10000/L19,0)</f>
        <v>647</v>
      </c>
      <c r="H21" s="1763" t="s">
        <v>1294</v>
      </c>
      <c r="I21" s="129"/>
    </row>
    <row r="22" spans="1:36" ht="15" thickBot="1">
      <c r="A22" s="1685" t="s">
        <v>1296</v>
      </c>
      <c r="B22" s="1764"/>
      <c r="C22" s="1765"/>
      <c r="D22" s="720">
        <f ca="1">IF(C19&lt;D19,D19/C19-1,C19/D19-1)</f>
        <v>398.16015714285714</v>
      </c>
      <c r="E22" s="129"/>
      <c r="F22" s="129"/>
      <c r="G22" s="129"/>
      <c r="H22" s="129"/>
      <c r="I22" s="129"/>
    </row>
    <row r="23" spans="1:36" ht="13.5" thickBot="1">
      <c r="A23" s="1744"/>
      <c r="B23" s="1744"/>
      <c r="C23" s="1744"/>
      <c r="D23" s="1744"/>
      <c r="E23" s="129"/>
      <c r="F23" s="129"/>
      <c r="G23" s="129"/>
      <c r="H23" s="129"/>
      <c r="I23" s="129"/>
    </row>
    <row r="24" spans="1:36" ht="14.25">
      <c r="A24" s="3599" t="s">
        <v>1297</v>
      </c>
      <c r="B24" s="1759" t="s">
        <v>1289</v>
      </c>
      <c r="C24" s="136">
        <f>IF(B30=0,0,D30)</f>
        <v>0</v>
      </c>
      <c r="D24" s="1766"/>
      <c r="E24" s="129"/>
      <c r="F24" s="129"/>
      <c r="G24" s="129"/>
      <c r="H24" s="129"/>
      <c r="I24" s="129"/>
    </row>
    <row r="25" spans="1:36" ht="14.25">
      <c r="A25" s="3600"/>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1293</v>
      </c>
      <c r="D32" s="1772"/>
      <c r="E32" s="129"/>
      <c r="F32" s="129"/>
      <c r="G32" s="129"/>
      <c r="H32" s="129"/>
      <c r="I32" s="129"/>
    </row>
    <row r="33" spans="1:15" ht="15">
      <c r="A33" s="785" t="s">
        <v>1304</v>
      </c>
      <c r="B33" s="1773"/>
      <c r="C33" s="1774"/>
      <c r="D33" s="1775"/>
      <c r="E33" s="1776" t="s">
        <v>1305</v>
      </c>
      <c r="F33" s="1777" t="str">
        <f>IF(D32="楼面单价","取值（单价）","取值（总价）")</f>
        <v>取值（总价）</v>
      </c>
      <c r="G33" s="129"/>
      <c r="H33" s="129"/>
      <c r="I33" s="129"/>
    </row>
    <row r="34" spans="1:15" ht="15">
      <c r="A34" s="1778"/>
      <c r="B34" s="1779"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1307</v>
      </c>
      <c r="F34" s="1327"/>
      <c r="G34" s="129"/>
      <c r="H34" s="129"/>
      <c r="I34" s="129"/>
    </row>
    <row r="35" spans="1:15" ht="15.75" thickBot="1">
      <c r="A35" s="1781"/>
      <c r="B35" s="1782"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1309</v>
      </c>
      <c r="F35" s="154"/>
      <c r="G35" s="129"/>
      <c r="H35" s="129"/>
      <c r="I35" s="129"/>
    </row>
    <row r="36" spans="1:15" ht="15.75" thickBot="1">
      <c r="A36" s="3619" t="s">
        <v>1310</v>
      </c>
      <c r="B36" s="1784" t="s">
        <v>1311</v>
      </c>
      <c r="C36" s="145"/>
      <c r="D36" s="1785"/>
      <c r="E36" s="1786"/>
      <c r="F36" s="1787"/>
      <c r="G36" s="129"/>
      <c r="H36" s="129"/>
      <c r="I36" s="129"/>
    </row>
    <row r="37" spans="1:15" ht="15.75" thickBot="1">
      <c r="A37" s="3620"/>
      <c r="B37" s="1671" t="s">
        <v>1312</v>
      </c>
      <c r="C37" s="147"/>
      <c r="D37" s="1137"/>
      <c r="E37" s="1137"/>
      <c r="F37" s="1787"/>
      <c r="G37" s="129"/>
      <c r="H37" s="129"/>
      <c r="I37" s="129"/>
    </row>
    <row r="38" spans="1:15" ht="15.75" thickBot="1">
      <c r="A38" s="3621"/>
      <c r="B38" s="1788" t="s">
        <v>1313</v>
      </c>
      <c r="C38" s="673"/>
      <c r="D38" s="1789" t="s">
        <v>1314</v>
      </c>
      <c r="E38" s="1137"/>
      <c r="F38" s="1787"/>
      <c r="G38" s="129"/>
      <c r="H38" s="129"/>
      <c r="I38" s="129"/>
    </row>
    <row r="39" spans="1:15" ht="15">
      <c r="A39" s="1761" t="s">
        <v>1315</v>
      </c>
      <c r="B39" s="1790" t="s">
        <v>1316</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596" t="s">
        <v>1324</v>
      </c>
      <c r="B45" s="3597"/>
      <c r="C45" s="3598"/>
      <c r="D45" s="155" t="e">
        <f ca="1">ROUND(H101*F45,0)</f>
        <v>#REF!</v>
      </c>
      <c r="E45" s="156" t="s">
        <v>1325</v>
      </c>
      <c r="F45" s="157">
        <v>1</v>
      </c>
      <c r="G45" s="158" t="s">
        <v>1326</v>
      </c>
      <c r="H45" s="129"/>
      <c r="I45" s="129"/>
      <c r="J45" s="3674" t="s">
        <v>1327</v>
      </c>
      <c r="K45" s="3674"/>
      <c r="L45" s="3674"/>
      <c r="M45" s="3674"/>
      <c r="N45" s="3674"/>
      <c r="O45" s="3674"/>
    </row>
    <row r="46" spans="1:15" ht="14.25" customHeight="1">
      <c r="A46" s="3593" t="s">
        <v>1328</v>
      </c>
      <c r="B46" s="3594"/>
      <c r="C46" s="3594"/>
      <c r="D46" s="3594"/>
      <c r="E46" s="3594"/>
      <c r="F46" s="3594"/>
      <c r="G46" s="3595"/>
      <c r="H46" s="1803"/>
      <c r="I46" s="159"/>
      <c r="J46" s="3458">
        <v>1</v>
      </c>
      <c r="K46" s="3655" t="s">
        <v>1329</v>
      </c>
      <c r="L46" s="3655"/>
      <c r="M46" s="3675"/>
      <c r="N46" s="3675"/>
      <c r="O46" s="3675"/>
    </row>
    <row r="47" spans="1:15" ht="12" customHeight="1">
      <c r="A47" s="160" t="s">
        <v>1330</v>
      </c>
      <c r="B47" s="161"/>
      <c r="C47" s="162"/>
      <c r="D47" s="1085" t="s">
        <v>1331</v>
      </c>
      <c r="E47" s="302" t="s">
        <v>1332</v>
      </c>
      <c r="F47" s="163" t="s">
        <v>1333</v>
      </c>
      <c r="G47" s="2541" t="s">
        <v>1334</v>
      </c>
      <c r="H47" s="2542"/>
      <c r="I47" s="159"/>
      <c r="J47" s="3458">
        <v>2</v>
      </c>
      <c r="K47" s="3655" t="s">
        <v>1335</v>
      </c>
      <c r="L47" s="3655"/>
      <c r="M47" s="3676">
        <f>'数据-取费表'!B2</f>
        <v>45216</v>
      </c>
      <c r="N47" s="3676"/>
      <c r="O47" s="3676"/>
    </row>
    <row r="48" spans="1:15" ht="25.5">
      <c r="A48" s="3624" t="s">
        <v>1336</v>
      </c>
      <c r="B48" s="3607"/>
      <c r="C48" s="3607"/>
      <c r="D48" s="3460" t="b">
        <f>IF(H48="情况1",0,IF(H48="情况2",D52,IF(H48="情况3",D53,IF(H48="情况4",D54))))</f>
        <v>0</v>
      </c>
      <c r="E48" s="3451" t="str">
        <f>IF(H48="情况4","(销售额-原购置价)×税（费）率","销售额×税（费）率")</f>
        <v>销售额×税（费）率</v>
      </c>
      <c r="F48" s="2543">
        <f>IF(H48="情况1","免征",'数据-取费表'!B41)</f>
        <v>5.5000000000000007E-2</v>
      </c>
      <c r="G48" s="2544" t="s">
        <v>1337</v>
      </c>
      <c r="H48" s="2545"/>
      <c r="I48" s="1803"/>
      <c r="J48" s="3458">
        <v>3</v>
      </c>
      <c r="K48" s="3655" t="s">
        <v>1338</v>
      </c>
      <c r="L48" s="3655"/>
      <c r="M48" s="3677" t="e">
        <f ca="1">H101</f>
        <v>#REF!</v>
      </c>
      <c r="N48" s="3677"/>
      <c r="O48" s="3677"/>
    </row>
    <row r="49" spans="1:35" ht="25.5" customHeight="1">
      <c r="A49" s="3455" t="s">
        <v>1339</v>
      </c>
      <c r="B49" s="3591" t="s">
        <v>1340</v>
      </c>
      <c r="C49" s="3591"/>
      <c r="D49" s="1587">
        <v>0</v>
      </c>
      <c r="E49" s="324" t="s">
        <v>1341</v>
      </c>
      <c r="F49" s="3445" t="s">
        <v>28</v>
      </c>
      <c r="G49" s="3661"/>
      <c r="H49" s="2305" t="s">
        <v>2131</v>
      </c>
      <c r="I49" s="2306"/>
      <c r="J49" s="3458">
        <v>4</v>
      </c>
      <c r="K49" s="3655" t="str">
        <f>IF(项目基本情况!E8="房地产抵押价值","房地产抵押价值","抵押担保权已注销时的房地产抵押价值")</f>
        <v>房地产抵押价值</v>
      </c>
      <c r="L49" s="3655"/>
      <c r="M49" s="3677" t="str">
        <f ca="1">IF(项目基本情况!E8="房地产抵押价值",H107,H109)</f>
        <v>——</v>
      </c>
      <c r="N49" s="3677"/>
      <c r="O49" s="3677"/>
    </row>
    <row r="50" spans="1:35" ht="25.5" customHeight="1">
      <c r="A50" s="2546"/>
      <c r="B50" s="3591" t="s">
        <v>1342</v>
      </c>
      <c r="C50" s="3591"/>
      <c r="D50" s="2547"/>
      <c r="E50" s="332"/>
      <c r="F50" s="3445"/>
      <c r="G50" s="3662"/>
      <c r="H50" s="2307" t="s">
        <v>2132</v>
      </c>
      <c r="I50" s="2306"/>
      <c r="J50" s="3674" t="s">
        <v>1343</v>
      </c>
      <c r="K50" s="3674"/>
      <c r="L50" s="3674"/>
      <c r="M50" s="3674"/>
      <c r="N50" s="3674"/>
      <c r="O50" s="3674"/>
    </row>
    <row r="51" spans="1:35" ht="20.45" customHeight="1">
      <c r="A51" s="2548"/>
      <c r="B51" s="3591" t="s">
        <v>1344</v>
      </c>
      <c r="C51" s="3591"/>
      <c r="D51" s="1085"/>
      <c r="E51" s="327"/>
      <c r="F51" s="3445"/>
      <c r="G51" s="3663"/>
      <c r="H51" s="2307" t="s">
        <v>2133</v>
      </c>
      <c r="I51" s="2306"/>
      <c r="J51" s="3457" t="s">
        <v>1345</v>
      </c>
      <c r="K51" s="3655" t="s">
        <v>1346</v>
      </c>
      <c r="L51" s="3655"/>
      <c r="M51" s="3457" t="s">
        <v>1347</v>
      </c>
      <c r="N51" s="3457" t="s">
        <v>1348</v>
      </c>
      <c r="O51" s="3457" t="s">
        <v>1349</v>
      </c>
    </row>
    <row r="52" spans="1:35" ht="24" customHeight="1">
      <c r="A52" s="3450" t="s">
        <v>1350</v>
      </c>
      <c r="B52" s="3591" t="s">
        <v>1351</v>
      </c>
      <c r="C52" s="3591"/>
      <c r="D52" s="1085" t="e">
        <f ca="1">ROUND(D45*'数据-取费表'!B41/(1+'数据-取费表'!C42),0)</f>
        <v>#REF!</v>
      </c>
      <c r="E52" s="3451" t="s">
        <v>1352</v>
      </c>
      <c r="F52" s="2549">
        <f>'数据-取费表'!B41</f>
        <v>5.5000000000000007E-2</v>
      </c>
      <c r="G52" s="2550"/>
      <c r="H52" s="2539"/>
      <c r="I52" s="1804"/>
      <c r="J52" s="3458">
        <v>1</v>
      </c>
      <c r="K52" s="3656" t="s">
        <v>1353</v>
      </c>
      <c r="L52" s="3656"/>
      <c r="M52" s="2520" t="b">
        <f>D48</f>
        <v>0</v>
      </c>
      <c r="N52" s="3458" t="str">
        <f>E48</f>
        <v>销售额×税（费）率</v>
      </c>
      <c r="O52" s="2521">
        <f>F48</f>
        <v>5.5000000000000007E-2</v>
      </c>
    </row>
    <row r="53" spans="1:35" ht="12" customHeight="1">
      <c r="A53" s="3450" t="s">
        <v>1354</v>
      </c>
      <c r="B53" s="3617" t="s">
        <v>2288</v>
      </c>
      <c r="C53" s="3618"/>
      <c r="D53" s="1085" t="e">
        <f ca="1">ROUND(D45*'数据-取费表'!B41/(1+'数据-取费表'!C42),0)</f>
        <v>#REF!</v>
      </c>
      <c r="E53" s="3451" t="s">
        <v>1352</v>
      </c>
      <c r="F53" s="2549">
        <f>'数据-取费表'!B41</f>
        <v>5.5000000000000007E-2</v>
      </c>
      <c r="G53" s="2550"/>
      <c r="H53" s="2539"/>
      <c r="I53" s="1804"/>
      <c r="J53" s="3458">
        <v>2</v>
      </c>
      <c r="K53" s="3656" t="s">
        <v>1355</v>
      </c>
      <c r="L53" s="3656"/>
      <c r="M53" s="2520" t="e">
        <f t="shared" ref="M53:O54" ca="1" si="0">D55</f>
        <v>#REF!</v>
      </c>
      <c r="N53" s="3458" t="str">
        <f t="shared" si="0"/>
        <v>销售额×税（费）率</v>
      </c>
      <c r="O53" s="2521" t="str">
        <f t="shared" si="0"/>
        <v>免征</v>
      </c>
    </row>
    <row r="54" spans="1:35" ht="12" customHeight="1">
      <c r="A54" s="3450" t="s">
        <v>1356</v>
      </c>
      <c r="B54" s="3617" t="s">
        <v>2289</v>
      </c>
      <c r="C54" s="3618"/>
      <c r="D54" s="1085" t="e">
        <f ca="1">C68</f>
        <v>#REF!</v>
      </c>
      <c r="E54" s="327" t="s">
        <v>1357</v>
      </c>
      <c r="F54" s="2549">
        <f>'数据-取费表'!B41</f>
        <v>5.5000000000000007E-2</v>
      </c>
      <c r="G54" s="2550"/>
      <c r="H54" s="2551"/>
      <c r="I54" s="1804"/>
      <c r="J54" s="3458">
        <v>3</v>
      </c>
      <c r="K54" s="3656" t="s">
        <v>1358</v>
      </c>
      <c r="L54" s="3656"/>
      <c r="M54" s="2520" t="e">
        <f t="shared" ca="1" si="0"/>
        <v>#REF!</v>
      </c>
      <c r="N54" s="3458" t="str">
        <f t="shared" si="0"/>
        <v>增值额×税（费）率</v>
      </c>
      <c r="O54" s="2522" t="str">
        <f t="shared" si="0"/>
        <v>免征</v>
      </c>
    </row>
    <row r="55" spans="1:35" ht="24" customHeight="1">
      <c r="A55" s="3606" t="s">
        <v>1359</v>
      </c>
      <c r="B55" s="3607"/>
      <c r="C55" s="3607"/>
      <c r="D55" s="3460" t="e">
        <f ca="1">IF(H55="个人住宅",0,ROUND(D45*I55,0))</f>
        <v>#REF!</v>
      </c>
      <c r="E55" s="3451" t="s">
        <v>1360</v>
      </c>
      <c r="F55" s="2549" t="str">
        <f>IF(H55="正常",I55,"免征")</f>
        <v>免征</v>
      </c>
      <c r="G55" s="2550"/>
      <c r="H55" s="2545"/>
      <c r="I55" s="165">
        <f>'数据-取费表'!B49</f>
        <v>5.0000000000000001E-4</v>
      </c>
      <c r="J55" s="3458">
        <f>IF(H59="非个人房产","",4)</f>
        <v>4</v>
      </c>
      <c r="K55" s="3656" t="str">
        <f>IF(H59="非个人房产","——","个人所得税")</f>
        <v>个人所得税</v>
      </c>
      <c r="L55" s="3656"/>
      <c r="M55" s="2523" t="e">
        <f ca="1">D59</f>
        <v>#REF!</v>
      </c>
      <c r="N55" s="3459" t="str">
        <f>E59</f>
        <v>差额计税</v>
      </c>
      <c r="O55" s="2524">
        <f>F59</f>
        <v>0.01</v>
      </c>
    </row>
    <row r="56" spans="1:35" ht="24.75">
      <c r="A56" s="3606" t="s">
        <v>1361</v>
      </c>
      <c r="B56" s="3607"/>
      <c r="C56" s="3607"/>
      <c r="D56" s="3460" t="e">
        <f ca="1">IF(H56="个人住宅",D57,D58)</f>
        <v>#REF!</v>
      </c>
      <c r="E56" s="3451" t="s">
        <v>1362</v>
      </c>
      <c r="F56" s="2549" t="str">
        <f>IF(H56="正常",F58,"免征")</f>
        <v>免征</v>
      </c>
      <c r="G56" s="2552" t="s">
        <v>1363</v>
      </c>
      <c r="H56" s="2553"/>
      <c r="I56" s="1805"/>
      <c r="J56" s="3458" t="str">
        <f>IF(项目基本情况!K6="上海银行",IF(J55="",4,J55+1),"")</f>
        <v/>
      </c>
      <c r="K56" s="3679" t="str">
        <f>IF(项目基本情况!K6="上海银行","其他处置费用","")</f>
        <v/>
      </c>
      <c r="L56" s="3680"/>
      <c r="M56" s="2520" t="str">
        <f>IF(项目基本情况!K6="上海银行",M69,"")</f>
        <v/>
      </c>
      <c r="N56" s="3679" t="str">
        <f>IF(项目基本情况!K6="上海银行","包含处置中涉及的律师、诉讼、拍卖、评估等费用","")</f>
        <v/>
      </c>
      <c r="O56" s="3682"/>
    </row>
    <row r="57" spans="1:35" ht="12.75">
      <c r="A57" s="3450" t="s">
        <v>1339</v>
      </c>
      <c r="B57" s="3617" t="s">
        <v>1364</v>
      </c>
      <c r="C57" s="3618"/>
      <c r="D57" s="1587">
        <v>0</v>
      </c>
      <c r="E57" s="324" t="s">
        <v>1341</v>
      </c>
      <c r="F57" s="302"/>
      <c r="G57" s="2550"/>
      <c r="H57" s="2554"/>
      <c r="I57" s="1805"/>
      <c r="J57" s="3656">
        <f>IF(AND(J55="",J56=""),4,IF(项目基本情况!K6="上海银行",结果表车库!J56+1,结果表车库!J55+1))</f>
        <v>5</v>
      </c>
      <c r="K57" s="3656" t="s">
        <v>1365</v>
      </c>
      <c r="L57" s="2525" t="s">
        <v>1366</v>
      </c>
      <c r="M57" s="2526"/>
      <c r="N57" s="2527">
        <f ca="1">SUMIF(M52:M56,"&lt;9e307")</f>
        <v>0</v>
      </c>
      <c r="O57" s="2528"/>
      <c r="P57" s="2685" t="e">
        <f ca="1">N57/M49</f>
        <v>#VALUE!</v>
      </c>
    </row>
    <row r="58" spans="1:35" ht="24.75">
      <c r="A58" s="3450" t="s">
        <v>1350</v>
      </c>
      <c r="B58" s="3617" t="s">
        <v>1367</v>
      </c>
      <c r="C58" s="3591"/>
      <c r="D58" s="3460" t="e">
        <f ca="1">IF(H58="转让取得",C81,C97)</f>
        <v>#REF!</v>
      </c>
      <c r="E58" s="3451" t="s">
        <v>1362</v>
      </c>
      <c r="F58" s="302" t="s">
        <v>28</v>
      </c>
      <c r="G58" s="2550"/>
      <c r="H58" s="2553"/>
      <c r="I58" s="1805"/>
      <c r="J58" s="3656"/>
      <c r="K58" s="3656"/>
      <c r="L58" s="2525" t="s">
        <v>1368</v>
      </c>
      <c r="M58" s="2529"/>
      <c r="N58" s="2530" t="str">
        <f ca="1">NUMBERSTRING(INT(N57*10000),2)&amp;"元整"</f>
        <v>零元整</v>
      </c>
      <c r="O58" s="2531"/>
    </row>
    <row r="59" spans="1:35" ht="24.75" thickBot="1">
      <c r="A59" s="3659" t="s">
        <v>1369</v>
      </c>
      <c r="B59" s="3660"/>
      <c r="C59" s="3660"/>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09"/>
      <c r="I59" s="2308" t="s">
        <v>2134</v>
      </c>
      <c r="J59" s="3657">
        <f>J57+1</f>
        <v>6</v>
      </c>
      <c r="K59" s="3656" t="s">
        <v>1370</v>
      </c>
      <c r="L59" s="3458" t="s">
        <v>1366</v>
      </c>
      <c r="M59" s="2532"/>
      <c r="N59" s="2533" t="e">
        <f ca="1">M49-N57</f>
        <v>#VALUE!</v>
      </c>
      <c r="O59" s="2534"/>
    </row>
    <row r="60" spans="1:35" ht="12" customHeight="1">
      <c r="A60" s="1806"/>
      <c r="B60" s="1744"/>
      <c r="C60" s="1744"/>
      <c r="D60" s="1744"/>
      <c r="E60" s="1575"/>
      <c r="F60" s="1805"/>
      <c r="G60" s="1805"/>
      <c r="H60" s="1807"/>
      <c r="I60" s="129"/>
      <c r="J60" s="3658"/>
      <c r="K60" s="3656"/>
      <c r="L60" s="2525" t="s">
        <v>1368</v>
      </c>
      <c r="M60" s="2529"/>
      <c r="N60" s="2530" t="e">
        <f ca="1">NUMBERSTRING(INT(N59*10000),2)&amp;"元整"</f>
        <v>#VALUE!</v>
      </c>
      <c r="O60" s="2531"/>
    </row>
    <row r="61" spans="1:35" ht="13.5" thickBot="1">
      <c r="A61" s="3604" t="s">
        <v>1371</v>
      </c>
      <c r="B61" s="3604"/>
      <c r="C61" s="3604"/>
      <c r="D61" s="3604"/>
      <c r="E61" s="3604"/>
      <c r="F61" s="1805"/>
      <c r="G61" s="1805"/>
      <c r="H61" s="1807"/>
      <c r="I61" s="129"/>
      <c r="J61" s="3458">
        <f>J59+1</f>
        <v>7</v>
      </c>
      <c r="K61" s="3656" t="s">
        <v>1372</v>
      </c>
      <c r="L61" s="3656"/>
      <c r="M61" s="2535"/>
      <c r="N61" s="2536" t="e">
        <f ca="1">ROUND(N59*10000/'数据-汇总表'!E3,0)</f>
        <v>#VALUE!</v>
      </c>
      <c r="O61" s="2537"/>
    </row>
    <row r="62" spans="1:35" ht="12.75">
      <c r="A62" s="3622" t="s">
        <v>1373</v>
      </c>
      <c r="B62" s="3623"/>
      <c r="C62" s="3454"/>
      <c r="D62" s="3454" t="s">
        <v>1374</v>
      </c>
      <c r="E62" s="166" t="s">
        <v>1375</v>
      </c>
      <c r="F62" s="1805"/>
      <c r="G62" s="1805"/>
      <c r="H62" s="1807"/>
      <c r="I62" s="129"/>
    </row>
    <row r="63" spans="1:35" ht="12.75">
      <c r="A63" s="173" t="s">
        <v>330</v>
      </c>
      <c r="B63" s="167" t="s">
        <v>1376</v>
      </c>
      <c r="C63" s="2559" t="e">
        <f ca="1">ROUND((C64+C65)/(1+'数据-取费表'!C42),0)</f>
        <v>#REF!</v>
      </c>
      <c r="D63" s="167"/>
      <c r="E63" s="168"/>
      <c r="F63" s="1805"/>
      <c r="G63" s="1805"/>
      <c r="H63" s="1807"/>
      <c r="I63" s="129"/>
      <c r="J63" s="3681" t="s">
        <v>1377</v>
      </c>
      <c r="K63" s="3461" t="s">
        <v>1378</v>
      </c>
      <c r="L63" s="3461"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1379</v>
      </c>
      <c r="C64" s="2560" t="e">
        <f ca="1">D45</f>
        <v>#REF!</v>
      </c>
      <c r="D64" s="170" t="s">
        <v>26</v>
      </c>
      <c r="E64" s="172"/>
      <c r="F64" s="1805"/>
      <c r="G64" s="1805"/>
      <c r="H64" s="1807"/>
      <c r="I64" s="129"/>
      <c r="J64" s="3681"/>
      <c r="K64" s="3461" t="s">
        <v>1380</v>
      </c>
      <c r="L64" s="346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1381</v>
      </c>
      <c r="Z64" s="1749"/>
      <c r="AI64" s="1750"/>
    </row>
    <row r="65" spans="1:35" ht="14.25" customHeight="1">
      <c r="A65" s="169" t="s">
        <v>326</v>
      </c>
      <c r="B65" s="170" t="s">
        <v>1382</v>
      </c>
      <c r="C65" s="2561"/>
      <c r="D65" s="170"/>
      <c r="E65" s="172"/>
      <c r="F65" s="1805"/>
      <c r="G65" s="1805"/>
      <c r="H65" s="1807"/>
      <c r="I65" s="129"/>
      <c r="J65" s="3681"/>
      <c r="K65" s="3461" t="s">
        <v>1383</v>
      </c>
      <c r="L65" s="3461" t="e">
        <f ca="1">IF(M49&gt;1000,M49*0.1%,IF(AND(M49&gt;500,M49&lt;=1000),M49*0.5%,IF(AND(M49&gt;50,M49&lt;=500),M49*1%,IF(AND(M49&gt;1,M49&lt;=50),M49*1.5%))))</f>
        <v>#VALUE!</v>
      </c>
      <c r="M65" s="302" t="e">
        <f t="shared" ca="1" si="1"/>
        <v>#VALUE!</v>
      </c>
      <c r="N65" s="2539" t="s">
        <v>1381</v>
      </c>
      <c r="Z65" s="1749"/>
      <c r="AI65" s="1750"/>
    </row>
    <row r="66" spans="1:35" ht="14.25" customHeight="1">
      <c r="A66" s="173" t="s">
        <v>327</v>
      </c>
      <c r="B66" s="174" t="s">
        <v>1384</v>
      </c>
      <c r="C66" s="2562"/>
      <c r="D66" s="174" t="s">
        <v>26</v>
      </c>
      <c r="E66" s="1335" t="s">
        <v>669</v>
      </c>
      <c r="F66" s="1805"/>
      <c r="G66" s="1805"/>
      <c r="H66" s="1807"/>
      <c r="I66" s="129"/>
      <c r="J66" s="3681"/>
      <c r="K66" s="3461" t="s">
        <v>1385</v>
      </c>
      <c r="L66" s="3461" t="e">
        <f ca="1">M49*0.5%</f>
        <v>#VALUE!</v>
      </c>
      <c r="M66" s="302" t="e">
        <f ca="1">IF(L66&gt;0.5,0.5,ROUND(L66,0))</f>
        <v>#VALUE!</v>
      </c>
      <c r="N66" s="2539" t="s">
        <v>1386</v>
      </c>
      <c r="Z66" s="1749"/>
      <c r="AI66" s="1750"/>
    </row>
    <row r="67" spans="1:35" ht="14.25" customHeight="1">
      <c r="A67" s="173" t="s">
        <v>328</v>
      </c>
      <c r="B67" s="174" t="s">
        <v>1387</v>
      </c>
      <c r="C67" s="2563" t="e">
        <f ca="1">C63-C66</f>
        <v>#REF!</v>
      </c>
      <c r="D67" s="170" t="s">
        <v>26</v>
      </c>
      <c r="E67" s="172"/>
      <c r="F67" s="1805"/>
      <c r="G67" s="1805"/>
      <c r="H67" s="1807"/>
      <c r="I67" s="129"/>
      <c r="J67" s="3681"/>
      <c r="K67" s="3461" t="s">
        <v>1388</v>
      </c>
      <c r="L67" s="346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1389</v>
      </c>
      <c r="C68" s="2564" t="e">
        <f ca="1">IF(C67&lt;=0,0,ROUND(C67*D68,0))</f>
        <v>#REF!</v>
      </c>
      <c r="D68" s="2565">
        <f>'数据-取费表'!B41</f>
        <v>5.5000000000000007E-2</v>
      </c>
      <c r="E68" s="178"/>
      <c r="F68" s="1805"/>
      <c r="G68" s="1805"/>
      <c r="H68" s="1807"/>
      <c r="I68" s="129"/>
      <c r="J68" s="3681"/>
      <c r="K68" s="3461" t="s">
        <v>1390</v>
      </c>
      <c r="L68" s="3461"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81"/>
      <c r="K69" s="3461" t="s">
        <v>1391</v>
      </c>
      <c r="L69" s="3461"/>
      <c r="M69" s="302" t="e">
        <f ca="1">ROUND(SUM(M63:M68),0)</f>
        <v>#VALUE!</v>
      </c>
      <c r="N69" s="2540" t="e">
        <f ca="1">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3" t="s">
        <v>1392</v>
      </c>
      <c r="B70" s="3644"/>
      <c r="C70" s="3644"/>
      <c r="D70" s="3644"/>
      <c r="E70" s="3644"/>
      <c r="F70" s="3644"/>
      <c r="G70" s="3644"/>
      <c r="H70" s="364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2" t="s">
        <v>1373</v>
      </c>
      <c r="B71" s="3623"/>
      <c r="C71" s="3454"/>
      <c r="D71" s="3454"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t="e">
        <f ca="1">ROUND(D45/(1+'数据-取费表'!C42),0)</f>
        <v>#REF!</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t="e">
        <f ca="1">C74+C78</f>
        <v>#REF!</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17" t="s">
        <v>1400</v>
      </c>
      <c r="F76" s="3591"/>
      <c r="G76" s="3591"/>
      <c r="H76" s="364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3460" t="s">
        <v>1402</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t="e">
        <f ca="1">ROUND(D45*D78/(1+'数据-取费表'!C42),0)</f>
        <v>#REF!</v>
      </c>
      <c r="D78" s="2572">
        <f>'数据-取费表'!B43</f>
        <v>5.000000000000001E-3</v>
      </c>
      <c r="E78" s="3601" t="s">
        <v>1404</v>
      </c>
      <c r="F78" s="3602"/>
      <c r="G78" s="3602"/>
      <c r="H78" s="361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1405</v>
      </c>
      <c r="C79" s="2563" t="e">
        <f ca="1">C72-C73</f>
        <v>#REF!</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t="e">
        <f ca="1">IF(C79&lt;=0,0,C79/C73)</f>
        <v>#REF!</v>
      </c>
      <c r="D80" s="170" t="s">
        <v>26</v>
      </c>
      <c r="E80" s="3460" t="e">
        <f ca="1">IF(C80&gt;=200%,"增值额超过扣除项目金额200%",IF(C80&gt;=100%,"增值额超过扣除项目金额100%，未超过200%",IF(C80&gt;=50%,"增值额超过扣除项目金额50%，未超过100%",IF(C80&lt;50%,"增值额未超过扣除项目金额50%"))))</f>
        <v>#REF!</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3" t="s">
        <v>1408</v>
      </c>
      <c r="B83" s="3644"/>
      <c r="C83" s="3644"/>
      <c r="D83" s="3644"/>
      <c r="E83" s="3644"/>
      <c r="F83" s="3644"/>
      <c r="G83" s="3644"/>
      <c r="H83" s="364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2" t="s">
        <v>1373</v>
      </c>
      <c r="B84" s="3623"/>
      <c r="C84" s="3454"/>
      <c r="D84" s="3454"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t="e">
        <f ca="1">ROUND(D45/(1+'数据-取费表'!C42),0)</f>
        <v>#REF!</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t="e">
        <f ca="1">IF(H88="仅含出让金",C87+C90+C91+C92+C93+C94,C87+C91+C92+C93+C94)</f>
        <v>#REF!</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3447"/>
      <c r="F87" s="3448"/>
      <c r="G87" s="3448"/>
      <c r="H87" s="345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3448"/>
      <c r="G88" s="194" t="s">
        <v>1412</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3448"/>
      <c r="G90" s="3683" t="s">
        <v>2126</v>
      </c>
      <c r="H90" s="368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IF(H91="——",成本法!C33,I91)</f>
        <v>0</v>
      </c>
      <c r="D91" s="2572"/>
      <c r="E91" s="3601" t="s">
        <v>1417</v>
      </c>
      <c r="F91" s="3602"/>
      <c r="G91" s="3602"/>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601" t="s">
        <v>1420</v>
      </c>
      <c r="F92" s="3602"/>
      <c r="G92" s="3602"/>
      <c r="H92" s="3611"/>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t="e">
        <f ca="1">ROUND(D45*D93/(1+'数据-取费表'!C42),0)</f>
        <v>#REF!</v>
      </c>
      <c r="D93" s="2572">
        <f>'数据-取费表'!B43</f>
        <v>5.000000000000001E-3</v>
      </c>
      <c r="E93" s="3601" t="s">
        <v>1404</v>
      </c>
      <c r="F93" s="3602"/>
      <c r="G93" s="3602"/>
      <c r="H93" s="361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612" t="s">
        <v>1424</v>
      </c>
      <c r="F94" s="3613"/>
      <c r="G94" s="3613"/>
      <c r="H94" s="361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1405</v>
      </c>
      <c r="C95" s="2563" t="e">
        <f ca="1">ROUND(C85-C86,0)</f>
        <v>#REF!</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t="e">
        <f ca="1">IF(C95&lt;=0,0,C95/C86)</f>
        <v>#REF!</v>
      </c>
      <c r="D96" s="170" t="s">
        <v>26</v>
      </c>
      <c r="E96" s="3460" t="e">
        <f ca="1">IF(C96&gt;=200%,"增值额超过扣除项目金额200%",IF(C96&gt;=100%,"增值额超过扣除项目金额100%，未超过200%",IF(C96&gt;=50%,"增值额超过扣除项目金额50%，未超过100%",IF(C96&lt;50%,"增值额未超过扣除项目金额50%"))))</f>
        <v>#REF!</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3" t="s">
        <v>1426</v>
      </c>
      <c r="B100" s="3584"/>
      <c r="C100" s="3584"/>
      <c r="D100" s="3603"/>
      <c r="E100" s="3584" t="s">
        <v>1427</v>
      </c>
      <c r="F100" s="3584"/>
      <c r="G100" s="3584"/>
      <c r="H100" s="3603"/>
      <c r="I100" s="129"/>
    </row>
    <row r="101" spans="1:35" ht="18.75" customHeight="1">
      <c r="A101" s="3664" t="s">
        <v>1428</v>
      </c>
      <c r="B101" s="3665"/>
      <c r="C101" s="2580" t="str">
        <f>C4</f>
        <v>比较法-车位</v>
      </c>
      <c r="D101" s="2581" t="str">
        <f>D4</f>
        <v>收益法 (元)</v>
      </c>
      <c r="E101" s="3678" t="s">
        <v>1429</v>
      </c>
      <c r="F101" s="3635"/>
      <c r="G101" s="1824" t="s">
        <v>1430</v>
      </c>
      <c r="H101" s="2590" t="e">
        <f ca="1">H118</f>
        <v>#REF!</v>
      </c>
      <c r="I101" s="129"/>
    </row>
    <row r="102" spans="1:35" ht="18.75" customHeight="1">
      <c r="A102" s="3637" t="s">
        <v>1431</v>
      </c>
      <c r="B102" s="2579" t="s">
        <v>1430</v>
      </c>
      <c r="C102" s="2580">
        <f ca="1">IF(D32="楼面单价",ROUND(C19,0),C19)</f>
        <v>7</v>
      </c>
      <c r="D102" s="2581">
        <f ca="1">IF(D32="楼面单价",ROUND(D19,0),D19)</f>
        <v>2794.1210999999998</v>
      </c>
      <c r="E102" s="3678"/>
      <c r="F102" s="3635"/>
      <c r="G102" s="1824" t="s">
        <v>1432</v>
      </c>
      <c r="H102" s="2550" t="e">
        <f ca="1">I118</f>
        <v>#REF!</v>
      </c>
      <c r="I102" s="129"/>
    </row>
    <row r="103" spans="1:35" ht="42.75" customHeight="1">
      <c r="A103" s="3637"/>
      <c r="B103" s="2579" t="s">
        <v>1432</v>
      </c>
      <c r="C103" s="2582">
        <f ca="1">C20</f>
        <v>8</v>
      </c>
      <c r="D103" s="2583">
        <f ca="1">D20</f>
        <v>3220</v>
      </c>
      <c r="E103" s="3672" t="s">
        <v>1433</v>
      </c>
      <c r="F103" s="3673"/>
      <c r="G103" s="1825" t="s">
        <v>1434</v>
      </c>
      <c r="H103" s="2590">
        <f>IF(D36="正常操作",H104+H105+H106,H105+H106)</f>
        <v>0</v>
      </c>
      <c r="I103" s="129"/>
    </row>
    <row r="104" spans="1:35" ht="18.75" customHeight="1">
      <c r="A104" s="3637" t="s">
        <v>1435</v>
      </c>
      <c r="B104" s="2584" t="s">
        <v>1430</v>
      </c>
      <c r="C104" s="2585" t="e">
        <f ca="1">H118</f>
        <v>#REF!</v>
      </c>
      <c r="D104" s="2586"/>
      <c r="E104" s="1671" t="s">
        <v>1436</v>
      </c>
      <c r="F104" s="1663"/>
      <c r="G104" s="1825" t="s">
        <v>1434</v>
      </c>
      <c r="H104" s="2591">
        <f>IF(D36="同一抵押权人同一抵押物续贷",C36&amp;"（续贷，未扣减，详见特别提示）",C36)</f>
        <v>0</v>
      </c>
      <c r="I104" s="129"/>
    </row>
    <row r="105" spans="1:35" ht="18.75" customHeight="1" thickBot="1">
      <c r="A105" s="3638"/>
      <c r="B105" s="2587" t="s">
        <v>1432</v>
      </c>
      <c r="C105" s="2588" t="e">
        <f ca="1">I118</f>
        <v>#REF!</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634" t="str">
        <f>IF(项目基本情况!E8="已注销","——","3.房地产抵押价值")</f>
        <v>3.房地产抵押价值</v>
      </c>
      <c r="F107" s="3635"/>
      <c r="G107" s="1824" t="s">
        <v>1430</v>
      </c>
      <c r="H107" s="2590" t="e">
        <f ca="1">IF(E107="——","——",H101-H103)</f>
        <v>#REF!</v>
      </c>
      <c r="I107" s="129"/>
    </row>
    <row r="108" spans="1:35" ht="18.75" customHeight="1">
      <c r="A108" s="129"/>
      <c r="B108" s="129"/>
      <c r="C108" s="129"/>
      <c r="D108" s="129"/>
      <c r="E108" s="3634"/>
      <c r="F108" s="3635"/>
      <c r="G108" s="1824" t="s">
        <v>1432</v>
      </c>
      <c r="H108" s="2550">
        <f ca="1">IF(H107=H101,H102,ROUND(H107*10000/'数据-汇总表'!E3,0))</f>
        <v>0</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35"/>
      <c r="G109" s="1824" t="s">
        <v>1430</v>
      </c>
      <c r="H109" s="2593" t="str">
        <f>IF(E109="——","——",H101-H105-H106)</f>
        <v>——</v>
      </c>
      <c r="I109" s="129"/>
    </row>
    <row r="110" spans="1:35" ht="18.75" customHeight="1">
      <c r="A110" s="129"/>
      <c r="B110" s="129"/>
      <c r="C110" s="129"/>
      <c r="D110" s="129"/>
      <c r="E110" s="3634"/>
      <c r="F110" s="3635"/>
      <c r="G110" s="1824" t="s">
        <v>1432</v>
      </c>
      <c r="H110" s="2550" t="str">
        <f>IF(H109="——","——",ROUND(H109*10000/'数据-汇总表'!E3,0))</f>
        <v>——</v>
      </c>
      <c r="I110" s="129"/>
    </row>
    <row r="111" spans="1:35" ht="18.75" customHeight="1">
      <c r="A111" s="129"/>
      <c r="B111" s="129"/>
      <c r="C111" s="129"/>
      <c r="D111" s="129"/>
      <c r="E111" s="3666" t="str">
        <f>IF(项目基本情况!E9="抵押净值",IF(OR(项目基本情况!E8="已注销",项目基本情况!E8="房地产抵押价值"),"4.抵押净值","5.抵押净值"),"——")</f>
        <v>——</v>
      </c>
      <c r="F111" s="3636"/>
      <c r="G111" s="1824" t="s">
        <v>1430</v>
      </c>
      <c r="H111" s="2590" t="str">
        <f>IF(E111="——","——",N59)</f>
        <v>——</v>
      </c>
      <c r="I111" s="129"/>
    </row>
    <row r="112" spans="1:35" ht="18.75" customHeight="1" thickBot="1">
      <c r="A112" s="129"/>
      <c r="B112" s="129"/>
      <c r="C112" s="129"/>
      <c r="D112" s="129"/>
      <c r="E112" s="3667"/>
      <c r="F112" s="3668"/>
      <c r="G112" s="1827" t="s">
        <v>1432</v>
      </c>
      <c r="H112" s="2594" t="str">
        <f>IF(E111="——","——",N61)</f>
        <v>——</v>
      </c>
      <c r="I112" s="129"/>
    </row>
    <row r="113" spans="1:27" ht="18.75" customHeight="1">
      <c r="A113" s="129"/>
      <c r="B113" s="129"/>
      <c r="C113" s="129"/>
      <c r="D113" s="129"/>
      <c r="E113" s="3639" t="s">
        <v>1438</v>
      </c>
      <c r="F113" s="3639"/>
      <c r="G113" s="3639"/>
      <c r="H113" s="3639"/>
      <c r="I113" s="129"/>
    </row>
    <row r="114" spans="1:27" ht="3.75" customHeight="1">
      <c r="A114" s="1744"/>
      <c r="B114" s="1744"/>
      <c r="C114" s="1744"/>
      <c r="D114" s="1744"/>
      <c r="E114" s="1806"/>
      <c r="F114" s="1806"/>
      <c r="G114" s="1806"/>
      <c r="H114" s="1806"/>
      <c r="I114" s="1744"/>
    </row>
    <row r="115" spans="1:27" ht="18.75" customHeight="1">
      <c r="A115" s="3649" t="s">
        <v>1440</v>
      </c>
      <c r="B115" s="3650"/>
      <c r="C115" s="3650"/>
      <c r="D115" s="3650"/>
      <c r="E115" s="3650"/>
      <c r="F115" s="3650"/>
      <c r="G115" s="3650"/>
      <c r="H115" s="3650"/>
      <c r="I115" s="3651"/>
    </row>
    <row r="116" spans="1:27" ht="27" customHeight="1">
      <c r="A116" s="3605" t="s">
        <v>1441</v>
      </c>
      <c r="B116" s="3640" t="s">
        <v>1442</v>
      </c>
      <c r="C116" s="3640" t="s">
        <v>1443</v>
      </c>
      <c r="D116" s="3653" t="s">
        <v>1444</v>
      </c>
      <c r="E116" s="3654"/>
      <c r="F116" s="3648" t="s">
        <v>1445</v>
      </c>
      <c r="G116" s="3648"/>
      <c r="H116" s="3605" t="s">
        <v>1446</v>
      </c>
      <c r="I116" s="3605"/>
    </row>
    <row r="117" spans="1:27" ht="18.75" customHeight="1">
      <c r="A117" s="3605"/>
      <c r="B117" s="3641"/>
      <c r="C117" s="3641"/>
      <c r="D117" s="3449" t="s">
        <v>1447</v>
      </c>
      <c r="E117" s="3449" t="s">
        <v>1448</v>
      </c>
      <c r="F117" s="3449" t="s">
        <v>1447</v>
      </c>
      <c r="G117" s="3449" t="s">
        <v>1449</v>
      </c>
      <c r="H117" s="3449" t="s">
        <v>1447</v>
      </c>
      <c r="I117" s="3449" t="s">
        <v>1449</v>
      </c>
    </row>
    <row r="118" spans="1:27" ht="24.75" customHeight="1">
      <c r="A118" s="2595" t="str">
        <f>项目基本情况!S2</f>
        <v>北京市房地产</v>
      </c>
      <c r="B118" s="3449">
        <f>M18</f>
        <v>50816.34</v>
      </c>
      <c r="C118" s="3449">
        <f>M19</f>
        <v>17349.990000000002</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05" t="s">
        <v>1450</v>
      </c>
      <c r="B119" s="3605"/>
      <c r="C119" s="3605"/>
      <c r="D119" s="3645" t="e">
        <f ca="1">NUMBERSTRING(INT(D118*10000),2)&amp;"元整"</f>
        <v>#REF!</v>
      </c>
      <c r="E119" s="3647"/>
      <c r="F119" s="3645" t="e">
        <f ca="1">NUMBERSTRING(INT(F118*10000),2)&amp;"元整"</f>
        <v>#REF!</v>
      </c>
      <c r="G119" s="3647"/>
      <c r="H119" s="3645" t="e">
        <f ca="1">NUMBERSTRING(INT(H118*10000),2)&amp;"元整"</f>
        <v>#REF!</v>
      </c>
      <c r="I119" s="3647"/>
    </row>
    <row r="120" spans="1:27" ht="18.75" customHeight="1">
      <c r="A120" s="3669" t="str">
        <f>IF(项目基本情况!B9="房地产市场价值","",MID(E103,3,LEN(E103)-2))</f>
        <v>估价师知悉的法定优先受偿款</v>
      </c>
      <c r="B120" s="3670"/>
      <c r="C120" s="3671"/>
      <c r="D120" s="3669">
        <f>H103</f>
        <v>0</v>
      </c>
      <c r="E120" s="3670"/>
      <c r="F120" s="3670"/>
      <c r="G120" s="3670"/>
      <c r="H120" s="3670"/>
      <c r="I120" s="367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5" t="s">
        <v>1450</v>
      </c>
      <c r="B121" s="3646"/>
      <c r="C121" s="3647"/>
      <c r="D121" s="3645" t="str">
        <f>IF(D120=0,"零元整",NUMBERSTRING(INT(D120*10000),2)&amp;"元整")</f>
        <v>零元整</v>
      </c>
      <c r="E121" s="3646"/>
      <c r="F121" s="3646"/>
      <c r="G121" s="3646"/>
      <c r="H121" s="3646"/>
      <c r="I121" s="3647"/>
      <c r="AA121" s="724"/>
    </row>
    <row r="122" spans="1:27" ht="18.75" customHeight="1">
      <c r="A122" s="3636" t="str">
        <f>IF(项目基本情况!B9="房地产市场价值","",MID(E107,3,LEN(E107)-2))</f>
        <v>房地产抵押价值</v>
      </c>
      <c r="B122" s="3636"/>
      <c r="C122" s="3636"/>
      <c r="D122" s="3669" t="e">
        <f ca="1">H107</f>
        <v>#REF!</v>
      </c>
      <c r="E122" s="3670"/>
      <c r="F122" s="3670"/>
      <c r="G122" s="3670"/>
      <c r="H122" s="3670"/>
      <c r="I122" s="3671"/>
      <c r="AA122" s="724"/>
    </row>
    <row r="123" spans="1:27" ht="18.75" customHeight="1">
      <c r="A123" s="3605" t="s">
        <v>1450</v>
      </c>
      <c r="B123" s="3605"/>
      <c r="C123" s="3605"/>
      <c r="D123" s="3645" t="e">
        <f ca="1">NUMBERSTRING(INT(D122*10000),2)&amp;"元整"</f>
        <v>#REF!</v>
      </c>
      <c r="E123" s="3646"/>
      <c r="F123" s="3646"/>
      <c r="G123" s="3646"/>
      <c r="H123" s="3646"/>
      <c r="I123" s="3647"/>
      <c r="AA123" s="724"/>
    </row>
    <row r="124" spans="1:27" ht="18.75" customHeight="1">
      <c r="A124" s="3636" t="str">
        <f>IF(项目基本情况!B9="房地产市场价值","",MID(E109,3,LEN(E109)-2))</f>
        <v/>
      </c>
      <c r="B124" s="3636"/>
      <c r="C124" s="3636"/>
      <c r="D124" s="3669" t="str">
        <f>H109</f>
        <v>——</v>
      </c>
      <c r="E124" s="3670"/>
      <c r="F124" s="3670"/>
      <c r="G124" s="3670"/>
      <c r="H124" s="3670"/>
      <c r="I124" s="3671"/>
      <c r="AA124" s="724"/>
    </row>
    <row r="125" spans="1:27" ht="18.75" customHeight="1">
      <c r="A125" s="3605" t="s">
        <v>1450</v>
      </c>
      <c r="B125" s="3605"/>
      <c r="C125" s="3605"/>
      <c r="D125" s="3645" t="e">
        <f>NUMBERSTRING(INT(D124*10000),2)&amp;"元整"</f>
        <v>#VALUE!</v>
      </c>
      <c r="E125" s="3646"/>
      <c r="F125" s="3646"/>
      <c r="G125" s="3646"/>
      <c r="H125" s="3646"/>
      <c r="I125" s="3647"/>
      <c r="AA125" s="724"/>
    </row>
    <row r="126" spans="1:27" ht="18.75" customHeight="1">
      <c r="A126" s="3636" t="str">
        <f>IF(项目基本情况!B9="房地产市场价值","",MID(E111,3,LEN(E111)-2))</f>
        <v/>
      </c>
      <c r="B126" s="3636"/>
      <c r="C126" s="3636"/>
      <c r="D126" s="3669" t="str">
        <f>H111</f>
        <v>——</v>
      </c>
      <c r="E126" s="3670"/>
      <c r="F126" s="3670"/>
      <c r="G126" s="3670"/>
      <c r="H126" s="3670"/>
      <c r="I126" s="3671"/>
      <c r="AA126" s="724"/>
    </row>
    <row r="127" spans="1:27" ht="18.75" customHeight="1">
      <c r="A127" s="3605" t="s">
        <v>1450</v>
      </c>
      <c r="B127" s="3605"/>
      <c r="C127" s="3605"/>
      <c r="D127" s="3645" t="e">
        <f>NUMBERSTRING(INT(D126*10000),2)&amp;"元整"</f>
        <v>#VALUE!</v>
      </c>
      <c r="E127" s="3646"/>
      <c r="F127" s="3646"/>
      <c r="G127" s="3646"/>
      <c r="H127" s="3646"/>
      <c r="I127" s="3647"/>
      <c r="AA127" s="724"/>
    </row>
    <row r="128" spans="1:27" ht="21.75" customHeight="1">
      <c r="A128" s="3652" t="s">
        <v>1451</v>
      </c>
      <c r="B128" s="3652"/>
      <c r="C128" s="3652"/>
      <c r="D128" s="3652"/>
      <c r="E128" s="3652"/>
      <c r="F128" s="3652"/>
      <c r="G128" s="3652"/>
      <c r="H128" s="3652"/>
      <c r="I128" s="3652"/>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896</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897</v>
      </c>
    </row>
    <row r="6" spans="1:1" ht="18.75">
      <c r="A6" s="1479" t="s">
        <v>898</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估价对象为北京市房地产，为所有。根据《国有土地使用证》[]，估价对象（分摊）出让国有建设用地使用权面积为17349.99平方米，建筑面积为50816.34平方米。</v>
      </c>
    </row>
    <row r="8" spans="1:1" ht="57.75">
      <c r="A8" s="1480" t="s">
        <v>899</v>
      </c>
    </row>
    <row r="9" spans="1:1" ht="18.75">
      <c r="A9" s="1479" t="s">
        <v>900</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估价对象为北京市房地产,属开发建设的，该项目尚在开发建设中。根据《国有土地使用证》[]，估价对象（分摊）出让国有建设用地使用权面积为17349.99平方米，规划建筑面积为50816.34平方米。</v>
      </c>
    </row>
    <row r="11" spans="1:1" ht="76.5">
      <c r="A11" s="1480" t="s">
        <v>901</v>
      </c>
    </row>
    <row r="12" spans="1:1" ht="18.75">
      <c r="A12" s="1478" t="s">
        <v>902</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903</v>
      </c>
    </row>
    <row r="15" spans="1:1" ht="18">
      <c r="A15" s="1483" t="str">
        <f>TEXT(项目基本情况!D3,"yyyy年m月d日;;")&amp;IF(项目基本情况!D3=项目基本情况!B3,"（评估专业人员实地查勘之日）","")</f>
        <v>2023年10月17日</v>
      </c>
    </row>
    <row r="16" spans="1:1" ht="18.75">
      <c r="A16" s="1482" t="s">
        <v>904</v>
      </c>
    </row>
    <row r="17" spans="1:1" ht="75">
      <c r="A17" s="1477" t="s">
        <v>905</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894</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895</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4" zoomScale="70" zoomScaleNormal="60" zoomScaleSheetLayoutView="70" workbookViewId="0">
      <selection activeCell="J31" sqref="J31"/>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3392</v>
      </c>
      <c r="C1" s="1221" t="s">
        <v>1660</v>
      </c>
      <c r="D1" s="1222" t="s">
        <v>3336</v>
      </c>
      <c r="E1" s="3428" t="s">
        <v>3403</v>
      </c>
      <c r="F1" s="1876" t="s">
        <v>3404</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IF(B37="元/平方米",ROUND(C39*D3/10000,0),ROUND(F3*C39/10000,0)),IF(B37="元/平方米",ROUND(C39*D3/10000,0),ROUND(F3*C39/10000,0))-D2),IF(E1="单套模式",IF(C2="——",IF(B37="元/平方米",ROUND(C39*D3/10000,0),ROUND(F3*C39/10000,0)),IF(B37="元/平方米",ROUND(C39*D3/10000,0),ROUND(F3*C39/10000,0))-D2)))</f>
        <v>7</v>
      </c>
      <c r="C2" s="1878" t="s">
        <v>43</v>
      </c>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1462</v>
      </c>
      <c r="B3" s="558">
        <f>IF(AND(C2="——",B37="元/平方米"),C39,ROUND(B2*10000/D3,0))</f>
        <v>8</v>
      </c>
      <c r="C3" s="354" t="s">
        <v>1766</v>
      </c>
      <c r="D3" s="353">
        <f>SUMIF('数据-汇总表'!$C19:$C33,D1,'数据-汇总表'!$E19:$E33)</f>
        <v>8677.7000000000007</v>
      </c>
      <c r="E3" s="354" t="s">
        <v>1830</v>
      </c>
      <c r="F3" s="353">
        <f>SUMIF('数据-取费表'!A5:A15,D1,'数据-取费表'!AH5:AH15)</f>
        <v>1</v>
      </c>
      <c r="G3" s="907"/>
      <c r="H3" s="907"/>
      <c r="I3" s="907"/>
      <c r="J3" s="907"/>
      <c r="K3" s="909"/>
      <c r="L3" s="2729"/>
      <c r="M3" s="2730">
        <f>IF(C2="——",IF(B37="元/平方米",ROUND(C39*D3/10000,0),ROUND(F3*C39/10000,0)),IF(B37="元/平方米",ROUND(C39*D3/10000,0),ROUND(F3*C39/10000,0))-D2)</f>
        <v>7</v>
      </c>
      <c r="N3" s="2730"/>
      <c r="O3" s="2730"/>
      <c r="P3" s="1163"/>
      <c r="Q3" s="698"/>
      <c r="R3" s="698"/>
      <c r="S3" s="698"/>
      <c r="T3" s="698"/>
      <c r="U3" s="698"/>
      <c r="V3" s="698"/>
      <c r="W3" s="698"/>
      <c r="X3" s="698"/>
      <c r="Y3" s="698"/>
      <c r="Z3" s="698"/>
      <c r="AA3" s="698"/>
      <c r="AB3" s="715"/>
      <c r="AC3" s="712"/>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29" ht="15">
      <c r="A5" s="358"/>
      <c r="B5" s="359"/>
      <c r="C5" s="3721" t="s">
        <v>1671</v>
      </c>
      <c r="D5" s="3722"/>
      <c r="E5" s="3739" t="s">
        <v>3619</v>
      </c>
      <c r="F5" s="3729"/>
      <c r="G5" s="3738" t="s">
        <v>3620</v>
      </c>
      <c r="H5" s="3722"/>
      <c r="I5" s="3738" t="s">
        <v>3621</v>
      </c>
      <c r="J5" s="3722"/>
      <c r="K5" s="559"/>
      <c r="L5" s="2710"/>
      <c r="M5" s="2711"/>
      <c r="N5" s="2711"/>
      <c r="O5" s="2711"/>
      <c r="P5" s="3709"/>
      <c r="Q5" s="3710"/>
      <c r="R5" s="3715"/>
      <c r="S5" s="3716"/>
      <c r="T5" s="3715"/>
      <c r="U5" s="3716"/>
      <c r="V5" s="3700"/>
      <c r="W5" s="3700"/>
      <c r="X5" s="1352"/>
      <c r="Y5" s="3715"/>
      <c r="Z5" s="3716"/>
      <c r="AA5" s="3702"/>
      <c r="AB5" s="3702"/>
      <c r="AC5" s="3702"/>
    </row>
    <row r="6" spans="1:29" ht="15.75" thickBot="1">
      <c r="A6" s="360"/>
      <c r="B6" s="361"/>
      <c r="C6" s="3719" t="s">
        <v>1675</v>
      </c>
      <c r="D6" s="3720"/>
      <c r="E6" s="3726" t="s">
        <v>1675</v>
      </c>
      <c r="F6" s="3727"/>
      <c r="G6" s="3719" t="s">
        <v>1675</v>
      </c>
      <c r="H6" s="3720"/>
      <c r="I6" s="3719" t="s">
        <v>1675</v>
      </c>
      <c r="J6" s="3720"/>
      <c r="K6" s="559" t="s">
        <v>1676</v>
      </c>
      <c r="L6" s="2710"/>
      <c r="M6" s="2711"/>
      <c r="N6" s="2711"/>
      <c r="O6" s="2711"/>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23" t="s">
        <v>1678</v>
      </c>
      <c r="Q7" s="3725"/>
      <c r="R7" s="700" t="s">
        <v>14</v>
      </c>
      <c r="S7" s="701">
        <f t="shared" ref="S7:S14" si="0">F7</f>
        <v>100</v>
      </c>
      <c r="T7" s="700" t="s">
        <v>14</v>
      </c>
      <c r="U7" s="701">
        <f t="shared" ref="U7:U14" si="1">H7</f>
        <v>100</v>
      </c>
      <c r="V7" s="700" t="s">
        <v>14</v>
      </c>
      <c r="W7" s="701">
        <f t="shared" ref="W7:W14" si="2">J7</f>
        <v>100</v>
      </c>
      <c r="X7" s="702"/>
      <c r="Y7" s="3723" t="s">
        <v>1678</v>
      </c>
      <c r="Z7" s="3724"/>
      <c r="AA7" s="703">
        <f>D7/F7</f>
        <v>1</v>
      </c>
      <c r="AB7" s="703">
        <f>D7/H7</f>
        <v>1</v>
      </c>
      <c r="AC7" s="703">
        <f>D7/J7</f>
        <v>1</v>
      </c>
    </row>
    <row r="8" spans="1:29" s="108" customFormat="1" ht="15.75" thickBot="1">
      <c r="A8" s="362" t="s">
        <v>1679</v>
      </c>
      <c r="B8" s="363"/>
      <c r="C8" s="368" t="s">
        <v>3405</v>
      </c>
      <c r="D8" s="365">
        <v>100</v>
      </c>
      <c r="E8" s="368" t="s">
        <v>3405</v>
      </c>
      <c r="F8" s="367">
        <f>SUMIF(51:51,E8,52:52)-SUMIF(51:51,C8,52:52)+100</f>
        <v>100</v>
      </c>
      <c r="G8" s="368" t="s">
        <v>3405</v>
      </c>
      <c r="H8" s="365">
        <f>SUMIF(51:51,G8,52:52)-SUMIF(51:51,C8,52:52)+100</f>
        <v>100</v>
      </c>
      <c r="I8" s="368" t="s">
        <v>3405</v>
      </c>
      <c r="J8" s="365">
        <f>SUMIF(51:51,I8,52:52)-SUMIF(51:51,C8,52:52)+100</f>
        <v>100</v>
      </c>
      <c r="K8" s="560"/>
      <c r="L8" s="2712"/>
      <c r="M8" s="2713"/>
      <c r="N8" s="2713"/>
      <c r="O8" s="2713"/>
      <c r="P8" s="3723" t="s">
        <v>1681</v>
      </c>
      <c r="Q8" s="3724"/>
      <c r="R8" s="700" t="s">
        <v>14</v>
      </c>
      <c r="S8" s="701">
        <f t="shared" si="0"/>
        <v>100</v>
      </c>
      <c r="T8" s="700" t="s">
        <v>14</v>
      </c>
      <c r="U8" s="701">
        <f t="shared" si="1"/>
        <v>100</v>
      </c>
      <c r="V8" s="700" t="s">
        <v>14</v>
      </c>
      <c r="W8" s="701">
        <f t="shared" si="2"/>
        <v>100</v>
      </c>
      <c r="X8" s="702"/>
      <c r="Y8" s="3723" t="s">
        <v>1681</v>
      </c>
      <c r="Z8" s="3724"/>
      <c r="AA8" s="703">
        <f t="shared" ref="AA8:AA36" si="3">D8/F8</f>
        <v>1</v>
      </c>
      <c r="AB8" s="703">
        <f t="shared" ref="AB8:AB36" si="4">D8/H8</f>
        <v>1</v>
      </c>
      <c r="AC8" s="703">
        <f t="shared" ref="AC8:AC36" si="5">D8/J8</f>
        <v>1</v>
      </c>
    </row>
    <row r="9" spans="1:29" s="108" customFormat="1">
      <c r="A9" s="60" t="s">
        <v>1682</v>
      </c>
      <c r="B9" s="588" t="s">
        <v>1683</v>
      </c>
      <c r="C9" s="3467" t="s">
        <v>3436</v>
      </c>
      <c r="D9" s="126">
        <v>100</v>
      </c>
      <c r="E9" s="373" t="s">
        <v>3336</v>
      </c>
      <c r="F9" s="126">
        <f>SUMIF(53:53,E9,54:54)-SUMIF(53:53,C9,54:54)+100</f>
        <v>100</v>
      </c>
      <c r="G9" s="373" t="s">
        <v>3336</v>
      </c>
      <c r="H9" s="126">
        <f>SUMIF(53:53,G9,54:54)-SUMIF(53:53,C9,54:54)+100</f>
        <v>100</v>
      </c>
      <c r="I9" s="373" t="s">
        <v>3336</v>
      </c>
      <c r="J9" s="126">
        <f>SUMIF(53:53,I9,54:54)-SUMIF(53:53,C9,54:54)+100</f>
        <v>100</v>
      </c>
      <c r="K9" s="560"/>
      <c r="L9" s="2712"/>
      <c r="M9" s="2713"/>
      <c r="N9" s="2713"/>
      <c r="O9" s="2713"/>
      <c r="P9" s="3695" t="s">
        <v>1684</v>
      </c>
      <c r="Q9" s="1340" t="str">
        <f t="shared" ref="Q9:Q14" si="6">B9</f>
        <v>用途</v>
      </c>
      <c r="R9" s="700" t="s">
        <v>14</v>
      </c>
      <c r="S9" s="701">
        <f t="shared" si="0"/>
        <v>100</v>
      </c>
      <c r="T9" s="700" t="s">
        <v>14</v>
      </c>
      <c r="U9" s="701">
        <f t="shared" si="1"/>
        <v>100</v>
      </c>
      <c r="V9" s="700" t="s">
        <v>14</v>
      </c>
      <c r="W9" s="701">
        <f t="shared" si="2"/>
        <v>100</v>
      </c>
      <c r="X9" s="702"/>
      <c r="Y9" s="3592" t="s">
        <v>1685</v>
      </c>
      <c r="Z9" s="52" t="str">
        <f t="shared" ref="Z9:Z14" si="7">Q9</f>
        <v>用途</v>
      </c>
      <c r="AA9" s="703">
        <f t="shared" si="3"/>
        <v>1</v>
      </c>
      <c r="AB9" s="703">
        <f t="shared" si="4"/>
        <v>1</v>
      </c>
      <c r="AC9" s="703">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5"/>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5"/>
      <c r="Q11" s="1340">
        <f t="shared" si="6"/>
        <v>111</v>
      </c>
      <c r="R11" s="700" t="s">
        <v>14</v>
      </c>
      <c r="S11" s="701">
        <f t="shared" si="0"/>
        <v>100</v>
      </c>
      <c r="T11" s="700" t="s">
        <v>14</v>
      </c>
      <c r="U11" s="701">
        <f t="shared" si="1"/>
        <v>100</v>
      </c>
      <c r="V11" s="700" t="s">
        <v>14</v>
      </c>
      <c r="W11" s="701">
        <f t="shared" si="2"/>
        <v>100</v>
      </c>
      <c r="X11" s="702"/>
      <c r="Y11" s="359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5"/>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71.25">
      <c r="A14" s="355" t="s">
        <v>1688</v>
      </c>
      <c r="B14" s="577" t="s">
        <v>1831</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103</v>
      </c>
      <c r="K14" s="563">
        <v>3</v>
      </c>
      <c r="L14" s="2717"/>
      <c r="M14" s="2711"/>
      <c r="N14" s="2711"/>
      <c r="O14" s="2711"/>
      <c r="P14" s="3696" t="s">
        <v>1689</v>
      </c>
      <c r="Q14" s="1349" t="str">
        <f t="shared" si="6"/>
        <v>交通便捷度</v>
      </c>
      <c r="R14" s="704" t="s">
        <v>14</v>
      </c>
      <c r="S14" s="705">
        <f t="shared" si="0"/>
        <v>100</v>
      </c>
      <c r="T14" s="704" t="s">
        <v>14</v>
      </c>
      <c r="U14" s="705">
        <f t="shared" si="1"/>
        <v>103</v>
      </c>
      <c r="V14" s="704" t="s">
        <v>14</v>
      </c>
      <c r="W14" s="705">
        <f t="shared" si="2"/>
        <v>103</v>
      </c>
      <c r="X14" s="1352"/>
      <c r="Y14" s="3696" t="s">
        <v>1689</v>
      </c>
      <c r="Z14" s="1353" t="str">
        <f t="shared" si="7"/>
        <v>交通便捷度</v>
      </c>
      <c r="AA14" s="1350">
        <f t="shared" si="3"/>
        <v>1</v>
      </c>
      <c r="AB14" s="1350">
        <f t="shared" si="4"/>
        <v>0.970873786407767</v>
      </c>
      <c r="AC14" s="1350">
        <f t="shared" si="5"/>
        <v>0.970873786407767</v>
      </c>
    </row>
    <row r="15" spans="1:29" ht="15">
      <c r="A15" s="358"/>
      <c r="B15" s="595"/>
      <c r="C15" s="398" t="s">
        <v>3410</v>
      </c>
      <c r="D15" s="399"/>
      <c r="E15" s="398" t="s">
        <v>3410</v>
      </c>
      <c r="F15" s="400"/>
      <c r="G15" s="398" t="s">
        <v>3427</v>
      </c>
      <c r="H15" s="401"/>
      <c r="I15" s="398" t="s">
        <v>3427</v>
      </c>
      <c r="J15" s="399"/>
      <c r="K15" s="564"/>
      <c r="L15" s="2717"/>
      <c r="M15" s="2711"/>
      <c r="N15" s="2711"/>
      <c r="O15" s="2711"/>
      <c r="P15" s="3697"/>
      <c r="Q15" s="1349"/>
      <c r="R15" s="704"/>
      <c r="S15" s="705"/>
      <c r="T15" s="704"/>
      <c r="U15" s="705"/>
      <c r="V15" s="704"/>
      <c r="W15" s="705"/>
      <c r="X15" s="1352"/>
      <c r="Y15" s="3697"/>
      <c r="Z15" s="1353"/>
      <c r="AA15" s="1350">
        <v>1</v>
      </c>
      <c r="AB15" s="1350">
        <v>1</v>
      </c>
      <c r="AC15" s="1350">
        <v>1</v>
      </c>
    </row>
    <row r="16" spans="1:29" ht="42.75">
      <c r="A16" s="358"/>
      <c r="B16" s="579" t="s">
        <v>1810</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103</v>
      </c>
      <c r="K16" s="563">
        <v>3</v>
      </c>
      <c r="L16" s="2717"/>
      <c r="M16" s="2711"/>
      <c r="N16" s="2711"/>
      <c r="O16" s="2711"/>
      <c r="P16" s="3697"/>
      <c r="Q16" s="1349" t="str">
        <f>B16</f>
        <v>公共配套设施</v>
      </c>
      <c r="R16" s="704" t="s">
        <v>14</v>
      </c>
      <c r="S16" s="705">
        <f>F16</f>
        <v>100</v>
      </c>
      <c r="T16" s="704" t="s">
        <v>14</v>
      </c>
      <c r="U16" s="705">
        <f>H16</f>
        <v>103</v>
      </c>
      <c r="V16" s="704" t="s">
        <v>14</v>
      </c>
      <c r="W16" s="705">
        <f>J16</f>
        <v>103</v>
      </c>
      <c r="X16" s="1352"/>
      <c r="Y16" s="3697"/>
      <c r="Z16" s="1353" t="str">
        <f>Q16</f>
        <v>公共配套设施</v>
      </c>
      <c r="AA16" s="1350">
        <f t="shared" si="3"/>
        <v>1</v>
      </c>
      <c r="AB16" s="1350">
        <f t="shared" si="4"/>
        <v>0.970873786407767</v>
      </c>
      <c r="AC16" s="1350">
        <f t="shared" si="5"/>
        <v>0.970873786407767</v>
      </c>
    </row>
    <row r="17" spans="1:29" ht="15">
      <c r="A17" s="358"/>
      <c r="B17" s="580"/>
      <c r="C17" s="1897" t="s">
        <v>3410</v>
      </c>
      <c r="D17" s="399"/>
      <c r="E17" s="1897" t="s">
        <v>3410</v>
      </c>
      <c r="F17" s="400"/>
      <c r="G17" s="398" t="s">
        <v>3427</v>
      </c>
      <c r="H17" s="399"/>
      <c r="I17" s="398" t="s">
        <v>3427</v>
      </c>
      <c r="J17" s="399"/>
      <c r="K17" s="564"/>
      <c r="L17" s="2717"/>
      <c r="M17" s="2711"/>
      <c r="N17" s="2711"/>
      <c r="O17" s="2711"/>
      <c r="P17" s="3697"/>
      <c r="Q17" s="1349"/>
      <c r="R17" s="704"/>
      <c r="S17" s="705"/>
      <c r="T17" s="704"/>
      <c r="U17" s="705"/>
      <c r="V17" s="704"/>
      <c r="W17" s="705"/>
      <c r="X17" s="1352"/>
      <c r="Y17" s="3697"/>
      <c r="Z17" s="1353"/>
      <c r="AA17" s="1350">
        <v>1</v>
      </c>
      <c r="AB17" s="1350">
        <v>1</v>
      </c>
      <c r="AC17" s="1350">
        <v>1</v>
      </c>
    </row>
    <row r="18" spans="1:29" ht="28.5">
      <c r="A18" s="358"/>
      <c r="B18" s="581" t="s">
        <v>1811</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697"/>
      <c r="Q18" s="1349" t="str">
        <f>B18</f>
        <v>基础设施水平</v>
      </c>
      <c r="R18" s="704" t="s">
        <v>14</v>
      </c>
      <c r="S18" s="705">
        <f>F18</f>
        <v>100</v>
      </c>
      <c r="T18" s="704" t="s">
        <v>14</v>
      </c>
      <c r="U18" s="705">
        <f>H18</f>
        <v>100</v>
      </c>
      <c r="V18" s="704" t="s">
        <v>14</v>
      </c>
      <c r="W18" s="705">
        <f>J18</f>
        <v>100</v>
      </c>
      <c r="X18" s="1352"/>
      <c r="Y18" s="3697"/>
      <c r="Z18" s="1353" t="str">
        <f>Q18</f>
        <v>基础设施水平</v>
      </c>
      <c r="AA18" s="1350">
        <f t="shared" ref="AA18" si="8">D18/F18</f>
        <v>1</v>
      </c>
      <c r="AB18" s="1350">
        <f t="shared" ref="AB18" si="9">D18/H18</f>
        <v>1</v>
      </c>
      <c r="AC18" s="1350">
        <f t="shared" ref="AC18" si="10">D18/J18</f>
        <v>1</v>
      </c>
    </row>
    <row r="19" spans="1:29" ht="15">
      <c r="A19" s="358"/>
      <c r="B19" s="581"/>
      <c r="C19" s="1897" t="s">
        <v>3412</v>
      </c>
      <c r="D19" s="401"/>
      <c r="E19" s="1897" t="s">
        <v>3412</v>
      </c>
      <c r="F19" s="404"/>
      <c r="G19" s="1897" t="s">
        <v>3412</v>
      </c>
      <c r="H19" s="399"/>
      <c r="I19" s="1897" t="s">
        <v>3412</v>
      </c>
      <c r="J19" s="399"/>
      <c r="K19" s="1128"/>
      <c r="L19" s="2717"/>
      <c r="M19" s="2711"/>
      <c r="N19" s="2711"/>
      <c r="O19" s="2711"/>
      <c r="P19" s="3697"/>
      <c r="Q19" s="1349"/>
      <c r="R19" s="704"/>
      <c r="S19" s="705"/>
      <c r="T19" s="704"/>
      <c r="U19" s="705"/>
      <c r="V19" s="704"/>
      <c r="W19" s="705"/>
      <c r="X19" s="1352"/>
      <c r="Y19" s="3697"/>
      <c r="Z19" s="1353"/>
      <c r="AA19" s="1350">
        <v>1</v>
      </c>
      <c r="AB19" s="1350">
        <v>1</v>
      </c>
      <c r="AC19" s="1350">
        <v>1</v>
      </c>
    </row>
    <row r="20" spans="1:29" ht="42.75">
      <c r="A20" s="358"/>
      <c r="B20" s="579" t="s">
        <v>1832</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697"/>
      <c r="Q20" s="1349" t="str">
        <f>B20</f>
        <v>自然及人文环境</v>
      </c>
      <c r="R20" s="704" t="s">
        <v>14</v>
      </c>
      <c r="S20" s="705">
        <f>F20</f>
        <v>100</v>
      </c>
      <c r="T20" s="704" t="s">
        <v>14</v>
      </c>
      <c r="U20" s="705">
        <f>H20</f>
        <v>100</v>
      </c>
      <c r="V20" s="704" t="s">
        <v>14</v>
      </c>
      <c r="W20" s="705">
        <f>J20</f>
        <v>100</v>
      </c>
      <c r="X20" s="1352"/>
      <c r="Y20" s="3697"/>
      <c r="Z20" s="1353" t="str">
        <f>Q20</f>
        <v>自然及人文环境</v>
      </c>
      <c r="AA20" s="1350">
        <f t="shared" si="3"/>
        <v>1</v>
      </c>
      <c r="AB20" s="1350">
        <f t="shared" si="4"/>
        <v>1</v>
      </c>
      <c r="AC20" s="1350">
        <f t="shared" si="5"/>
        <v>1</v>
      </c>
    </row>
    <row r="21" spans="1:29" ht="15">
      <c r="A21" s="358"/>
      <c r="B21" s="580"/>
      <c r="C21" s="398" t="s">
        <v>3410</v>
      </c>
      <c r="D21" s="399"/>
      <c r="E21" s="398" t="s">
        <v>3410</v>
      </c>
      <c r="F21" s="400"/>
      <c r="G21" s="398" t="s">
        <v>3410</v>
      </c>
      <c r="H21" s="399"/>
      <c r="I21" s="398" t="s">
        <v>3410</v>
      </c>
      <c r="J21" s="399"/>
      <c r="K21" s="564"/>
      <c r="L21" s="2717"/>
      <c r="M21" s="2711"/>
      <c r="N21" s="2711"/>
      <c r="O21" s="2711"/>
      <c r="P21" s="3697"/>
      <c r="Q21" s="1349"/>
      <c r="R21" s="704"/>
      <c r="S21" s="705"/>
      <c r="T21" s="704"/>
      <c r="U21" s="705"/>
      <c r="V21" s="704"/>
      <c r="W21" s="705"/>
      <c r="X21" s="1352"/>
      <c r="Y21" s="3697"/>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7"/>
      <c r="Q22" s="1349" t="str">
        <f>B22</f>
        <v>楼层</v>
      </c>
      <c r="R22" s="704" t="s">
        <v>14</v>
      </c>
      <c r="S22" s="705">
        <f>F22</f>
        <v>100</v>
      </c>
      <c r="T22" s="704" t="s">
        <v>14</v>
      </c>
      <c r="U22" s="705">
        <f>H22</f>
        <v>100</v>
      </c>
      <c r="V22" s="704" t="s">
        <v>14</v>
      </c>
      <c r="W22" s="705">
        <f>J22</f>
        <v>100</v>
      </c>
      <c r="X22" s="1352"/>
      <c r="Y22" s="3697"/>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7"/>
      <c r="Q23" s="1349">
        <f>B23</f>
        <v>111</v>
      </c>
      <c r="R23" s="704" t="s">
        <v>14</v>
      </c>
      <c r="S23" s="705">
        <f>F23</f>
        <v>100</v>
      </c>
      <c r="T23" s="704" t="s">
        <v>14</v>
      </c>
      <c r="U23" s="705">
        <f>H23</f>
        <v>100</v>
      </c>
      <c r="V23" s="704" t="s">
        <v>14</v>
      </c>
      <c r="W23" s="705">
        <f>J23</f>
        <v>100</v>
      </c>
      <c r="X23" s="1352"/>
      <c r="Y23" s="3697"/>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7"/>
      <c r="Q24" s="1349">
        <f t="shared" ref="Q24:Q36" si="11">B24</f>
        <v>111</v>
      </c>
      <c r="R24" s="704" t="s">
        <v>14</v>
      </c>
      <c r="S24" s="705">
        <f>F24</f>
        <v>100</v>
      </c>
      <c r="T24" s="704" t="s">
        <v>14</v>
      </c>
      <c r="U24" s="705">
        <f>H24</f>
        <v>100</v>
      </c>
      <c r="V24" s="704" t="s">
        <v>14</v>
      </c>
      <c r="W24" s="705">
        <f>J24</f>
        <v>100</v>
      </c>
      <c r="X24" s="1352"/>
      <c r="Y24" s="3697"/>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7"/>
      <c r="Q25" s="1340">
        <f t="shared" si="11"/>
        <v>111</v>
      </c>
      <c r="R25" s="700" t="s">
        <v>14</v>
      </c>
      <c r="S25" s="701">
        <f>F25</f>
        <v>100</v>
      </c>
      <c r="T25" s="700" t="s">
        <v>14</v>
      </c>
      <c r="U25" s="701">
        <f>H25</f>
        <v>100</v>
      </c>
      <c r="V25" s="700" t="s">
        <v>14</v>
      </c>
      <c r="W25" s="701">
        <f>J25</f>
        <v>100</v>
      </c>
      <c r="X25" s="702"/>
      <c r="Y25" s="3697"/>
      <c r="Z25" s="52">
        <f>Q25</f>
        <v>111</v>
      </c>
      <c r="AA25" s="1350">
        <f>D25/F25</f>
        <v>1</v>
      </c>
      <c r="AB25" s="1350">
        <f>D25/H25</f>
        <v>1</v>
      </c>
      <c r="AC25" s="1350">
        <f>D25/J25</f>
        <v>1</v>
      </c>
    </row>
    <row r="26" spans="1:29" ht="28.5">
      <c r="A26" s="600" t="s">
        <v>1692</v>
      </c>
      <c r="B26" s="62" t="s">
        <v>1834</v>
      </c>
      <c r="C26" s="1967" t="str">
        <f>B1</f>
        <v>住宅</v>
      </c>
      <c r="D26" s="399">
        <v>100</v>
      </c>
      <c r="E26" s="398" t="s">
        <v>3392</v>
      </c>
      <c r="F26" s="400">
        <f>SUMIF(79:79,E26,80:80)-SUMIF(79:79,C26,80:80)+100</f>
        <v>100</v>
      </c>
      <c r="G26" s="398" t="s">
        <v>3392</v>
      </c>
      <c r="H26" s="399">
        <f>SUMIF(79:79,G26,80:80)-SUMIF(79:79,C26,80:80)+100</f>
        <v>100</v>
      </c>
      <c r="I26" s="398" t="s">
        <v>3392</v>
      </c>
      <c r="J26" s="399">
        <f>SUMIF(79:79,I26,80:80)-SUMIF(79:79,C26,80:80)+100</f>
        <v>100</v>
      </c>
      <c r="K26" s="561">
        <v>2</v>
      </c>
      <c r="L26" s="2717"/>
      <c r="M26" s="2711"/>
      <c r="N26" s="2711"/>
      <c r="O26" s="2711"/>
      <c r="P26" s="3698" t="s">
        <v>1694</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699" t="s">
        <v>1694</v>
      </c>
      <c r="Z26" s="1353" t="str">
        <f t="shared" ref="Z26:Z36" si="15">Q26</f>
        <v>配套类型</v>
      </c>
      <c r="AA26" s="1350">
        <f t="shared" si="3"/>
        <v>1</v>
      </c>
      <c r="AB26" s="1350">
        <f t="shared" si="4"/>
        <v>1</v>
      </c>
      <c r="AC26" s="1350">
        <f t="shared" si="5"/>
        <v>1</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0">
        <f t="shared" si="3"/>
        <v>1</v>
      </c>
      <c r="AB27" s="1350">
        <f t="shared" si="4"/>
        <v>1</v>
      </c>
      <c r="AC27" s="1350">
        <f t="shared" si="5"/>
        <v>1</v>
      </c>
    </row>
    <row r="28" spans="1:29" ht="15">
      <c r="A28" s="604"/>
      <c r="B28" s="602" t="s">
        <v>1836</v>
      </c>
      <c r="C28" s="411" t="s">
        <v>3418</v>
      </c>
      <c r="D28" s="386">
        <v>100</v>
      </c>
      <c r="E28" s="411" t="s">
        <v>3418</v>
      </c>
      <c r="F28" s="412">
        <f>SUMIF(83:83,E28,84:84)-SUMIF(83:83,C28,84:84)+100</f>
        <v>100</v>
      </c>
      <c r="G28" s="411" t="s">
        <v>3418</v>
      </c>
      <c r="H28" s="386">
        <f>SUMIF(83:83,G28,84:84)-SUMIF(83:83,C28,84:84)+100</f>
        <v>100</v>
      </c>
      <c r="I28" s="411" t="s">
        <v>3418</v>
      </c>
      <c r="J28" s="386">
        <f>SUMIF(83:83,I28,84:84)-SUMIF(83:83,C28,84:84)+100</f>
        <v>100</v>
      </c>
      <c r="K28" s="561">
        <v>2</v>
      </c>
      <c r="L28" s="2717"/>
      <c r="M28" s="2711"/>
      <c r="N28" s="2711"/>
      <c r="O28" s="2711"/>
      <c r="P28" s="3699"/>
      <c r="Q28" s="1349" t="str">
        <f t="shared" si="11"/>
        <v>公共部分装修</v>
      </c>
      <c r="R28" s="704" t="s">
        <v>14</v>
      </c>
      <c r="S28" s="705">
        <f t="shared" si="12"/>
        <v>100</v>
      </c>
      <c r="T28" s="704" t="s">
        <v>14</v>
      </c>
      <c r="U28" s="705">
        <f t="shared" si="13"/>
        <v>100</v>
      </c>
      <c r="V28" s="704" t="s">
        <v>14</v>
      </c>
      <c r="W28" s="705">
        <f t="shared" si="14"/>
        <v>100</v>
      </c>
      <c r="X28" s="1352"/>
      <c r="Y28" s="3699"/>
      <c r="Z28" s="1353" t="str">
        <f t="shared" si="15"/>
        <v>公共部分装修</v>
      </c>
      <c r="AA28" s="1350">
        <f t="shared" si="3"/>
        <v>1</v>
      </c>
      <c r="AB28" s="1350">
        <f t="shared" si="4"/>
        <v>1</v>
      </c>
      <c r="AC28" s="1350">
        <f t="shared" si="5"/>
        <v>1</v>
      </c>
    </row>
    <row r="29" spans="1:29" ht="15">
      <c r="A29" s="604"/>
      <c r="B29" s="602"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699"/>
      <c r="Q29" s="1349" t="str">
        <f t="shared" si="11"/>
        <v>成新率</v>
      </c>
      <c r="R29" s="704" t="s">
        <v>14</v>
      </c>
      <c r="S29" s="705">
        <f t="shared" si="12"/>
        <v>100</v>
      </c>
      <c r="T29" s="704" t="s">
        <v>14</v>
      </c>
      <c r="U29" s="705">
        <f t="shared" si="13"/>
        <v>100</v>
      </c>
      <c r="V29" s="704" t="s">
        <v>14</v>
      </c>
      <c r="W29" s="705">
        <f t="shared" si="14"/>
        <v>100</v>
      </c>
      <c r="X29" s="1352"/>
      <c r="Y29" s="3699"/>
      <c r="Z29" s="1353" t="str">
        <f t="shared" si="15"/>
        <v>成新率</v>
      </c>
      <c r="AA29" s="1350">
        <f t="shared" si="3"/>
        <v>1</v>
      </c>
      <c r="AB29" s="1350">
        <f t="shared" si="4"/>
        <v>1</v>
      </c>
      <c r="AC29" s="1350">
        <f t="shared" si="5"/>
        <v>1</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99"/>
      <c r="Q30" s="1349" t="str">
        <f t="shared" si="11"/>
        <v>物业等级</v>
      </c>
      <c r="R30" s="704" t="s">
        <v>14</v>
      </c>
      <c r="S30" s="705">
        <f t="shared" si="12"/>
        <v>100</v>
      </c>
      <c r="T30" s="704" t="s">
        <v>14</v>
      </c>
      <c r="U30" s="705">
        <f t="shared" si="13"/>
        <v>100</v>
      </c>
      <c r="V30" s="704" t="s">
        <v>14</v>
      </c>
      <c r="W30" s="705">
        <f t="shared" si="14"/>
        <v>100</v>
      </c>
      <c r="X30" s="1352"/>
      <c r="Y30" s="3699"/>
      <c r="Z30" s="1353" t="str">
        <f t="shared" si="15"/>
        <v>物业等级</v>
      </c>
      <c r="AA30" s="1350">
        <f t="shared" si="3"/>
        <v>1</v>
      </c>
      <c r="AB30" s="1350">
        <f t="shared" si="4"/>
        <v>1</v>
      </c>
      <c r="AC30" s="1350">
        <f t="shared" si="5"/>
        <v>1</v>
      </c>
    </row>
    <row r="31" spans="1:29" s="108" customFormat="1" ht="15">
      <c r="A31" s="606"/>
      <c r="B31" s="602" t="s">
        <v>1839</v>
      </c>
      <c r="C31" s="420">
        <f>'数据-基础表'!K13</f>
        <v>8677.7000000000007</v>
      </c>
      <c r="D31" s="127">
        <v>100</v>
      </c>
      <c r="E31" s="420">
        <v>34.4</v>
      </c>
      <c r="F31" s="412">
        <f>LOOKUP(E31,91:91,92:92)-LOOKUP(C31,91:91,92:92)+100</f>
        <v>199</v>
      </c>
      <c r="G31" s="420">
        <v>31.58</v>
      </c>
      <c r="H31" s="386">
        <f>LOOKUP(G31,91:91,92:92)-LOOKUP(C31,91:91,92:92)+100</f>
        <v>199</v>
      </c>
      <c r="I31" s="420">
        <v>31.6</v>
      </c>
      <c r="J31" s="386">
        <f>LOOKUP(I31,91:91,92:92)-LOOKUP(C31,91:91,92:92)+100</f>
        <v>199</v>
      </c>
      <c r="K31" s="561"/>
      <c r="L31" s="2712"/>
      <c r="M31" s="2713"/>
      <c r="N31" s="2713"/>
      <c r="O31" s="2713"/>
      <c r="P31" s="3699"/>
      <c r="Q31" s="1340" t="str">
        <f t="shared" si="11"/>
        <v>停车位面积</v>
      </c>
      <c r="R31" s="700" t="s">
        <v>14</v>
      </c>
      <c r="S31" s="701">
        <f t="shared" si="12"/>
        <v>199</v>
      </c>
      <c r="T31" s="700" t="s">
        <v>14</v>
      </c>
      <c r="U31" s="701">
        <f t="shared" si="13"/>
        <v>199</v>
      </c>
      <c r="V31" s="700" t="s">
        <v>14</v>
      </c>
      <c r="W31" s="701">
        <f t="shared" si="14"/>
        <v>199</v>
      </c>
      <c r="X31" s="702"/>
      <c r="Y31" s="3699"/>
      <c r="Z31" s="52" t="str">
        <f t="shared" si="15"/>
        <v>停车位面积</v>
      </c>
      <c r="AA31" s="703">
        <f t="shared" si="3"/>
        <v>0.50251256281407031</v>
      </c>
      <c r="AB31" s="703">
        <f t="shared" si="4"/>
        <v>0.50251256281407031</v>
      </c>
      <c r="AC31" s="703">
        <f t="shared" si="5"/>
        <v>0.50251256281407031</v>
      </c>
    </row>
    <row r="32" spans="1:29" ht="15">
      <c r="A32" s="604"/>
      <c r="B32" s="602" t="s">
        <v>1840</v>
      </c>
      <c r="C32" s="411" t="s">
        <v>3616</v>
      </c>
      <c r="D32" s="386">
        <v>100</v>
      </c>
      <c r="E32" s="411" t="s">
        <v>3616</v>
      </c>
      <c r="F32" s="412">
        <f>SUMIF(93:93,E32,94:94)-SUMIF(93:93,C32,94:94)+100</f>
        <v>100</v>
      </c>
      <c r="G32" s="411" t="s">
        <v>3616</v>
      </c>
      <c r="H32" s="386">
        <f>SUMIF(93:93,G32,94:94)-SUMIF(93:93,C32,94:94)+100</f>
        <v>100</v>
      </c>
      <c r="I32" s="411" t="s">
        <v>3616</v>
      </c>
      <c r="J32" s="386">
        <f>SUMIF(93:93,I32,94:94)-SUMIF(93:93,C32,94:94)+100</f>
        <v>100</v>
      </c>
      <c r="K32" s="561">
        <v>2</v>
      </c>
      <c r="L32" s="2717"/>
      <c r="M32" s="2711"/>
      <c r="N32" s="2711"/>
      <c r="O32" s="2711"/>
      <c r="P32" s="3699" t="s">
        <v>1694</v>
      </c>
      <c r="Q32" s="1349" t="str">
        <f t="shared" si="11"/>
        <v>车位类型</v>
      </c>
      <c r="R32" s="704" t="s">
        <v>14</v>
      </c>
      <c r="S32" s="705">
        <f t="shared" si="12"/>
        <v>100</v>
      </c>
      <c r="T32" s="704" t="s">
        <v>14</v>
      </c>
      <c r="U32" s="705">
        <f t="shared" si="13"/>
        <v>100</v>
      </c>
      <c r="V32" s="704" t="s">
        <v>14</v>
      </c>
      <c r="W32" s="705">
        <f t="shared" si="14"/>
        <v>100</v>
      </c>
      <c r="X32" s="1352"/>
      <c r="Y32" s="3699"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9"/>
      <c r="Q33" s="1349" t="str">
        <f t="shared" si="11"/>
        <v>是否直接入户</v>
      </c>
      <c r="R33" s="704" t="s">
        <v>14</v>
      </c>
      <c r="S33" s="705">
        <f t="shared" si="12"/>
        <v>100</v>
      </c>
      <c r="T33" s="704" t="s">
        <v>14</v>
      </c>
      <c r="U33" s="705">
        <f t="shared" si="13"/>
        <v>100</v>
      </c>
      <c r="V33" s="704" t="s">
        <v>14</v>
      </c>
      <c r="W33" s="705">
        <f t="shared" si="14"/>
        <v>100</v>
      </c>
      <c r="X33" s="1352"/>
      <c r="Y33" s="3699"/>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9"/>
      <c r="Q34" s="1349">
        <f t="shared" si="11"/>
        <v>111</v>
      </c>
      <c r="R34" s="704" t="s">
        <v>14</v>
      </c>
      <c r="S34" s="705">
        <f t="shared" si="12"/>
        <v>100</v>
      </c>
      <c r="T34" s="704" t="s">
        <v>14</v>
      </c>
      <c r="U34" s="705">
        <f t="shared" si="13"/>
        <v>100</v>
      </c>
      <c r="V34" s="704" t="s">
        <v>14</v>
      </c>
      <c r="W34" s="705">
        <f t="shared" si="14"/>
        <v>100</v>
      </c>
      <c r="X34" s="1352"/>
      <c r="Y34" s="3699"/>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9"/>
      <c r="Q36" s="1349">
        <f t="shared" si="11"/>
        <v>111</v>
      </c>
      <c r="R36" s="704" t="s">
        <v>14</v>
      </c>
      <c r="S36" s="705">
        <f t="shared" si="12"/>
        <v>100</v>
      </c>
      <c r="T36" s="704" t="s">
        <v>14</v>
      </c>
      <c r="U36" s="705">
        <f t="shared" si="13"/>
        <v>100</v>
      </c>
      <c r="V36" s="704" t="s">
        <v>14</v>
      </c>
      <c r="W36" s="705">
        <f t="shared" si="14"/>
        <v>100</v>
      </c>
      <c r="X36" s="1352"/>
      <c r="Y36" s="3699"/>
      <c r="Z36" s="1353">
        <f t="shared" si="15"/>
        <v>111</v>
      </c>
      <c r="AA36" s="1350">
        <f t="shared" si="3"/>
        <v>1</v>
      </c>
      <c r="AB36" s="1350">
        <f t="shared" si="4"/>
        <v>1</v>
      </c>
      <c r="AC36" s="1350">
        <f t="shared" si="5"/>
        <v>1</v>
      </c>
    </row>
    <row r="37" spans="1:29" ht="15">
      <c r="A37" s="430" t="s">
        <v>1842</v>
      </c>
      <c r="B37" s="1968" t="s">
        <v>3618</v>
      </c>
      <c r="C37" s="1152" t="s">
        <v>0</v>
      </c>
      <c r="D37" s="1153"/>
      <c r="E37" s="1154">
        <v>132000</v>
      </c>
      <c r="F37" s="1155"/>
      <c r="G37" s="1156">
        <v>169833</v>
      </c>
      <c r="H37" s="1157"/>
      <c r="I37" s="1154">
        <v>160000</v>
      </c>
      <c r="J37" s="1157"/>
      <c r="K37" s="568"/>
      <c r="L37" s="2719"/>
      <c r="M37" s="2720"/>
      <c r="N37" s="2711"/>
      <c r="O37" s="2720"/>
      <c r="P37" s="3695" t="str">
        <f>A37</f>
        <v>成交单价</v>
      </c>
      <c r="Q37" s="3695"/>
      <c r="R37" s="3731">
        <f>E37</f>
        <v>132000</v>
      </c>
      <c r="S37" s="3731"/>
      <c r="T37" s="3731">
        <f>G37</f>
        <v>169833</v>
      </c>
      <c r="U37" s="3731"/>
      <c r="V37" s="3731">
        <f>I37</f>
        <v>160000</v>
      </c>
      <c r="W37" s="3731"/>
      <c r="X37" s="689"/>
      <c r="Y37" s="711"/>
      <c r="Z37" s="689"/>
      <c r="AA37" s="689"/>
      <c r="AB37" s="689"/>
      <c r="AC37" s="689"/>
    </row>
    <row r="38" spans="1:29" ht="15.75" thickBot="1">
      <c r="A38" s="437" t="s">
        <v>1843</v>
      </c>
      <c r="B38" s="438" t="str">
        <f>B37</f>
        <v>元/车位</v>
      </c>
      <c r="C38" s="1158">
        <f>R39</f>
        <v>74188</v>
      </c>
      <c r="D38" s="2312" t="s">
        <v>2135</v>
      </c>
      <c r="E38" s="1159">
        <f>R38</f>
        <v>66332</v>
      </c>
      <c r="F38" s="2313"/>
      <c r="G38" s="1158">
        <f>T38</f>
        <v>80444</v>
      </c>
      <c r="H38" s="2313"/>
      <c r="I38" s="1159">
        <f>V38</f>
        <v>75787</v>
      </c>
      <c r="J38" s="2313"/>
      <c r="K38" s="2315">
        <f>F38+H38+J38</f>
        <v>0</v>
      </c>
      <c r="L38" s="2719"/>
      <c r="M38" s="2720"/>
      <c r="N38" s="2720"/>
      <c r="O38" s="2720"/>
      <c r="P38" s="3695" t="str">
        <f>A38</f>
        <v>比较价值（元/平方米）</v>
      </c>
      <c r="Q38" s="3695"/>
      <c r="R38" s="3731">
        <f>IF(F1="售价",ROUND(PRODUCT(R37,AA7:AA36),0),ROUND(PRODUCT(R37,AA7:AA36),1))</f>
        <v>66332</v>
      </c>
      <c r="S38" s="3731"/>
      <c r="T38" s="3731">
        <f>IF(F1="售价",ROUND(PRODUCT(T37,AB7:AB36),0),ROUND(PRODUCT(T37,AB7:AB36),1))</f>
        <v>80444</v>
      </c>
      <c r="U38" s="3731"/>
      <c r="V38" s="3731">
        <f>IF(F1="售价",ROUND(PRODUCT(V37,AC7:AC36),0),ROUND(PRODUCT(V37,AC7:AC36),1))</f>
        <v>75787</v>
      </c>
      <c r="W38" s="3731"/>
      <c r="X38" s="689"/>
      <c r="Y38" s="689"/>
      <c r="Z38" s="689"/>
      <c r="AA38" s="689"/>
      <c r="AB38" s="689"/>
      <c r="AC38" s="689"/>
    </row>
    <row r="39" spans="1:29" ht="15.75" thickBot="1">
      <c r="A39" s="441" t="s">
        <v>1844</v>
      </c>
      <c r="B39" s="442"/>
      <c r="C39" s="1161">
        <f>R39</f>
        <v>74188</v>
      </c>
      <c r="D39" s="1161"/>
      <c r="E39" s="1161"/>
      <c r="F39" s="1161"/>
      <c r="G39" s="1161"/>
      <c r="H39" s="1161"/>
      <c r="I39" s="1161"/>
      <c r="J39" s="1161"/>
      <c r="K39" s="569"/>
      <c r="L39" s="2719"/>
      <c r="M39" s="2720"/>
      <c r="N39" s="2720"/>
      <c r="O39" s="2720"/>
      <c r="P39" s="3689" t="str">
        <f>A39</f>
        <v>估价对象XX用房的比较价值（楼面单价，元/平方米）</v>
      </c>
      <c r="Q39" s="3690"/>
      <c r="R39" s="3753">
        <f>IF(F1="售价",ROUND(IF(D38="简单平均",AVERAGE(R38:W38),R38*F38+T38*H38+V38*J38),0),ROUND(IF(D38="简单平均",AVERAGE(R38:V38),R38*F38+T38*H38+V38*J38),1))</f>
        <v>74188</v>
      </c>
      <c r="S39" s="3753"/>
      <c r="T39" s="3753"/>
      <c r="U39" s="3753"/>
      <c r="V39" s="3753"/>
      <c r="W39" s="3753"/>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f>IF(E37&lt;E38,E38/E37-1,E37/E38-1)</f>
        <v>0.98998974853765898</v>
      </c>
      <c r="F42" s="449" t="str">
        <f>IF(OR(E42&gt;=0.3,E42&lt;=-0.3),"超过30%","")</f>
        <v>超过30%</v>
      </c>
      <c r="G42" s="448">
        <f>IF(G37&lt;G38,G38/G37-1,G37/G38-1)</f>
        <v>1.1111953657202527</v>
      </c>
      <c r="H42" s="449" t="str">
        <f>IF(OR(G42&gt;=0.3,G42&lt;=-0.3),"超过30%","")</f>
        <v>超过30%</v>
      </c>
      <c r="I42" s="448">
        <f>IF(I37&lt;I38,I38/I37-1,I37/I38-1)</f>
        <v>1.1111800176811326</v>
      </c>
      <c r="J42" s="449" t="str">
        <f>IF(OR(I42&gt;=0.3,I42&lt;=-0.3),"超过30%","")</f>
        <v>超过30%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f>IF(E38&lt;G38,G38/E38-1,E38/G38-1)</f>
        <v>0.21274799493457164</v>
      </c>
      <c r="F43" s="449" t="str">
        <f>IF(OR(E43&gt;=0.2,E43&lt;=-0.2),"超过20%","")</f>
        <v>超过20%</v>
      </c>
      <c r="G43" s="448">
        <f>IF(G38&lt;I38,I38/G38-1,G38/I38-1)</f>
        <v>6.1448533389631521E-2</v>
      </c>
      <c r="H43" s="449" t="str">
        <f>IF(OR(G43&gt;=0.2,G43&lt;=-0.2),"超过20%","")</f>
        <v/>
      </c>
      <c r="I43" s="448">
        <f>IF(I38&lt;E38,E38/I38-1,I38/E38-1)</f>
        <v>0.14254055357896633</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1848</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3469" t="s">
        <v>3615</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3469" t="s">
        <v>3617</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T359"/>
  <sheetViews>
    <sheetView topLeftCell="A232" zoomScale="80" zoomScaleNormal="80" workbookViewId="0">
      <selection activeCell="J31" sqref="J31"/>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876</v>
      </c>
      <c r="B2" s="3420">
        <f ca="1">ROUND(D2/10000,4)</f>
        <v>2794.1210999999998</v>
      </c>
      <c r="C2" s="1384" t="s">
        <v>877</v>
      </c>
      <c r="D2" s="1468">
        <f ca="1">C40+J29+L46</f>
        <v>27941211</v>
      </c>
      <c r="E2" s="1385" t="s">
        <v>878</v>
      </c>
      <c r="F2" s="1386"/>
      <c r="G2" s="2701"/>
      <c r="H2" s="2690"/>
      <c r="I2" s="2690"/>
      <c r="J2" s="2690"/>
      <c r="K2" s="2691"/>
      <c r="L2" s="2690"/>
      <c r="M2" s="2690"/>
    </row>
    <row r="3" spans="1:37" ht="18" customHeight="1" thickBot="1">
      <c r="A3" s="1387" t="s">
        <v>879</v>
      </c>
      <c r="B3" s="1388">
        <f ca="1">IF(ISERROR(D2/F43),0,ROUND(D2/F43,0))</f>
        <v>3220</v>
      </c>
      <c r="C3" s="1384" t="s">
        <v>880</v>
      </c>
      <c r="D3" s="1384"/>
      <c r="E3" s="1385"/>
      <c r="F3" s="1386"/>
      <c r="G3" s="2701"/>
      <c r="H3" s="682" t="s">
        <v>874</v>
      </c>
      <c r="I3" s="1379"/>
      <c r="J3" s="1379"/>
      <c r="K3" s="1380"/>
      <c r="L3" s="1379"/>
      <c r="M3" s="1379"/>
    </row>
    <row r="4" spans="1:37" ht="18" customHeight="1">
      <c r="A4" s="295" t="s">
        <v>881</v>
      </c>
      <c r="B4" s="296" t="s">
        <v>882</v>
      </c>
      <c r="C4" s="296" t="s">
        <v>883</v>
      </c>
      <c r="D4" s="296" t="s">
        <v>884</v>
      </c>
      <c r="E4" s="297" t="s">
        <v>885</v>
      </c>
      <c r="F4" s="298"/>
      <c r="G4" s="1381"/>
      <c r="H4" s="295" t="s">
        <v>881</v>
      </c>
      <c r="I4" s="296" t="s">
        <v>882</v>
      </c>
      <c r="J4" s="296" t="s">
        <v>883</v>
      </c>
      <c r="K4" s="296" t="s">
        <v>884</v>
      </c>
      <c r="L4" s="297" t="s">
        <v>885</v>
      </c>
      <c r="M4" s="298"/>
    </row>
    <row r="5" spans="1:37" ht="18" customHeight="1">
      <c r="A5" s="299">
        <v>1</v>
      </c>
      <c r="B5" s="300" t="s">
        <v>886</v>
      </c>
      <c r="C5" s="1068">
        <f ca="1">C6+C10+C12</f>
        <v>1680869</v>
      </c>
      <c r="D5" s="1361" t="s">
        <v>887</v>
      </c>
      <c r="E5" s="1069"/>
      <c r="F5" s="1070"/>
      <c r="G5" s="1381"/>
      <c r="H5" s="299">
        <v>1</v>
      </c>
      <c r="I5" s="300" t="s">
        <v>886</v>
      </c>
      <c r="J5" s="1068">
        <f ca="1">J6+J10+J12</f>
        <v>0</v>
      </c>
      <c r="K5" s="1361" t="s">
        <v>887</v>
      </c>
      <c r="L5" s="1069"/>
      <c r="M5" s="1070"/>
    </row>
    <row r="6" spans="1:37" ht="18" customHeight="1">
      <c r="A6" s="1067" t="s">
        <v>398</v>
      </c>
      <c r="B6" s="3744" t="s">
        <v>692</v>
      </c>
      <c r="C6" s="1072">
        <f ca="1">ROUND(F6*F8*F7*(1-F9),0)</f>
        <v>1680869</v>
      </c>
      <c r="D6" s="155" t="s">
        <v>2103</v>
      </c>
      <c r="E6" s="302" t="s">
        <v>694</v>
      </c>
      <c r="F6" s="303">
        <f ca="1">INDIRECT("'数据-取费表'!u"&amp;$G$1)</f>
        <v>170820</v>
      </c>
      <c r="G6" s="1381"/>
      <c r="H6" s="1067" t="s">
        <v>398</v>
      </c>
      <c r="I6" s="3744" t="s">
        <v>692</v>
      </c>
      <c r="J6" s="301">
        <f ca="1">ROUND(M6*M8*M7*(1-M9),0)</f>
        <v>0</v>
      </c>
      <c r="K6" s="1373" t="s">
        <v>2104</v>
      </c>
      <c r="L6" s="302" t="s">
        <v>694</v>
      </c>
      <c r="M6" s="303">
        <f ca="1">INDIRECT("'数据-取费表'!z"&amp;$G$1)</f>
        <v>0</v>
      </c>
    </row>
    <row r="7" spans="1:37" ht="18" customHeight="1">
      <c r="A7" s="1071"/>
      <c r="B7" s="3745"/>
      <c r="C7" s="1073"/>
      <c r="D7" s="307"/>
      <c r="E7" s="1074" t="s">
        <v>695</v>
      </c>
      <c r="F7" s="303">
        <f ca="1">IF(INDIRECT("'数据-取费表'!ah"&amp;$G$1)="",INDIRECT("'数据-取费表'!k"&amp;$G$1),INDIRECT("'数据-取费表'!ah"&amp;$G$1))</f>
        <v>1</v>
      </c>
      <c r="G7" s="1381"/>
      <c r="H7" s="304"/>
      <c r="I7" s="3745"/>
      <c r="J7" s="306"/>
      <c r="K7" s="307"/>
      <c r="L7" s="302" t="s">
        <v>695</v>
      </c>
      <c r="M7" s="303">
        <f ca="1">F7</f>
        <v>1</v>
      </c>
    </row>
    <row r="8" spans="1:37" ht="18" customHeight="1">
      <c r="A8" s="304"/>
      <c r="B8" s="3745"/>
      <c r="C8" s="306"/>
      <c r="D8" s="307"/>
      <c r="E8" s="302" t="s">
        <v>696</v>
      </c>
      <c r="F8" s="303">
        <f ca="1">INDIRECT("'数据-取费表'!ai"&amp;$G$1)</f>
        <v>12</v>
      </c>
      <c r="G8" s="1381"/>
      <c r="H8" s="304"/>
      <c r="I8" s="3745"/>
      <c r="J8" s="306"/>
      <c r="K8" s="307"/>
      <c r="L8" s="302" t="s">
        <v>696</v>
      </c>
      <c r="M8" s="303">
        <f ca="1">INDIRECT("'数据-取费表'!ai"&amp;$G$1)</f>
        <v>12</v>
      </c>
    </row>
    <row r="9" spans="1:37" ht="18" customHeight="1">
      <c r="A9" s="304"/>
      <c r="B9" s="3746"/>
      <c r="C9" s="306"/>
      <c r="D9" s="307"/>
      <c r="E9" s="302" t="s">
        <v>697</v>
      </c>
      <c r="F9" s="312">
        <f ca="1">INDIRECT("'数据-取费表'!w"&amp;$G$1)</f>
        <v>0.18</v>
      </c>
      <c r="G9" s="1381"/>
      <c r="H9" s="304"/>
      <c r="I9" s="3746"/>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2113</v>
      </c>
      <c r="E10" s="313" t="s">
        <v>699</v>
      </c>
      <c r="F10" s="1114" t="s">
        <v>3399</v>
      </c>
      <c r="G10" s="1381"/>
      <c r="H10" s="1067" t="s">
        <v>402</v>
      </c>
      <c r="I10" s="1362" t="s">
        <v>698</v>
      </c>
      <c r="J10" s="301">
        <f ca="1">ROUND(IF(M10="押一",J6/12*M11,IF(M10="押二",J6/12*2*M11,IF(M10="押三",J6/12*3*M11,J11*M11))),0)</f>
        <v>0</v>
      </c>
      <c r="K10" s="1374" t="s">
        <v>2115</v>
      </c>
      <c r="L10" s="313" t="s">
        <v>699</v>
      </c>
      <c r="M10" s="1114"/>
    </row>
    <row r="11" spans="1:37" ht="18" customHeight="1">
      <c r="A11" s="308"/>
      <c r="B11" s="1364" t="s">
        <v>888</v>
      </c>
      <c r="C11" s="958"/>
      <c r="D11" s="307"/>
      <c r="E11" s="313" t="s">
        <v>700</v>
      </c>
      <c r="F11" s="314">
        <f ca="1">'数据-取费表'!B39</f>
        <v>1.4999999999999999E-2</v>
      </c>
      <c r="G11" s="1381"/>
      <c r="H11" s="1075"/>
      <c r="I11" s="1364" t="s">
        <v>889</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45952822</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ROUND(INDIRECT("'数据-取费表'!l"&amp;$G$1)*F43+'数据-取费表'!L14*INDIRECT("'数据-取费表'!S"&amp;$G$1),0)</f>
        <v>34192670</v>
      </c>
      <c r="D14" s="1342" t="s">
        <v>706</v>
      </c>
      <c r="E14" s="1339"/>
      <c r="F14" s="319"/>
      <c r="G14" s="1381"/>
      <c r="H14" s="981" t="s">
        <v>398</v>
      </c>
      <c r="I14" s="302" t="s">
        <v>707</v>
      </c>
      <c r="J14" s="21">
        <f ca="1">C29</f>
        <v>45952822</v>
      </c>
      <c r="K14" s="12"/>
      <c r="L14" s="806"/>
      <c r="M14" s="807"/>
    </row>
    <row r="15" spans="1:37" s="1394" customFormat="1" ht="18" customHeight="1" thickBot="1">
      <c r="A15" s="981" t="s">
        <v>399</v>
      </c>
      <c r="B15" s="302" t="s">
        <v>708</v>
      </c>
      <c r="C15" s="21">
        <f ca="1">ROUND(C14*F15,0)</f>
        <v>1709634</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1"/>
      <c r="H16" s="1077" t="s">
        <v>393</v>
      </c>
      <c r="I16" s="1078" t="s">
        <v>712</v>
      </c>
      <c r="J16" s="310">
        <f ca="1">ROUND(J17+J22+J23+J24,0)</f>
        <v>235009</v>
      </c>
      <c r="K16" s="1085" t="s">
        <v>713</v>
      </c>
      <c r="L16" s="1086"/>
      <c r="M16" s="1070"/>
    </row>
    <row r="17" spans="1:37" s="1394" customFormat="1" ht="18" customHeight="1">
      <c r="A17" s="981" t="s">
        <v>679</v>
      </c>
      <c r="B17" s="302" t="s">
        <v>714</v>
      </c>
      <c r="C17" s="21">
        <f ca="1">ROUND(F17*(F43+INDIRECT("'数据-取费表'!S"&amp;$G$1)),0)</f>
        <v>2048106</v>
      </c>
      <c r="D17" s="302" t="s">
        <v>715</v>
      </c>
      <c r="E17" s="302" t="s">
        <v>716</v>
      </c>
      <c r="F17" s="23">
        <f>'数据-取费表'!B35</f>
        <v>200</v>
      </c>
      <c r="G17" s="1393"/>
      <c r="H17" s="981" t="s">
        <v>398</v>
      </c>
      <c r="I17" s="302" t="s">
        <v>717</v>
      </c>
      <c r="J17" s="2311">
        <f ca="1">ROUND(IF(AND(项目基本情况!B11="自然人",项目基本情况!B10="北京市"),J6*M17/(1+'数据-取费表'!C42),J18+J19+J20),0)</f>
        <v>5245</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512890</v>
      </c>
      <c r="D18" s="302" t="s">
        <v>709</v>
      </c>
      <c r="E18" s="302" t="s">
        <v>710</v>
      </c>
      <c r="F18" s="322">
        <f>'数据-取费表'!B36</f>
        <v>1.4999999999999999E-2</v>
      </c>
      <c r="G18" s="1393"/>
      <c r="H18" s="981" t="s">
        <v>397</v>
      </c>
      <c r="I18" s="302" t="s">
        <v>721</v>
      </c>
      <c r="J18" s="21">
        <f ca="1">ROUND(J6*M18/(1+'数据-取费表'!C42),0)</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38463300</v>
      </c>
      <c r="D19" s="131" t="s">
        <v>724</v>
      </c>
      <c r="E19" s="1357"/>
      <c r="F19" s="23"/>
      <c r="G19" s="1381"/>
      <c r="H19" s="981" t="s">
        <v>399</v>
      </c>
      <c r="I19" s="302" t="s">
        <v>725</v>
      </c>
      <c r="J19" s="21">
        <f ca="1">IF(K19="按租金收入计税",ROUND(J6*M19/(1+'数据-取费表'!C42),0),ROUND(C29*M19*0.7,0))</f>
        <v>0</v>
      </c>
      <c r="K19" s="1367" t="s">
        <v>3339</v>
      </c>
      <c r="L19" s="302" t="s">
        <v>710</v>
      </c>
      <c r="M19" s="322">
        <f>IF(K19="按租金收入计税",'数据-取费表'!B51,'数据-取费表'!B50)</f>
        <v>0.12</v>
      </c>
    </row>
    <row r="20" spans="1:37" s="1394" customFormat="1" ht="18" customHeight="1">
      <c r="A20" s="981" t="s">
        <v>402</v>
      </c>
      <c r="B20" s="302" t="s">
        <v>726</v>
      </c>
      <c r="C20" s="21">
        <f ca="1">ROUND(C19*F20,0)</f>
        <v>769266</v>
      </c>
      <c r="D20" s="323" t="s">
        <v>727</v>
      </c>
      <c r="E20" s="302" t="s">
        <v>710</v>
      </c>
      <c r="F20" s="322">
        <f>'数据-取费表'!B37</f>
        <v>0.02</v>
      </c>
      <c r="G20" s="1393"/>
      <c r="H20" s="981" t="s">
        <v>678</v>
      </c>
      <c r="I20" s="155" t="s">
        <v>728</v>
      </c>
      <c r="J20" s="22">
        <f ca="1">ROUND(M20*M21,0)</f>
        <v>5245</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0</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ROUND(J14*M22,0)</f>
        <v>229764</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1353524</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ROUND(J13*M23,0)</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ROUND(J5*M24,0)</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747</v>
      </c>
      <c r="B25" s="302" t="s">
        <v>748</v>
      </c>
      <c r="C25" s="21"/>
      <c r="D25" s="131" t="s">
        <v>749</v>
      </c>
      <c r="E25" s="1357"/>
      <c r="F25" s="23"/>
      <c r="G25" s="1381"/>
      <c r="H25" s="1077" t="s">
        <v>394</v>
      </c>
      <c r="I25" s="1092" t="s">
        <v>750</v>
      </c>
      <c r="J25" s="310">
        <f ca="1">J5-J16</f>
        <v>-235009</v>
      </c>
      <c r="K25" s="1093" t="s">
        <v>751</v>
      </c>
      <c r="L25" s="1094"/>
      <c r="M25" s="1095"/>
    </row>
    <row r="26" spans="1:37" ht="18" customHeight="1">
      <c r="A26" s="981" t="s">
        <v>397</v>
      </c>
      <c r="B26" s="302" t="s">
        <v>752</v>
      </c>
      <c r="C26" s="21">
        <f ca="1">ROUND((C19+C20)*F26,0)</f>
        <v>1961628</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45952822</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569511</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ROUND(IF(AND(项目基本情况!B11="自然人",项目基本情况!B10="北京市"),C6*F31/(1+'数据-取费表'!C42),C32+C33+C34),0)</f>
        <v>285390</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IF(项目基本情况!B11="自然人","——",ROUND(C6*F32/(1+'数据-取费表'!C42),0))</f>
        <v>88046</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IF(项目基本情况!B11="自然人","——",IF(D33="按租金收入计税",ROUND(C6*F33/(1+'数据-取费表'!C42),0),IF(D33="按房产原值计税",ROUND(C29*F33*0.7,0),INDIRECT("'数据-取费表'!Aj"&amp;$G$1))))</f>
        <v>192099</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IF(项目基本情况!B11="自然人","——",ROUND(F34*F35,0))</f>
        <v>5245</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ROUND(C29*F36,0)</f>
        <v>229764</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ROUND(C13*F37,0)</f>
        <v>45953</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ROUND(C5*F38,0)</f>
        <v>8404</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1111358</v>
      </c>
      <c r="D39" s="1093" t="s">
        <v>771</v>
      </c>
      <c r="E39" s="1094"/>
      <c r="F39" s="1095"/>
      <c r="G39" s="1381"/>
      <c r="H39" s="2695"/>
      <c r="I39" s="1395"/>
      <c r="J39" s="1396"/>
      <c r="K39" s="2699"/>
      <c r="L39" s="2695"/>
      <c r="M39" s="2695"/>
    </row>
    <row r="40" spans="1:18" ht="18" customHeight="1">
      <c r="A40" s="299" t="s">
        <v>395</v>
      </c>
      <c r="B40" s="300" t="s">
        <v>772</v>
      </c>
      <c r="C40" s="301">
        <f ca="1">ROUND(C39*(1-((1+F42)/(1+F40))^F41)/(F40-F42),0)</f>
        <v>27281152</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ROUND(C40/F43,0)</f>
        <v>3144</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3355</v>
      </c>
      <c r="B45" s="1397"/>
      <c r="C45" s="1469">
        <f ca="1">ROUND((C68-C40)/10000,4)</f>
        <v>-3230.4771000000001</v>
      </c>
      <c r="D45" s="3427" t="s">
        <v>3356</v>
      </c>
      <c r="E45" s="1397"/>
      <c r="F45" s="1397"/>
      <c r="O45" s="1400" t="s">
        <v>806</v>
      </c>
      <c r="P45" s="1458"/>
      <c r="Q45" s="1458"/>
      <c r="R45" s="1458"/>
    </row>
    <row r="46" spans="1:18" s="1381" customFormat="1" ht="13.5" thickBot="1">
      <c r="A46" s="1401" t="s">
        <v>807</v>
      </c>
      <c r="C46" s="1402">
        <f ca="1">ROUND(C45,0)</f>
        <v>-3230</v>
      </c>
      <c r="D46" s="1403" t="str">
        <f>C2</f>
        <v>万元</v>
      </c>
      <c r="I46" s="1404" t="s">
        <v>808</v>
      </c>
      <c r="J46" s="1405"/>
      <c r="K46" s="1406"/>
      <c r="L46" s="1407">
        <f ca="1">IF(M47="住宅",0,IF(L48&gt;J51,L60,J60))</f>
        <v>660059</v>
      </c>
      <c r="O46" s="1408" t="s">
        <v>809</v>
      </c>
      <c r="P46" s="1409" t="s">
        <v>810</v>
      </c>
      <c r="Q46" s="1410" t="s">
        <v>811</v>
      </c>
      <c r="R46" s="1410" t="s">
        <v>812</v>
      </c>
    </row>
    <row r="47" spans="1:18" s="1381" customFormat="1" ht="13.5" thickBot="1">
      <c r="A47" s="945" t="s">
        <v>685</v>
      </c>
      <c r="B47" s="977" t="s">
        <v>686</v>
      </c>
      <c r="C47" s="977" t="s">
        <v>687</v>
      </c>
      <c r="D47" s="977" t="s">
        <v>688</v>
      </c>
      <c r="E47" s="1056" t="s">
        <v>689</v>
      </c>
      <c r="F47" s="1057"/>
      <c r="G47" s="721"/>
      <c r="I47" s="1411" t="s">
        <v>813</v>
      </c>
      <c r="J47" s="1412" t="s">
        <v>3400</v>
      </c>
      <c r="K47" s="1413" t="s">
        <v>814</v>
      </c>
      <c r="L47" s="1414">
        <f ca="1">INDIRECT("'数据-取费表'!d"&amp;$G$1)</f>
        <v>50</v>
      </c>
      <c r="M47" s="1377" t="str">
        <f>IF(ISNUMBER(FIND("住宅",C1)),"住宅","非住宅")</f>
        <v>非住宅</v>
      </c>
      <c r="O47" s="1415" t="s">
        <v>403</v>
      </c>
      <c r="P47" s="1416" t="s">
        <v>815</v>
      </c>
      <c r="Q47" s="1417">
        <f ca="1">C40+J29</f>
        <v>27281152</v>
      </c>
      <c r="R47" s="1417" t="s">
        <v>816</v>
      </c>
    </row>
    <row r="48" spans="1:18" s="1381" customFormat="1" ht="28.5" thickBot="1">
      <c r="A48" s="1108" t="s">
        <v>438</v>
      </c>
      <c r="B48" s="300" t="s">
        <v>690</v>
      </c>
      <c r="C48" s="1356">
        <f ca="1">C49+C53+C55</f>
        <v>0</v>
      </c>
      <c r="D48" s="1110"/>
      <c r="E48" s="1111"/>
      <c r="F48" s="961"/>
      <c r="G48" s="721"/>
      <c r="H48" s="722"/>
      <c r="I48" s="1418" t="s">
        <v>817</v>
      </c>
      <c r="J48" s="1419" t="s">
        <v>3401</v>
      </c>
      <c r="K48" s="1420" t="s">
        <v>818</v>
      </c>
      <c r="L48" s="1421">
        <f ca="1">INDIRECT("'数据-取费表'!f"&amp;$G$1)</f>
        <v>46</v>
      </c>
      <c r="O48" s="1415" t="s">
        <v>404</v>
      </c>
      <c r="P48" s="1416" t="s">
        <v>819</v>
      </c>
      <c r="Q48" s="1417">
        <f ca="1">J60</f>
        <v>660059</v>
      </c>
      <c r="R48" s="1417" t="s">
        <v>820</v>
      </c>
    </row>
    <row r="49" spans="1:18" s="1381" customFormat="1" ht="13.5" thickBot="1">
      <c r="A49" s="974" t="s">
        <v>439</v>
      </c>
      <c r="B49" s="1368" t="s">
        <v>777</v>
      </c>
      <c r="C49" s="1112">
        <f ca="1">ROUND(F49*F51*F50*(1-F52),0)</f>
        <v>0</v>
      </c>
      <c r="D49" s="1053" t="s">
        <v>693</v>
      </c>
      <c r="E49" s="1369" t="s">
        <v>778</v>
      </c>
      <c r="F49" s="1058"/>
      <c r="G49" s="1422"/>
      <c r="H49" s="722"/>
      <c r="I49" s="1418" t="s">
        <v>821</v>
      </c>
      <c r="J49" s="1423">
        <v>2023</v>
      </c>
      <c r="K49" s="1420" t="s">
        <v>822</v>
      </c>
      <c r="L49" s="1424"/>
      <c r="O49" s="1425" t="s">
        <v>405</v>
      </c>
      <c r="P49" s="1416" t="s">
        <v>823</v>
      </c>
      <c r="Q49" s="1417">
        <f ca="1">C29</f>
        <v>45952822</v>
      </c>
      <c r="R49" s="1417" t="s">
        <v>816</v>
      </c>
    </row>
    <row r="50" spans="1:18" s="1381" customFormat="1" ht="13.5" thickBot="1">
      <c r="A50" s="975"/>
      <c r="B50" s="978"/>
      <c r="C50" s="979"/>
      <c r="D50" s="952"/>
      <c r="E50" s="1054" t="s">
        <v>695</v>
      </c>
      <c r="F50" s="1055">
        <f ca="1">F7</f>
        <v>1</v>
      </c>
      <c r="H50" s="722"/>
      <c r="I50" s="1418" t="s">
        <v>824</v>
      </c>
      <c r="J50" s="1426">
        <f>SUMPRODUCT((I63:I65=J47)*(J62:L62=J48)*(J63:L65))</f>
        <v>60</v>
      </c>
      <c r="K50" s="1420" t="s">
        <v>825</v>
      </c>
      <c r="L50" s="1424"/>
      <c r="M50" s="1427"/>
      <c r="O50" s="1425" t="s">
        <v>406</v>
      </c>
      <c r="P50" s="1416" t="s">
        <v>826</v>
      </c>
      <c r="Q50" s="1428">
        <f ca="1">J58</f>
        <v>0.4</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-43450044</v>
      </c>
      <c r="M51" s="1433"/>
      <c r="O51" s="1425" t="s">
        <v>407</v>
      </c>
      <c r="P51" s="1416" t="s">
        <v>829</v>
      </c>
      <c r="Q51" s="1428">
        <f>J52</f>
        <v>7.4999999999999997E-2</v>
      </c>
      <c r="R51" s="1417"/>
    </row>
    <row r="52" spans="1:18" s="1381" customFormat="1" ht="13.5" thickBot="1">
      <c r="A52" s="976"/>
      <c r="B52" s="978"/>
      <c r="C52" s="979"/>
      <c r="D52" s="952"/>
      <c r="E52" s="980" t="s">
        <v>697</v>
      </c>
      <c r="F52" s="1052"/>
      <c r="I52" s="1434" t="s">
        <v>830</v>
      </c>
      <c r="J52" s="1435">
        <v>7.4999999999999997E-2</v>
      </c>
      <c r="K52" s="1434" t="s">
        <v>831</v>
      </c>
      <c r="L52" s="1435"/>
      <c r="O52" s="1425" t="s">
        <v>408</v>
      </c>
      <c r="P52" s="1416" t="s">
        <v>832</v>
      </c>
      <c r="Q52" s="1417">
        <f ca="1">J53</f>
        <v>46</v>
      </c>
      <c r="R52" s="1417" t="s">
        <v>833</v>
      </c>
    </row>
    <row r="53" spans="1:18" s="1381" customFormat="1" ht="30.75" customHeight="1" thickBot="1">
      <c r="A53" s="1109" t="s">
        <v>440</v>
      </c>
      <c r="B53" s="323" t="s">
        <v>698</v>
      </c>
      <c r="C53" s="316">
        <f ca="1">ROUND(IF(F53="押一",C49/12*F11,IF(F53="押二",C49/12*2*F11,IF(F53="押三",C49/12*3*F11,C54*F11))),0)</f>
        <v>0</v>
      </c>
      <c r="D53" s="1363" t="s">
        <v>2116</v>
      </c>
      <c r="E53" s="313" t="s">
        <v>699</v>
      </c>
      <c r="F53" s="1114"/>
      <c r="I53" s="1436" t="s">
        <v>834</v>
      </c>
      <c r="J53" s="2163">
        <f ca="1">IF(M47="住宅",IF(D1="——",MAX(J51,L48),MAX(J51,L48-'数据-取费表'!B24)),IF(D1="——",MIN(J51,L48),MIN(J51,L48-'数据-取费表'!B24)))</f>
        <v>46</v>
      </c>
      <c r="K53" s="3742" t="s">
        <v>835</v>
      </c>
      <c r="L53" s="3743"/>
      <c r="O53" s="1415" t="s">
        <v>409</v>
      </c>
      <c r="P53" s="1416" t="s">
        <v>836</v>
      </c>
      <c r="Q53" s="1417">
        <f ca="1">Q47+Q48</f>
        <v>27941211</v>
      </c>
      <c r="R53" s="1417" t="s">
        <v>410</v>
      </c>
    </row>
    <row r="54" spans="1:18" s="1381" customFormat="1" ht="13.5" thickBot="1">
      <c r="A54" s="974"/>
      <c r="B54" s="1470" t="s">
        <v>889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f ca="1">ROUND(IF(J47="钢混",J57/J50,1-(1-2%)*(J50-J57)/J50),3)</f>
        <v>0.23300000000000001</v>
      </c>
      <c r="K55" s="1442" t="s">
        <v>839</v>
      </c>
      <c r="L55" s="1443"/>
      <c r="O55" s="1408" t="s">
        <v>809</v>
      </c>
      <c r="P55" s="1409" t="s">
        <v>810</v>
      </c>
      <c r="Q55" s="1410" t="s">
        <v>811</v>
      </c>
      <c r="R55" s="1410" t="s">
        <v>812</v>
      </c>
    </row>
    <row r="56" spans="1:18" s="1381" customFormat="1" ht="36" customHeight="1" thickTop="1" thickBot="1">
      <c r="A56" s="956">
        <v>2</v>
      </c>
      <c r="B56" s="957" t="s">
        <v>702</v>
      </c>
      <c r="C56" s="232">
        <f ca="1">C13</f>
        <v>45952822</v>
      </c>
      <c r="D56" s="1444"/>
      <c r="E56" s="1445"/>
      <c r="F56" s="1437"/>
      <c r="I56" s="1446" t="s">
        <v>840</v>
      </c>
      <c r="J56" s="1447" t="s">
        <v>3402</v>
      </c>
      <c r="K56" s="1418" t="s">
        <v>841</v>
      </c>
      <c r="L56" s="1421" t="str">
        <f ca="1">IF(L48&lt;J51,"——",L48-J51)</f>
        <v>——</v>
      </c>
      <c r="O56" s="1415" t="s">
        <v>403</v>
      </c>
      <c r="P56" s="1416" t="s">
        <v>815</v>
      </c>
      <c r="Q56" s="1417">
        <f ca="1">C40+J29</f>
        <v>27281152</v>
      </c>
      <c r="R56" s="1417" t="s">
        <v>816</v>
      </c>
    </row>
    <row r="57" spans="1:18" s="1381" customFormat="1" ht="24.75" thickBot="1">
      <c r="A57" s="1448"/>
      <c r="B57" s="949" t="s">
        <v>765</v>
      </c>
      <c r="C57" s="238">
        <f ca="1">C29</f>
        <v>45952822</v>
      </c>
      <c r="D57" s="1449"/>
      <c r="E57" s="1450"/>
      <c r="F57" s="1451"/>
      <c r="I57" s="1452" t="s">
        <v>842</v>
      </c>
      <c r="J57" s="1453">
        <f ca="1">IF(OR(M47="住宅",J51&lt;L48,J56="是"),"——",J51-L48)</f>
        <v>14</v>
      </c>
      <c r="K57" s="1418" t="s">
        <v>890</v>
      </c>
      <c r="L57" s="1421" t="str">
        <f ca="1">IF(L48&lt;J51,"——",IF(L55="比较法",L49,IF(L55="基准地价",L50,L51)))</f>
        <v>——</v>
      </c>
      <c r="O57" s="1415" t="s">
        <v>404</v>
      </c>
      <c r="P57" s="1416" t="s">
        <v>891</v>
      </c>
      <c r="Q57" s="1417">
        <f ca="1">L60</f>
        <v>0</v>
      </c>
      <c r="R57" s="1417" t="s">
        <v>892</v>
      </c>
    </row>
    <row r="58" spans="1:18" s="1381" customFormat="1" ht="24.75" thickBot="1">
      <c r="A58" s="315" t="s">
        <v>393</v>
      </c>
      <c r="B58" s="957" t="s">
        <v>712</v>
      </c>
      <c r="C58" s="316">
        <f ca="1">ROUND(C59+C64+C65+C66,0)</f>
        <v>280962</v>
      </c>
      <c r="D58" s="959" t="s">
        <v>713</v>
      </c>
      <c r="E58" s="960"/>
      <c r="F58" s="961"/>
      <c r="I58" s="1452" t="s">
        <v>846</v>
      </c>
      <c r="J58" s="1454">
        <f ca="1">IF(J55&lt;0.4,0.4,J55)</f>
        <v>0.4</v>
      </c>
      <c r="K58" s="1431" t="s">
        <v>893</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5245</v>
      </c>
      <c r="D59" s="962" t="s">
        <v>718</v>
      </c>
      <c r="E59" s="963" t="s">
        <v>719</v>
      </c>
      <c r="F59" s="2310" t="str">
        <f>IF(项目基本情况!B11="企业","——",IF('数据-取费表'!B10="住宅",IF(F49*F50*F51/12/(1+'数据-取费表'!F30)&gt;100000,4%,2.5%),IF(F49*F50*F51/12/(1+'数据-取费表'!F30)&gt;100000,12%,7%)))</f>
        <v>——</v>
      </c>
      <c r="I59" s="1452" t="s">
        <v>849</v>
      </c>
      <c r="J59" s="1453">
        <f ca="1">IF(OR(M47="住宅",J51&lt;L48,J56="是"),"——",ROUND(C29*J58,0))</f>
        <v>18381129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IF(项目基本情况!B11="自然人","——",ROUND(C48*F60/(1+'数据-取费表'!C42),0))</f>
        <v>0</v>
      </c>
      <c r="D60" s="963" t="s">
        <v>722</v>
      </c>
      <c r="E60" s="949" t="s">
        <v>710</v>
      </c>
      <c r="F60" s="331">
        <f t="shared" ref="F60:F66" si="0">F32</f>
        <v>5.5000000000000007E-2</v>
      </c>
      <c r="I60" s="1455" t="s">
        <v>851</v>
      </c>
      <c r="J60" s="1456">
        <f ca="1">IF(OR(M47="住宅",J51&lt;L48,J56="是"),"0",ROUND(J59/(1+J52)^J53,0))</f>
        <v>660059</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IF(项目基本情况!B11="自然人","——",IF(D61="按租金收入计税",ROUND(C49*F61/(1+'数据-取费表'!C42),0),IF(D61="按房产原值计税",ROUND(C57*F61*0.7,0),INDIRECT("'数据-取费表'!Aj"&amp;$G$1))))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IF(项目基本情况!B11="自然人","——",ROUND(F62*F63,0))</f>
        <v>5245</v>
      </c>
      <c r="D62" s="964" t="s">
        <v>784</v>
      </c>
      <c r="E62" s="949" t="s">
        <v>785</v>
      </c>
      <c r="F62" s="325">
        <f t="shared" si="0"/>
        <v>1.5</v>
      </c>
      <c r="I62" s="1459" t="s">
        <v>856</v>
      </c>
      <c r="J62" s="1460" t="s">
        <v>857</v>
      </c>
      <c r="K62" s="1460" t="s">
        <v>858</v>
      </c>
      <c r="L62" s="1460" t="s">
        <v>859</v>
      </c>
      <c r="M62" s="1461" t="s">
        <v>860</v>
      </c>
      <c r="O62" s="1415" t="s">
        <v>409</v>
      </c>
      <c r="P62" s="1416" t="s">
        <v>861</v>
      </c>
      <c r="Q62" s="1417">
        <f ca="1">Q56+Q57</f>
        <v>27281152</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ROUND(C57*F64,0)</f>
        <v>229764</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ROUND(C56*F65,0)</f>
        <v>45953</v>
      </c>
      <c r="D65" s="963" t="s">
        <v>741</v>
      </c>
      <c r="E65" s="949" t="s">
        <v>742</v>
      </c>
      <c r="F65" s="330">
        <f t="shared" ca="1" si="0"/>
        <v>1E-3</v>
      </c>
      <c r="I65" s="1459" t="s">
        <v>865</v>
      </c>
      <c r="J65" s="1460">
        <v>40</v>
      </c>
      <c r="K65" s="1460">
        <v>30</v>
      </c>
      <c r="L65" s="1460">
        <v>50</v>
      </c>
      <c r="M65" s="1462">
        <v>0.02</v>
      </c>
      <c r="O65" s="1415" t="s">
        <v>403</v>
      </c>
      <c r="P65" s="1416" t="s">
        <v>866</v>
      </c>
      <c r="Q65" s="1417">
        <f ca="1">C40+J29</f>
        <v>27281152</v>
      </c>
      <c r="R65" s="1417" t="s">
        <v>816</v>
      </c>
    </row>
    <row r="66" spans="1:18" s="1381" customFormat="1" ht="16.5" thickBot="1">
      <c r="A66" s="981" t="s">
        <v>791</v>
      </c>
      <c r="B66" s="949" t="s">
        <v>726</v>
      </c>
      <c r="C66" s="21">
        <f ca="1">ROUND(C48*F66,0)</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-280962</v>
      </c>
      <c r="D67" s="962" t="s">
        <v>751</v>
      </c>
      <c r="E67" s="967"/>
      <c r="F67" s="968"/>
      <c r="O67" s="1425" t="s">
        <v>405</v>
      </c>
      <c r="P67" s="1416" t="s">
        <v>848</v>
      </c>
      <c r="Q67" s="1463">
        <f ca="1">L51</f>
        <v>-43450044</v>
      </c>
      <c r="R67" s="1417" t="s">
        <v>868</v>
      </c>
    </row>
    <row r="68" spans="1:18" s="1381" customFormat="1" ht="16.5" thickBot="1">
      <c r="A68" s="946" t="s">
        <v>395</v>
      </c>
      <c r="B68" s="947" t="s">
        <v>772</v>
      </c>
      <c r="C68" s="301">
        <f ca="1">ROUND(C67*(1-((1+F70)/(1+F68))^F69)/(F68-F70),0)</f>
        <v>-5023619</v>
      </c>
      <c r="D68" s="964" t="s">
        <v>756</v>
      </c>
      <c r="E68" s="949" t="s">
        <v>757</v>
      </c>
      <c r="F68" s="312">
        <f ca="1">F40</f>
        <v>0.05</v>
      </c>
      <c r="O68" s="1425" t="s">
        <v>406</v>
      </c>
      <c r="P68" s="1464" t="s">
        <v>869</v>
      </c>
      <c r="Q68" s="1417">
        <f ca="1">ROUND(Q69-Q70*Q71,0)</f>
        <v>-2105340</v>
      </c>
      <c r="R68" s="1417" t="s">
        <v>414</v>
      </c>
    </row>
    <row r="69" spans="1:18" s="1381" customFormat="1" ht="13.5" thickBot="1">
      <c r="A69" s="950"/>
      <c r="B69" s="951"/>
      <c r="C69" s="306"/>
      <c r="D69" s="969" t="s">
        <v>760</v>
      </c>
      <c r="E69" s="949" t="s">
        <v>761</v>
      </c>
      <c r="F69" s="333">
        <f ca="1">F41</f>
        <v>46</v>
      </c>
      <c r="O69" s="1425" t="s">
        <v>411</v>
      </c>
      <c r="P69" s="1464" t="s">
        <v>870</v>
      </c>
      <c r="Q69" s="1417">
        <f ca="1">C39</f>
        <v>1111358</v>
      </c>
      <c r="R69" s="1417" t="s">
        <v>816</v>
      </c>
    </row>
    <row r="70" spans="1:18" s="1381" customFormat="1" ht="13.5" thickBot="1">
      <c r="A70" s="953"/>
      <c r="B70" s="954"/>
      <c r="C70" s="310"/>
      <c r="D70" s="965"/>
      <c r="E70" s="949" t="s">
        <v>764</v>
      </c>
      <c r="F70" s="1052"/>
      <c r="O70" s="1425" t="s">
        <v>412</v>
      </c>
      <c r="P70" s="1464" t="s">
        <v>871</v>
      </c>
      <c r="Q70" s="1417">
        <f ca="1">C13</f>
        <v>45952822</v>
      </c>
      <c r="R70" s="1417" t="s">
        <v>816</v>
      </c>
    </row>
    <row r="71" spans="1:18" s="1381" customFormat="1" ht="13.5" thickBot="1">
      <c r="A71" s="970" t="s">
        <v>396</v>
      </c>
      <c r="B71" s="971" t="s">
        <v>774</v>
      </c>
      <c r="C71" s="336">
        <f ca="1">ROUND(C68/F71,0)</f>
        <v>-579</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3216698</v>
      </c>
      <c r="D75" s="1381"/>
      <c r="E75" s="1381"/>
      <c r="F75" s="1381"/>
      <c r="K75" s="1399"/>
      <c r="L75" s="1381"/>
      <c r="O75" s="1415" t="s">
        <v>409</v>
      </c>
      <c r="P75" s="1416" t="s">
        <v>836</v>
      </c>
      <c r="Q75" s="1417">
        <f ca="1">Q65+Q66</f>
        <v>27281152</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-1.8940000000000001</v>
      </c>
    </row>
    <row r="80" spans="1:18">
      <c r="B80" s="340" t="s">
        <v>798</v>
      </c>
      <c r="C80" s="274">
        <f ca="1">ROUND(C75/C39,3)</f>
        <v>2.8940000000000001</v>
      </c>
    </row>
    <row r="81" spans="2:3">
      <c r="B81" s="270" t="s">
        <v>799</v>
      </c>
      <c r="C81" s="238"/>
    </row>
    <row r="82" spans="2:3">
      <c r="B82" s="273" t="s">
        <v>800</v>
      </c>
      <c r="C82" s="275">
        <f ca="1">1-C83</f>
        <v>-0.68399999999999994</v>
      </c>
    </row>
    <row r="83" spans="2:3">
      <c r="B83" s="273" t="s">
        <v>801</v>
      </c>
      <c r="C83" s="274">
        <f ca="1">ROUND(C13/C40,3)</f>
        <v>1.6839999999999999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2" t="s">
        <v>2316</v>
      </c>
      <c r="B2" s="2838" t="e">
        <f>IF(D2="——",C40,C40+E2)</f>
        <v>#DIV/0!</v>
      </c>
      <c r="C2" s="2839" t="s">
        <v>2317</v>
      </c>
      <c r="D2" s="3438" t="s">
        <v>3361</v>
      </c>
      <c r="E2" s="3439"/>
      <c r="F2" s="2841"/>
      <c r="G2" s="2842"/>
      <c r="H2" s="2843"/>
      <c r="I2" s="2844"/>
      <c r="J2" s="3760" t="s">
        <v>2318</v>
      </c>
      <c r="K2" s="3761"/>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762" t="s">
        <v>2328</v>
      </c>
      <c r="K3" s="3763"/>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762" t="s">
        <v>2330</v>
      </c>
      <c r="K4" s="3763"/>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768" t="s">
        <v>2334</v>
      </c>
      <c r="B6" s="3769"/>
      <c r="C6" s="3770"/>
      <c r="D6" s="2865"/>
      <c r="E6" s="2866"/>
      <c r="F6" s="2867"/>
      <c r="G6" s="2868"/>
      <c r="H6" s="2843"/>
      <c r="I6" s="2844"/>
      <c r="J6" s="3754">
        <v>1</v>
      </c>
      <c r="K6" s="3755"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754"/>
      <c r="K7" s="3756"/>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771" t="s">
        <v>2348</v>
      </c>
      <c r="C8" s="3772"/>
      <c r="D8" s="2884" t="s">
        <v>2349</v>
      </c>
      <c r="E8" s="2885" t="s">
        <v>2350</v>
      </c>
      <c r="F8" s="2886" t="s">
        <v>2351</v>
      </c>
      <c r="G8" s="2887"/>
      <c r="H8" s="2843"/>
      <c r="I8" s="2844"/>
      <c r="J8" s="3754"/>
      <c r="K8" s="3756"/>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771" t="s">
        <v>2354</v>
      </c>
      <c r="C9" s="3772"/>
      <c r="D9" s="2884">
        <f>ROUND(D6*E9,0)</f>
        <v>0</v>
      </c>
      <c r="E9" s="2888"/>
      <c r="F9" s="2889" t="s">
        <v>2355</v>
      </c>
      <c r="G9" s="2868"/>
      <c r="H9" s="2843"/>
      <c r="I9" s="2844"/>
      <c r="J9" s="3754"/>
      <c r="K9" s="3756"/>
      <c r="L9" s="2878" t="s">
        <v>2356</v>
      </c>
      <c r="M9" s="2879"/>
      <c r="N9" s="2855"/>
      <c r="O9" s="2880"/>
      <c r="P9" s="2880"/>
      <c r="Q9" s="2881">
        <v>365</v>
      </c>
      <c r="R9" s="2882">
        <f t="shared" si="0"/>
        <v>0</v>
      </c>
      <c r="S9" s="2836"/>
      <c r="T9" s="2836"/>
      <c r="U9" s="2836"/>
      <c r="V9" s="2844"/>
    </row>
    <row r="10" spans="1:22" s="2848" customFormat="1" ht="13.15" customHeight="1">
      <c r="A10" s="2883">
        <v>2</v>
      </c>
      <c r="B10" s="3771" t="s">
        <v>2357</v>
      </c>
      <c r="C10" s="3772"/>
      <c r="D10" s="2884">
        <f>ROUND(D6*E10,0)</f>
        <v>0</v>
      </c>
      <c r="E10" s="2888"/>
      <c r="F10" s="2889" t="s">
        <v>2358</v>
      </c>
      <c r="G10" s="2868"/>
      <c r="H10" s="2843"/>
      <c r="I10" s="2844"/>
      <c r="J10" s="3754"/>
      <c r="K10" s="3756"/>
      <c r="L10" s="2878" t="s">
        <v>2359</v>
      </c>
      <c r="M10" s="2879"/>
      <c r="N10" s="2855"/>
      <c r="O10" s="2880"/>
      <c r="P10" s="2880"/>
      <c r="Q10" s="2881">
        <v>365</v>
      </c>
      <c r="R10" s="2882">
        <f t="shared" si="0"/>
        <v>0</v>
      </c>
      <c r="S10" s="2836"/>
      <c r="T10" s="2836"/>
      <c r="U10" s="2836"/>
      <c r="V10" s="2844"/>
    </row>
    <row r="11" spans="1:22" s="2848" customFormat="1" ht="13.15" customHeight="1">
      <c r="A11" s="2883">
        <v>3</v>
      </c>
      <c r="B11" s="3771" t="s">
        <v>2360</v>
      </c>
      <c r="C11" s="3772"/>
      <c r="D11" s="2884">
        <f>D12+D14+D15+D16</f>
        <v>0</v>
      </c>
      <c r="E11" s="2890" t="e">
        <f>D11/D6</f>
        <v>#DIV/0!</v>
      </c>
      <c r="F11" s="2886"/>
      <c r="G11" s="2887"/>
      <c r="H11" s="2843"/>
      <c r="I11" s="2844"/>
      <c r="J11" s="3754"/>
      <c r="K11" s="3756"/>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764" t="s">
        <v>2363</v>
      </c>
      <c r="C12" s="3765"/>
      <c r="D12" s="2892">
        <f>ROUND(D13*1.2%*(1-30%),0)</f>
        <v>0</v>
      </c>
      <c r="E12" s="2893">
        <v>1.2E-2</v>
      </c>
      <c r="F12" s="2886" t="s">
        <v>2364</v>
      </c>
      <c r="G12" s="2887"/>
      <c r="H12" s="2843"/>
      <c r="I12" s="2844"/>
      <c r="J12" s="3754"/>
      <c r="K12" s="3756"/>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754"/>
      <c r="K13" s="3756"/>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764" t="s">
        <v>2369</v>
      </c>
      <c r="C14" s="3765"/>
      <c r="D14" s="2892">
        <f>ROUND(E14*B5/10000,0)</f>
        <v>0</v>
      </c>
      <c r="E14" s="2881"/>
      <c r="F14" s="2886" t="s">
        <v>2370</v>
      </c>
      <c r="G14" s="2887"/>
      <c r="H14" s="2843"/>
      <c r="I14" s="2844"/>
      <c r="J14" s="3754"/>
      <c r="K14" s="3757"/>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764" t="s">
        <v>2373</v>
      </c>
      <c r="C15" s="3765"/>
      <c r="D15" s="2892">
        <f>ROUND(D6*E15,0)</f>
        <v>0</v>
      </c>
      <c r="E15" s="2893">
        <v>5.5E-2</v>
      </c>
      <c r="F15" s="2886" t="s">
        <v>2374</v>
      </c>
      <c r="G15" s="2868"/>
      <c r="H15" s="2843"/>
      <c r="I15" s="2844"/>
      <c r="J15" s="3754">
        <v>2</v>
      </c>
      <c r="K15" s="3755"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764" t="s">
        <v>2382</v>
      </c>
      <c r="C16" s="3765"/>
      <c r="D16" s="2903">
        <f>D6*E16</f>
        <v>0</v>
      </c>
      <c r="E16" s="2904"/>
      <c r="F16" s="2889" t="s">
        <v>2383</v>
      </c>
      <c r="G16" s="2868"/>
      <c r="H16" s="2843"/>
      <c r="I16" s="2844"/>
      <c r="J16" s="3754"/>
      <c r="K16" s="3756"/>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766" t="s">
        <v>2385</v>
      </c>
      <c r="C17" s="3767"/>
      <c r="D17" s="2906">
        <f>ROUND(D6*E17,0)</f>
        <v>0</v>
      </c>
      <c r="E17" s="2907"/>
      <c r="F17" s="2908" t="s">
        <v>2386</v>
      </c>
      <c r="G17" s="2868"/>
      <c r="H17" s="2843"/>
      <c r="I17" s="2844"/>
      <c r="J17" s="3754"/>
      <c r="K17" s="3756"/>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754"/>
      <c r="K18" s="3756"/>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754"/>
      <c r="K19" s="3757"/>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54">
        <v>3</v>
      </c>
      <c r="K20" s="3755"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754"/>
      <c r="K21" s="3756"/>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754"/>
      <c r="K22" s="3756"/>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754"/>
      <c r="K23" s="3756"/>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754"/>
      <c r="K24" s="3757"/>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758">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759"/>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760" t="s">
        <v>2318</v>
      </c>
      <c r="K32" s="3761"/>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762" t="s">
        <v>2328</v>
      </c>
      <c r="K33" s="3763"/>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762" t="s">
        <v>2330</v>
      </c>
      <c r="K34" s="3763"/>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754">
        <v>1</v>
      </c>
      <c r="K36" s="3755"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754"/>
      <c r="K37" s="3756"/>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54"/>
      <c r="K38" s="3756"/>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754"/>
      <c r="K39" s="3756"/>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754"/>
      <c r="K40" s="3757"/>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758">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759"/>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2"/>
      <c r="G1" s="1486"/>
      <c r="H1" s="1486"/>
      <c r="I1" s="1486"/>
      <c r="J1" s="1486"/>
      <c r="K1" s="1486"/>
      <c r="L1" s="1486"/>
      <c r="M1" s="1486"/>
      <c r="N1" s="1486"/>
      <c r="O1" s="1486"/>
      <c r="P1" s="1486"/>
      <c r="Q1" s="1486"/>
      <c r="R1" s="1486"/>
      <c r="S1" s="1486"/>
    </row>
    <row r="2" spans="1:22" ht="15.75">
      <c r="A2" s="1867" t="s">
        <v>1460</v>
      </c>
      <c r="B2" s="1868">
        <f ca="1">SUMIF(B6:B13,"&lt;&gt;#ref!",B6:B13)</f>
        <v>2725</v>
      </c>
      <c r="C2" s="1869" t="s">
        <v>1649</v>
      </c>
      <c r="D2" s="1870" t="s">
        <v>1650</v>
      </c>
      <c r="E2" s="2602">
        <f>SUM(E6:E13)</f>
        <v>10240.530000000001</v>
      </c>
      <c r="F2" s="2702"/>
      <c r="G2" s="1486"/>
      <c r="H2" s="1486"/>
      <c r="I2" s="1486"/>
      <c r="J2" s="1486"/>
      <c r="K2" s="1486"/>
      <c r="L2" s="1486"/>
      <c r="M2" s="1486"/>
      <c r="N2" s="1486"/>
      <c r="O2" s="1486"/>
      <c r="P2" s="1486"/>
      <c r="Q2" s="1486"/>
      <c r="R2" s="1486"/>
      <c r="S2" s="1486"/>
    </row>
    <row r="3" spans="1:22" ht="15.75">
      <c r="A3" s="1867" t="s">
        <v>684</v>
      </c>
      <c r="B3" s="2596">
        <f ca="1">ROUND(B2*10000/E2,0)</f>
        <v>2661</v>
      </c>
      <c r="C3" s="1869" t="s">
        <v>1657</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1651</v>
      </c>
      <c r="B5" s="3773" t="s">
        <v>1652</v>
      </c>
      <c r="C5" s="3774"/>
      <c r="D5" s="2703"/>
      <c r="E5" s="1871" t="s">
        <v>1653</v>
      </c>
      <c r="F5" s="1872" t="s">
        <v>1654</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1649</v>
      </c>
      <c r="D6" s="2704"/>
      <c r="E6" s="2601">
        <f>IF(OR(A6=0,F6="否"),0,'数据-取费表'!K6+'数据-取费表'!S6)</f>
        <v>0</v>
      </c>
      <c r="F6" s="1873" t="s">
        <v>1655</v>
      </c>
      <c r="G6" s="1486"/>
      <c r="H6" s="1486"/>
      <c r="I6" s="1486"/>
      <c r="J6" s="1486"/>
      <c r="K6" s="1486"/>
      <c r="L6" s="1486"/>
      <c r="M6" s="1486"/>
      <c r="N6" s="1486"/>
      <c r="O6" s="1486"/>
      <c r="P6" s="1486"/>
      <c r="Q6" s="1486"/>
      <c r="R6" s="1486"/>
      <c r="S6" s="1486"/>
    </row>
    <row r="7" spans="1:22">
      <c r="A7" s="2599" t="str">
        <f>'数据-取费表'!AN7</f>
        <v>收益法</v>
      </c>
      <c r="B7" s="2597">
        <f ca="1">IF(F7="是",'数据-取费表'!AO7,0)</f>
        <v>2725</v>
      </c>
      <c r="C7" s="1869" t="s">
        <v>1649</v>
      </c>
      <c r="D7" s="2704"/>
      <c r="E7" s="2601">
        <f>IF(OR(A7=0,F7="否"),0,'数据-取费表'!K7+'数据-取费表'!S7)</f>
        <v>10240.530000000001</v>
      </c>
      <c r="F7" s="1873" t="s">
        <v>1655</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1649</v>
      </c>
      <c r="D8" s="2704"/>
      <c r="E8" s="2601">
        <f>IF(OR(A8=0,F8="否"),0,'数据-取费表'!K8+'数据-取费表'!S8)</f>
        <v>0</v>
      </c>
      <c r="F8" s="1873" t="s">
        <v>1655</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1649</v>
      </c>
      <c r="D9" s="2704"/>
      <c r="E9" s="2601">
        <f>IF(OR(A9=0,F9="否"),0,'数据-取费表'!K9+'数据-取费表'!S9)</f>
        <v>0</v>
      </c>
      <c r="F9" s="1873" t="s">
        <v>1655</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1649</v>
      </c>
      <c r="D10" s="2704"/>
      <c r="E10" s="2601">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1649</v>
      </c>
      <c r="D11" s="2704"/>
      <c r="E11" s="2601">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1649</v>
      </c>
      <c r="D12" s="2704"/>
      <c r="E12" s="2601">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1649</v>
      </c>
      <c r="D13" s="2705"/>
      <c r="E13" s="2601">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1"/>
      <c r="F1" s="1876"/>
      <c r="G1" s="1232" t="s">
        <v>1765</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1462</v>
      </c>
      <c r="B3" s="558">
        <f>IF(C2="——",C49,ROUND(B2*10000/D3,0))</f>
        <v>0</v>
      </c>
      <c r="C3" s="354" t="s">
        <v>1766</v>
      </c>
      <c r="D3" s="353">
        <f>IF(D1="",'数据-汇总表'!E3,SUMIF('数据-汇总表'!$C19:$C33,D1,'数据-汇总表'!$E19:$E33))</f>
        <v>50816.34</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0" t="s">
        <v>1770</v>
      </c>
      <c r="AC4" s="3701" t="s">
        <v>1771</v>
      </c>
    </row>
    <row r="5" spans="1:29" ht="15">
      <c r="A5" s="358"/>
      <c r="B5" s="359"/>
      <c r="C5" s="3721" t="s">
        <v>1671</v>
      </c>
      <c r="D5" s="3722"/>
      <c r="E5" s="3728" t="s">
        <v>1672</v>
      </c>
      <c r="F5" s="3729"/>
      <c r="G5" s="3721" t="s">
        <v>1673</v>
      </c>
      <c r="H5" s="3722"/>
      <c r="I5" s="3721" t="s">
        <v>1674</v>
      </c>
      <c r="J5" s="3722"/>
      <c r="K5" s="559"/>
      <c r="L5" s="2710"/>
      <c r="M5" s="2711"/>
      <c r="N5" s="2711"/>
      <c r="O5" s="2711"/>
      <c r="P5" s="3709"/>
      <c r="Q5" s="3710"/>
      <c r="R5" s="3715"/>
      <c r="S5" s="3716"/>
      <c r="T5" s="3715"/>
      <c r="U5" s="3716"/>
      <c r="V5" s="3700"/>
      <c r="W5" s="3700"/>
      <c r="X5" s="1352"/>
      <c r="Y5" s="3715"/>
      <c r="Z5" s="3716"/>
      <c r="AA5" s="3702"/>
      <c r="AB5" s="3700"/>
      <c r="AC5" s="3702"/>
    </row>
    <row r="6" spans="1:29" ht="15.75" thickBot="1">
      <c r="A6" s="360"/>
      <c r="B6" s="361"/>
      <c r="C6" s="3719" t="s">
        <v>1675</v>
      </c>
      <c r="D6" s="3720"/>
      <c r="E6" s="3726" t="s">
        <v>1675</v>
      </c>
      <c r="F6" s="3727"/>
      <c r="G6" s="3719" t="s">
        <v>1675</v>
      </c>
      <c r="H6" s="3720"/>
      <c r="I6" s="3719" t="s">
        <v>1675</v>
      </c>
      <c r="J6" s="3720"/>
      <c r="K6" s="559" t="s">
        <v>1676</v>
      </c>
      <c r="L6" s="2710"/>
      <c r="M6" s="2711"/>
      <c r="N6" s="2711"/>
      <c r="O6" s="2711"/>
      <c r="P6" s="3711"/>
      <c r="Q6" s="3712"/>
      <c r="R6" s="3715"/>
      <c r="S6" s="3716"/>
      <c r="T6" s="3717"/>
      <c r="U6" s="3718"/>
      <c r="V6" s="3700"/>
      <c r="W6" s="3700"/>
      <c r="X6" s="1352"/>
      <c r="Y6" s="3717"/>
      <c r="Z6" s="3718"/>
      <c r="AA6" s="3703"/>
      <c r="AB6" s="3700"/>
      <c r="AC6" s="3703"/>
    </row>
    <row r="7" spans="1:29" s="108" customFormat="1" ht="15.75" thickBot="1">
      <c r="A7" s="362" t="s">
        <v>1677</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23"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23" t="s">
        <v>1681</v>
      </c>
      <c r="Q8" s="3724"/>
      <c r="R8" s="700" t="s">
        <v>14</v>
      </c>
      <c r="S8" s="701">
        <f t="shared" si="0"/>
        <v>100</v>
      </c>
      <c r="T8" s="700" t="s">
        <v>14</v>
      </c>
      <c r="U8" s="701">
        <f t="shared" si="1"/>
        <v>100</v>
      </c>
      <c r="V8" s="700" t="s">
        <v>14</v>
      </c>
      <c r="W8" s="701">
        <f t="shared" si="2"/>
        <v>100</v>
      </c>
      <c r="X8" s="702"/>
      <c r="Y8" s="3723" t="s">
        <v>1681</v>
      </c>
      <c r="Z8" s="3724"/>
      <c r="AA8" s="703">
        <f t="shared" ref="AA8:AA46" si="3">D8/F8</f>
        <v>1</v>
      </c>
      <c r="AB8" s="703">
        <f t="shared" ref="AB8:AB46" si="4">D8/H8</f>
        <v>1</v>
      </c>
      <c r="AC8" s="703">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94"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94"/>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94"/>
      <c r="Q11" s="1340" t="str">
        <f t="shared" si="6"/>
        <v>容积率</v>
      </c>
      <c r="R11" s="700" t="s">
        <v>14</v>
      </c>
      <c r="S11" s="701" t="e">
        <f t="shared" si="0"/>
        <v>#N/A</v>
      </c>
      <c r="T11" s="700" t="s">
        <v>14</v>
      </c>
      <c r="U11" s="701" t="e">
        <f t="shared" si="1"/>
        <v>#N/A</v>
      </c>
      <c r="V11" s="700" t="s">
        <v>14</v>
      </c>
      <c r="W11" s="701" t="e">
        <f t="shared" si="2"/>
        <v>#N/A</v>
      </c>
      <c r="X11" s="702"/>
      <c r="Y11" s="3592"/>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4"/>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4"/>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4"/>
      <c r="Q14" s="1340">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703">
        <f t="shared" si="5"/>
        <v>1</v>
      </c>
    </row>
    <row r="15" spans="1:29" ht="71.25">
      <c r="A15" s="391" t="s">
        <v>1688</v>
      </c>
      <c r="B15" s="61" t="s">
        <v>1775</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6" t="s">
        <v>1689</v>
      </c>
      <c r="Q15" s="1349" t="str">
        <f t="shared" si="6"/>
        <v>商业繁华度</v>
      </c>
      <c r="R15" s="704" t="s">
        <v>14</v>
      </c>
      <c r="S15" s="705">
        <f t="shared" si="0"/>
        <v>100</v>
      </c>
      <c r="T15" s="704" t="s">
        <v>14</v>
      </c>
      <c r="U15" s="705">
        <f t="shared" si="1"/>
        <v>100</v>
      </c>
      <c r="V15" s="704" t="s">
        <v>14</v>
      </c>
      <c r="W15" s="705">
        <f t="shared" si="2"/>
        <v>100</v>
      </c>
      <c r="X15" s="1352"/>
      <c r="Y15" s="3696"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37"/>
      <c r="Q16" s="1349"/>
      <c r="R16" s="704"/>
      <c r="S16" s="705"/>
      <c r="T16" s="704"/>
      <c r="U16" s="705"/>
      <c r="V16" s="704"/>
      <c r="W16" s="705"/>
      <c r="X16" s="1352"/>
      <c r="Y16" s="3697"/>
      <c r="Z16" s="1353"/>
      <c r="AA16" s="1350">
        <v>1</v>
      </c>
      <c r="AB16" s="1350">
        <v>1</v>
      </c>
      <c r="AC16" s="1350">
        <v>1</v>
      </c>
    </row>
    <row r="17" spans="1:29" ht="85.5">
      <c r="A17" s="379"/>
      <c r="B17" s="402" t="s">
        <v>1257</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37"/>
      <c r="Q17" s="1349" t="str">
        <f>B17</f>
        <v>交通便捷度</v>
      </c>
      <c r="R17" s="704" t="s">
        <v>14</v>
      </c>
      <c r="S17" s="705">
        <f>F17</f>
        <v>100</v>
      </c>
      <c r="T17" s="704" t="s">
        <v>14</v>
      </c>
      <c r="U17" s="705">
        <f>H17</f>
        <v>100</v>
      </c>
      <c r="V17" s="704" t="s">
        <v>14</v>
      </c>
      <c r="W17" s="705">
        <f>J17</f>
        <v>100</v>
      </c>
      <c r="X17" s="1352"/>
      <c r="Y17" s="3697"/>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37"/>
      <c r="Q18" s="1349"/>
      <c r="R18" s="704"/>
      <c r="S18" s="705"/>
      <c r="T18" s="704"/>
      <c r="U18" s="705"/>
      <c r="V18" s="704"/>
      <c r="W18" s="705"/>
      <c r="X18" s="1352"/>
      <c r="Y18" s="3697"/>
      <c r="Z18" s="1353"/>
      <c r="AA18" s="1350">
        <v>1</v>
      </c>
      <c r="AB18" s="1350">
        <v>1</v>
      </c>
      <c r="AC18" s="1350">
        <v>1</v>
      </c>
    </row>
    <row r="19" spans="1:29" ht="42.75">
      <c r="A19" s="379"/>
      <c r="B19" s="402" t="s">
        <v>1776</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37"/>
      <c r="Q19" s="1349" t="str">
        <f>B19</f>
        <v>公共配套设施</v>
      </c>
      <c r="R19" s="704" t="s">
        <v>14</v>
      </c>
      <c r="S19" s="705">
        <f>F19</f>
        <v>100</v>
      </c>
      <c r="T19" s="704" t="s">
        <v>14</v>
      </c>
      <c r="U19" s="705">
        <f>H19</f>
        <v>100</v>
      </c>
      <c r="V19" s="704" t="s">
        <v>14</v>
      </c>
      <c r="W19" s="705">
        <f>J19</f>
        <v>100</v>
      </c>
      <c r="X19" s="1352"/>
      <c r="Y19" s="3697"/>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37"/>
      <c r="Q20" s="1349"/>
      <c r="R20" s="704"/>
      <c r="S20" s="705"/>
      <c r="T20" s="704"/>
      <c r="U20" s="705"/>
      <c r="V20" s="704"/>
      <c r="W20" s="705"/>
      <c r="X20" s="1352"/>
      <c r="Y20" s="3697"/>
      <c r="Z20" s="1353"/>
      <c r="AA20" s="1350">
        <v>1</v>
      </c>
      <c r="AB20" s="1350">
        <v>1</v>
      </c>
      <c r="AC20" s="1350">
        <v>1</v>
      </c>
    </row>
    <row r="21" spans="1:29" ht="28.5">
      <c r="A21" s="379"/>
      <c r="B21" s="1129" t="s">
        <v>1777</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37"/>
      <c r="Q21" s="1349" t="str">
        <f>B21</f>
        <v>基础设施水平</v>
      </c>
      <c r="R21" s="704" t="s">
        <v>14</v>
      </c>
      <c r="S21" s="705">
        <f>F21</f>
        <v>100</v>
      </c>
      <c r="T21" s="704" t="s">
        <v>14</v>
      </c>
      <c r="U21" s="705">
        <f>H21</f>
        <v>100</v>
      </c>
      <c r="V21" s="704" t="s">
        <v>14</v>
      </c>
      <c r="W21" s="705">
        <f>J21</f>
        <v>100</v>
      </c>
      <c r="X21" s="1352"/>
      <c r="Y21" s="3697"/>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37"/>
      <c r="Q22" s="1349"/>
      <c r="R22" s="704"/>
      <c r="S22" s="705"/>
      <c r="T22" s="704"/>
      <c r="U22" s="705"/>
      <c r="V22" s="704"/>
      <c r="W22" s="705"/>
      <c r="X22" s="1352"/>
      <c r="Y22" s="3697"/>
      <c r="Z22" s="1353"/>
      <c r="AA22" s="1350">
        <v>1</v>
      </c>
      <c r="AB22" s="1350">
        <v>1</v>
      </c>
      <c r="AC22" s="1350">
        <v>1</v>
      </c>
    </row>
    <row r="23" spans="1:29" ht="57">
      <c r="A23" s="379"/>
      <c r="B23" s="402" t="s">
        <v>1259</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37"/>
      <c r="Q23" s="1349" t="str">
        <f>B23</f>
        <v>自然及人文环境</v>
      </c>
      <c r="R23" s="704" t="s">
        <v>14</v>
      </c>
      <c r="S23" s="705">
        <f>F23</f>
        <v>100</v>
      </c>
      <c r="T23" s="704" t="s">
        <v>14</v>
      </c>
      <c r="U23" s="705">
        <f>H23</f>
        <v>100</v>
      </c>
      <c r="V23" s="704" t="s">
        <v>14</v>
      </c>
      <c r="W23" s="705">
        <f>J23</f>
        <v>100</v>
      </c>
      <c r="X23" s="1352"/>
      <c r="Y23" s="3697"/>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37"/>
      <c r="Q24" s="1349"/>
      <c r="R24" s="704"/>
      <c r="S24" s="705"/>
      <c r="T24" s="704"/>
      <c r="U24" s="705"/>
      <c r="V24" s="704"/>
      <c r="W24" s="705"/>
      <c r="X24" s="1352"/>
      <c r="Y24" s="3697"/>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37"/>
      <c r="Q25" s="1349" t="str">
        <f t="shared" ref="Q25:Q46" si="11">B25</f>
        <v>临街状况</v>
      </c>
      <c r="R25" s="704" t="s">
        <v>14</v>
      </c>
      <c r="S25" s="705">
        <f>F25</f>
        <v>100</v>
      </c>
      <c r="T25" s="704" t="s">
        <v>14</v>
      </c>
      <c r="U25" s="705">
        <f>H25</f>
        <v>100</v>
      </c>
      <c r="V25" s="704" t="s">
        <v>14</v>
      </c>
      <c r="W25" s="705">
        <f>J25</f>
        <v>100</v>
      </c>
      <c r="X25" s="1352"/>
      <c r="Y25" s="3697"/>
      <c r="Z25" s="1353" t="str">
        <f>Q25</f>
        <v>临街状况</v>
      </c>
      <c r="AA25" s="1350">
        <f t="shared" si="3"/>
        <v>1</v>
      </c>
      <c r="AB25" s="1350">
        <f t="shared" si="4"/>
        <v>1</v>
      </c>
      <c r="AC25" s="1350">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37"/>
      <c r="Q26" s="1349" t="str">
        <f t="shared" si="11"/>
        <v>平面位置/可视性</v>
      </c>
      <c r="R26" s="704" t="s">
        <v>14</v>
      </c>
      <c r="S26" s="705">
        <f>F26</f>
        <v>100</v>
      </c>
      <c r="T26" s="704" t="s">
        <v>14</v>
      </c>
      <c r="U26" s="705">
        <f>H26</f>
        <v>100</v>
      </c>
      <c r="V26" s="704" t="s">
        <v>14</v>
      </c>
      <c r="W26" s="705">
        <f>J26</f>
        <v>100</v>
      </c>
      <c r="X26" s="1352"/>
      <c r="Y26" s="3697"/>
      <c r="Z26" s="1353" t="str">
        <f>Q26</f>
        <v>平面位置/可视性</v>
      </c>
      <c r="AA26" s="1350">
        <f t="shared" si="3"/>
        <v>1</v>
      </c>
      <c r="AB26" s="1350">
        <f t="shared" si="4"/>
        <v>1</v>
      </c>
      <c r="AC26" s="1350">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37"/>
      <c r="Q27" s="1340" t="str">
        <f t="shared" si="11"/>
        <v>人流量</v>
      </c>
      <c r="R27" s="700" t="s">
        <v>14</v>
      </c>
      <c r="S27" s="701">
        <f>F27</f>
        <v>100</v>
      </c>
      <c r="T27" s="700" t="s">
        <v>14</v>
      </c>
      <c r="U27" s="701">
        <f>H27</f>
        <v>100</v>
      </c>
      <c r="V27" s="700" t="s">
        <v>14</v>
      </c>
      <c r="W27" s="701">
        <f>J27</f>
        <v>100</v>
      </c>
      <c r="X27" s="702"/>
      <c r="Y27" s="3697"/>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37"/>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697"/>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7"/>
      <c r="Q29" s="1349">
        <f t="shared" si="11"/>
        <v>111</v>
      </c>
      <c r="R29" s="704" t="s">
        <v>14</v>
      </c>
      <c r="S29" s="705">
        <f t="shared" si="12"/>
        <v>100</v>
      </c>
      <c r="T29" s="704" t="s">
        <v>14</v>
      </c>
      <c r="U29" s="705">
        <f t="shared" si="13"/>
        <v>100</v>
      </c>
      <c r="V29" s="704" t="s">
        <v>14</v>
      </c>
      <c r="W29" s="705">
        <f t="shared" si="14"/>
        <v>100</v>
      </c>
      <c r="X29" s="1352"/>
      <c r="Y29" s="3697"/>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7"/>
      <c r="Q30" s="1349">
        <f t="shared" si="11"/>
        <v>111</v>
      </c>
      <c r="R30" s="704" t="s">
        <v>14</v>
      </c>
      <c r="S30" s="705">
        <f t="shared" si="12"/>
        <v>100</v>
      </c>
      <c r="T30" s="704" t="s">
        <v>14</v>
      </c>
      <c r="U30" s="705">
        <f t="shared" si="13"/>
        <v>100</v>
      </c>
      <c r="V30" s="704" t="s">
        <v>14</v>
      </c>
      <c r="W30" s="705">
        <f t="shared" si="14"/>
        <v>100</v>
      </c>
      <c r="X30" s="1352"/>
      <c r="Y30" s="3697"/>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7"/>
      <c r="Q31" s="1349">
        <f t="shared" si="11"/>
        <v>111</v>
      </c>
      <c r="R31" s="704" t="s">
        <v>14</v>
      </c>
      <c r="S31" s="705">
        <f t="shared" si="12"/>
        <v>100</v>
      </c>
      <c r="T31" s="704" t="s">
        <v>14</v>
      </c>
      <c r="U31" s="705">
        <f t="shared" si="13"/>
        <v>100</v>
      </c>
      <c r="V31" s="704" t="s">
        <v>14</v>
      </c>
      <c r="W31" s="705">
        <f t="shared" si="14"/>
        <v>100</v>
      </c>
      <c r="X31" s="1352"/>
      <c r="Y31" s="3697"/>
      <c r="Z31" s="1353">
        <f t="shared" si="15"/>
        <v>111</v>
      </c>
      <c r="AA31" s="1350">
        <f t="shared" si="3"/>
        <v>1</v>
      </c>
      <c r="AB31" s="1350">
        <f t="shared" si="4"/>
        <v>1</v>
      </c>
      <c r="AC31" s="1350">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32" t="s">
        <v>1694</v>
      </c>
      <c r="Q32" s="1349" t="str">
        <f t="shared" si="11"/>
        <v>商业类型</v>
      </c>
      <c r="R32" s="704" t="s">
        <v>14</v>
      </c>
      <c r="S32" s="705">
        <f t="shared" si="12"/>
        <v>100</v>
      </c>
      <c r="T32" s="704" t="s">
        <v>14</v>
      </c>
      <c r="U32" s="705">
        <f t="shared" si="13"/>
        <v>100</v>
      </c>
      <c r="V32" s="704" t="s">
        <v>14</v>
      </c>
      <c r="W32" s="705">
        <f t="shared" si="14"/>
        <v>100</v>
      </c>
      <c r="X32" s="1352"/>
      <c r="Y32" s="3699"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3"/>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0" t="e">
        <f t="shared" si="3"/>
        <v>#N/A</v>
      </c>
      <c r="AB33" s="1350" t="e">
        <f t="shared" si="4"/>
        <v>#N/A</v>
      </c>
      <c r="AC33" s="1350"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33"/>
      <c r="Q34" s="1349" t="str">
        <f t="shared" si="11"/>
        <v>建筑结构</v>
      </c>
      <c r="R34" s="704" t="s">
        <v>14</v>
      </c>
      <c r="S34" s="705">
        <f t="shared" si="12"/>
        <v>100</v>
      </c>
      <c r="T34" s="704" t="s">
        <v>14</v>
      </c>
      <c r="U34" s="705">
        <f t="shared" si="13"/>
        <v>100</v>
      </c>
      <c r="V34" s="704" t="s">
        <v>14</v>
      </c>
      <c r="W34" s="705">
        <f t="shared" si="14"/>
        <v>100</v>
      </c>
      <c r="X34" s="1352"/>
      <c r="Y34" s="3699"/>
      <c r="Z34" s="1353" t="str">
        <f t="shared" si="15"/>
        <v>建筑结构</v>
      </c>
      <c r="AA34" s="1350">
        <f t="shared" si="3"/>
        <v>1</v>
      </c>
      <c r="AB34" s="1350">
        <f t="shared" si="4"/>
        <v>1</v>
      </c>
      <c r="AC34" s="1350">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33"/>
      <c r="Q35" s="1349" t="str">
        <f t="shared" si="11"/>
        <v>公共部分装修</v>
      </c>
      <c r="R35" s="704" t="s">
        <v>14</v>
      </c>
      <c r="S35" s="705">
        <f t="shared" si="12"/>
        <v>100</v>
      </c>
      <c r="T35" s="704" t="s">
        <v>14</v>
      </c>
      <c r="U35" s="705">
        <f t="shared" si="13"/>
        <v>100</v>
      </c>
      <c r="V35" s="704" t="s">
        <v>14</v>
      </c>
      <c r="W35" s="705">
        <f t="shared" si="14"/>
        <v>100</v>
      </c>
      <c r="X35" s="1352"/>
      <c r="Y35" s="3699"/>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3"/>
      <c r="Q36" s="1349" t="str">
        <f t="shared" si="11"/>
        <v>成新度</v>
      </c>
      <c r="R36" s="704" t="s">
        <v>14</v>
      </c>
      <c r="S36" s="705" t="e">
        <f t="shared" si="12"/>
        <v>#N/A</v>
      </c>
      <c r="T36" s="704" t="s">
        <v>14</v>
      </c>
      <c r="U36" s="705" t="e">
        <f t="shared" si="13"/>
        <v>#N/A</v>
      </c>
      <c r="V36" s="704" t="s">
        <v>14</v>
      </c>
      <c r="W36" s="705" t="e">
        <f t="shared" si="14"/>
        <v>#N/A</v>
      </c>
      <c r="X36" s="1352"/>
      <c r="Y36" s="3699"/>
      <c r="Z36" s="1353" t="str">
        <f t="shared" si="15"/>
        <v>成新度</v>
      </c>
      <c r="AA36" s="1350" t="e">
        <f t="shared" si="3"/>
        <v>#N/A</v>
      </c>
      <c r="AB36" s="1350" t="e">
        <f t="shared" si="4"/>
        <v>#N/A</v>
      </c>
      <c r="AC36" s="1350"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33"/>
      <c r="Q37" s="1340"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33" t="s">
        <v>1694</v>
      </c>
      <c r="Q38" s="1349" t="str">
        <f t="shared" si="11"/>
        <v>业态</v>
      </c>
      <c r="R38" s="704" t="s">
        <v>14</v>
      </c>
      <c r="S38" s="705">
        <f t="shared" si="12"/>
        <v>100</v>
      </c>
      <c r="T38" s="704" t="s">
        <v>14</v>
      </c>
      <c r="U38" s="705">
        <f t="shared" si="13"/>
        <v>100</v>
      </c>
      <c r="V38" s="704" t="s">
        <v>14</v>
      </c>
      <c r="W38" s="705">
        <f t="shared" si="14"/>
        <v>100</v>
      </c>
      <c r="X38" s="1352"/>
      <c r="Y38" s="3699" t="s">
        <v>1694</v>
      </c>
      <c r="Z38" s="1353" t="str">
        <f t="shared" si="15"/>
        <v>业态</v>
      </c>
      <c r="AA38" s="1350">
        <f t="shared" si="3"/>
        <v>1</v>
      </c>
      <c r="AB38" s="1350">
        <f t="shared" si="4"/>
        <v>1</v>
      </c>
      <c r="AC38" s="1350">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33"/>
      <c r="Q39" s="1349" t="str">
        <f t="shared" si="11"/>
        <v>层高</v>
      </c>
      <c r="R39" s="704" t="s">
        <v>14</v>
      </c>
      <c r="S39" s="705">
        <f t="shared" si="12"/>
        <v>100</v>
      </c>
      <c r="T39" s="704" t="s">
        <v>14</v>
      </c>
      <c r="U39" s="705">
        <f t="shared" si="13"/>
        <v>100</v>
      </c>
      <c r="V39" s="704" t="s">
        <v>14</v>
      </c>
      <c r="W39" s="705">
        <f t="shared" si="14"/>
        <v>100</v>
      </c>
      <c r="X39" s="1352"/>
      <c r="Y39" s="3699"/>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3"/>
      <c r="Q40" s="1349" t="str">
        <f t="shared" si="11"/>
        <v>单套建筑面积</v>
      </c>
      <c r="R40" s="704" t="s">
        <v>14</v>
      </c>
      <c r="S40" s="705">
        <f t="shared" si="12"/>
        <v>100</v>
      </c>
      <c r="T40" s="704" t="s">
        <v>14</v>
      </c>
      <c r="U40" s="705">
        <f t="shared" si="13"/>
        <v>100</v>
      </c>
      <c r="V40" s="704" t="s">
        <v>14</v>
      </c>
      <c r="W40" s="705">
        <f t="shared" si="14"/>
        <v>100</v>
      </c>
      <c r="X40" s="1352"/>
      <c r="Y40" s="3699"/>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3"/>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0">
        <f t="shared" si="3"/>
        <v>1</v>
      </c>
      <c r="AB41" s="1350">
        <f t="shared" si="4"/>
        <v>1</v>
      </c>
      <c r="AC41" s="1350">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33"/>
      <c r="Q42" s="1349" t="str">
        <f t="shared" si="11"/>
        <v>内部装修</v>
      </c>
      <c r="R42" s="704" t="s">
        <v>14</v>
      </c>
      <c r="S42" s="705">
        <f t="shared" si="12"/>
        <v>100</v>
      </c>
      <c r="T42" s="704" t="s">
        <v>14</v>
      </c>
      <c r="U42" s="705">
        <f t="shared" si="13"/>
        <v>100</v>
      </c>
      <c r="V42" s="704" t="s">
        <v>14</v>
      </c>
      <c r="W42" s="705">
        <f t="shared" si="14"/>
        <v>100</v>
      </c>
      <c r="X42" s="1352"/>
      <c r="Y42" s="3699"/>
      <c r="Z42" s="1353" t="str">
        <f t="shared" si="15"/>
        <v>内部装修</v>
      </c>
      <c r="AA42" s="1350">
        <f t="shared" si="3"/>
        <v>1</v>
      </c>
      <c r="AB42" s="1350">
        <f t="shared" si="4"/>
        <v>1</v>
      </c>
      <c r="AC42" s="1350">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33"/>
      <c r="Q43" s="1349" t="str">
        <f t="shared" si="11"/>
        <v>内部装修维护情况</v>
      </c>
      <c r="R43" s="704" t="s">
        <v>14</v>
      </c>
      <c r="S43" s="705">
        <f t="shared" si="12"/>
        <v>100</v>
      </c>
      <c r="T43" s="704" t="s">
        <v>14</v>
      </c>
      <c r="U43" s="705">
        <f t="shared" si="13"/>
        <v>100</v>
      </c>
      <c r="V43" s="704" t="s">
        <v>14</v>
      </c>
      <c r="W43" s="705">
        <f t="shared" si="14"/>
        <v>100</v>
      </c>
      <c r="X43" s="1352"/>
      <c r="Y43" s="3699"/>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3"/>
      <c r="Q44" s="1340">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3"/>
      <c r="Q45" s="1349">
        <f t="shared" si="11"/>
        <v>111</v>
      </c>
      <c r="R45" s="704" t="s">
        <v>14</v>
      </c>
      <c r="S45" s="705">
        <f t="shared" si="12"/>
        <v>100</v>
      </c>
      <c r="T45" s="704" t="s">
        <v>14</v>
      </c>
      <c r="U45" s="705">
        <f t="shared" si="13"/>
        <v>100</v>
      </c>
      <c r="V45" s="704" t="s">
        <v>14</v>
      </c>
      <c r="W45" s="705">
        <f t="shared" si="14"/>
        <v>100</v>
      </c>
      <c r="X45" s="1352"/>
      <c r="Y45" s="3699"/>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4"/>
      <c r="Q46" s="1349">
        <f t="shared" si="11"/>
        <v>111</v>
      </c>
      <c r="R46" s="704" t="s">
        <v>14</v>
      </c>
      <c r="S46" s="705">
        <f t="shared" si="12"/>
        <v>100</v>
      </c>
      <c r="T46" s="704" t="s">
        <v>14</v>
      </c>
      <c r="U46" s="705">
        <f t="shared" si="13"/>
        <v>100</v>
      </c>
      <c r="V46" s="704" t="s">
        <v>14</v>
      </c>
      <c r="W46" s="705">
        <f t="shared" si="14"/>
        <v>100</v>
      </c>
      <c r="X46" s="1352"/>
      <c r="Y46" s="3735"/>
      <c r="Z46" s="1353">
        <f t="shared" si="15"/>
        <v>111</v>
      </c>
      <c r="AA46" s="1350">
        <f t="shared" si="3"/>
        <v>1</v>
      </c>
      <c r="AB46" s="1350">
        <f t="shared" si="4"/>
        <v>1</v>
      </c>
      <c r="AC46" s="1350">
        <f t="shared" si="5"/>
        <v>1</v>
      </c>
    </row>
    <row r="47" spans="1:29" ht="15">
      <c r="A47" s="430" t="s">
        <v>1706</v>
      </c>
      <c r="B47" s="431"/>
      <c r="C47" s="1152" t="s">
        <v>0</v>
      </c>
      <c r="D47" s="1153"/>
      <c r="E47" s="1154"/>
      <c r="F47" s="1155"/>
      <c r="G47" s="1156"/>
      <c r="H47" s="1157"/>
      <c r="I47" s="1154"/>
      <c r="J47" s="1157"/>
      <c r="K47" s="713"/>
      <c r="L47" s="2719"/>
      <c r="M47" s="2720"/>
      <c r="N47" s="2711"/>
      <c r="O47" s="2720"/>
      <c r="P47" s="3695" t="str">
        <f>A47</f>
        <v>成交单价（元/平方米）</v>
      </c>
      <c r="Q47" s="3695"/>
      <c r="R47" s="3700">
        <f>E47</f>
        <v>0</v>
      </c>
      <c r="S47" s="3700"/>
      <c r="T47" s="3700">
        <f>G47</f>
        <v>0</v>
      </c>
      <c r="U47" s="3700"/>
      <c r="V47" s="3700">
        <f>I47</f>
        <v>0</v>
      </c>
      <c r="W47" s="3700"/>
      <c r="X47" s="689"/>
      <c r="Y47" s="711"/>
      <c r="Z47" s="689"/>
      <c r="AA47" s="689"/>
      <c r="AB47" s="689"/>
      <c r="AC47" s="689"/>
    </row>
    <row r="48" spans="1:29" ht="15.75" thickBot="1">
      <c r="A48" s="437" t="s">
        <v>1791</v>
      </c>
      <c r="B48" s="438"/>
      <c r="C48" s="1158" t="e">
        <f>R49</f>
        <v>#DIV/0!</v>
      </c>
      <c r="D48" s="2312" t="s">
        <v>2135</v>
      </c>
      <c r="E48" s="1159" t="e">
        <f>R48</f>
        <v>#DIV/0!</v>
      </c>
      <c r="F48" s="2313"/>
      <c r="G48" s="1158" t="e">
        <f>T48</f>
        <v>#DIV/0!</v>
      </c>
      <c r="H48" s="2313"/>
      <c r="I48" s="1159" t="e">
        <f>V48</f>
        <v>#DIV/0!</v>
      </c>
      <c r="J48" s="2313"/>
      <c r="K48" s="2315">
        <f>F48+H48+J48</f>
        <v>0</v>
      </c>
      <c r="L48" s="2719"/>
      <c r="M48" s="2720"/>
      <c r="N48" s="2711"/>
      <c r="O48" s="2720"/>
      <c r="P48" s="3695" t="str">
        <f>A48</f>
        <v>比较价值（元/平方米）</v>
      </c>
      <c r="Q48" s="3695"/>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9"/>
      <c r="Y48" s="689"/>
      <c r="Z48" s="689"/>
      <c r="AA48" s="689"/>
      <c r="AB48" s="689"/>
      <c r="AC48" s="689"/>
    </row>
    <row r="49" spans="1:29" ht="15.75" thickBot="1">
      <c r="A49" s="441" t="s">
        <v>1792</v>
      </c>
      <c r="B49" s="442"/>
      <c r="C49" s="1161" t="e">
        <f>R49</f>
        <v>#DIV/0!</v>
      </c>
      <c r="D49" s="1161"/>
      <c r="E49" s="1161"/>
      <c r="F49" s="1161"/>
      <c r="G49" s="1161"/>
      <c r="H49" s="1161"/>
      <c r="I49" s="1161"/>
      <c r="J49" s="1161"/>
      <c r="K49" s="714"/>
      <c r="L49" s="2719"/>
      <c r="M49" s="2720"/>
      <c r="N49" s="2711"/>
      <c r="O49" s="2720"/>
      <c r="P49" s="3689" t="str">
        <f>A49</f>
        <v>估价对象XX用房的比较价值（楼面单价，元/平方米）</v>
      </c>
      <c r="Q49" s="3690"/>
      <c r="R49" s="3730" t="e">
        <f>IF(F1="售价",ROUND(IF(D48="简单平均",AVERAGE(R48:V48),R48*F48+T48*H48+V48*J48),0),ROUND(IF(D48="简单平均",AVERAGE(R48:V48),R48*F48+T48*H48+V48*J48),1))</f>
        <v>#DIV/0!</v>
      </c>
      <c r="S49" s="3730"/>
      <c r="T49" s="3730"/>
      <c r="U49" s="3730"/>
      <c r="V49" s="3730"/>
      <c r="W49" s="3730"/>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1796</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1677</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1808</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50816.34</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81" t="s">
        <v>1773</v>
      </c>
      <c r="Q4" s="3782"/>
      <c r="R4" s="3785" t="s">
        <v>1769</v>
      </c>
      <c r="S4" s="3786"/>
      <c r="T4" s="3785" t="s">
        <v>1770</v>
      </c>
      <c r="U4" s="3786"/>
      <c r="V4" s="3787" t="s">
        <v>1771</v>
      </c>
      <c r="W4" s="3787"/>
      <c r="X4" s="1953"/>
      <c r="Y4" s="3785" t="s">
        <v>1773</v>
      </c>
      <c r="Z4" s="3786"/>
      <c r="AA4" s="3789" t="s">
        <v>1769</v>
      </c>
      <c r="AB4" s="3789" t="s">
        <v>1770</v>
      </c>
      <c r="AC4" s="3778" t="s">
        <v>1771</v>
      </c>
    </row>
    <row r="5" spans="1:29" ht="15">
      <c r="A5" s="358"/>
      <c r="B5" s="359"/>
      <c r="C5" s="3721" t="s">
        <v>1671</v>
      </c>
      <c r="D5" s="3722"/>
      <c r="E5" s="3728" t="s">
        <v>1672</v>
      </c>
      <c r="F5" s="3729"/>
      <c r="G5" s="3721" t="s">
        <v>1673</v>
      </c>
      <c r="H5" s="3722"/>
      <c r="I5" s="3721" t="s">
        <v>1674</v>
      </c>
      <c r="J5" s="3722"/>
      <c r="K5" s="559"/>
      <c r="L5" s="2710"/>
      <c r="M5" s="2711"/>
      <c r="N5" s="2711"/>
      <c r="O5" s="2711"/>
      <c r="P5" s="3783"/>
      <c r="Q5" s="3710"/>
      <c r="R5" s="3715"/>
      <c r="S5" s="3716"/>
      <c r="T5" s="3715"/>
      <c r="U5" s="3716"/>
      <c r="V5" s="3700"/>
      <c r="W5" s="3700"/>
      <c r="X5" s="1352"/>
      <c r="Y5" s="3715"/>
      <c r="Z5" s="3716"/>
      <c r="AA5" s="3702"/>
      <c r="AB5" s="3702"/>
      <c r="AC5" s="3779"/>
    </row>
    <row r="6" spans="1:29" ht="15.75" thickBot="1">
      <c r="A6" s="360"/>
      <c r="B6" s="361"/>
      <c r="C6" s="3719" t="s">
        <v>1675</v>
      </c>
      <c r="D6" s="3720"/>
      <c r="E6" s="3726" t="s">
        <v>1675</v>
      </c>
      <c r="F6" s="3727"/>
      <c r="G6" s="3719" t="s">
        <v>1675</v>
      </c>
      <c r="H6" s="3720"/>
      <c r="I6" s="3719" t="s">
        <v>1675</v>
      </c>
      <c r="J6" s="3720"/>
      <c r="K6" s="559" t="s">
        <v>1676</v>
      </c>
      <c r="L6" s="2710"/>
      <c r="M6" s="2711"/>
      <c r="N6" s="2711"/>
      <c r="O6" s="2711"/>
      <c r="P6" s="3784"/>
      <c r="Q6" s="3712"/>
      <c r="R6" s="3715"/>
      <c r="S6" s="3716"/>
      <c r="T6" s="3717"/>
      <c r="U6" s="3718"/>
      <c r="V6" s="3700"/>
      <c r="W6" s="3700"/>
      <c r="X6" s="1352"/>
      <c r="Y6" s="3717"/>
      <c r="Z6" s="3718"/>
      <c r="AA6" s="3703"/>
      <c r="AB6" s="3703"/>
      <c r="AC6" s="3780"/>
    </row>
    <row r="7" spans="1:29" s="108" customFormat="1" ht="15.75" thickBot="1">
      <c r="A7" s="362" t="s">
        <v>1677</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88"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1954"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88" t="s">
        <v>1681</v>
      </c>
      <c r="Q8" s="3724"/>
      <c r="R8" s="700" t="s">
        <v>14</v>
      </c>
      <c r="S8" s="701">
        <f t="shared" si="0"/>
        <v>100</v>
      </c>
      <c r="T8" s="700" t="s">
        <v>14</v>
      </c>
      <c r="U8" s="701">
        <f t="shared" si="1"/>
        <v>100</v>
      </c>
      <c r="V8" s="700" t="s">
        <v>14</v>
      </c>
      <c r="W8" s="701">
        <f t="shared" si="2"/>
        <v>100</v>
      </c>
      <c r="X8" s="702"/>
      <c r="Y8" s="3723" t="s">
        <v>1681</v>
      </c>
      <c r="Z8" s="3724"/>
      <c r="AA8" s="703">
        <f t="shared" ref="AA8:AA47" si="3">D8/F8</f>
        <v>1</v>
      </c>
      <c r="AB8" s="703">
        <f t="shared" ref="AB8:AB47" si="4">D8/H8</f>
        <v>1</v>
      </c>
      <c r="AC8" s="1954">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4"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1954">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4"/>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1954">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4"/>
      <c r="Q11" s="1340" t="str">
        <f t="shared" si="6"/>
        <v>容积率</v>
      </c>
      <c r="R11" s="700" t="s">
        <v>14</v>
      </c>
      <c r="S11" s="701">
        <f t="shared" si="0"/>
        <v>100</v>
      </c>
      <c r="T11" s="700" t="s">
        <v>14</v>
      </c>
      <c r="U11" s="701">
        <f t="shared" si="1"/>
        <v>100</v>
      </c>
      <c r="V11" s="700" t="s">
        <v>14</v>
      </c>
      <c r="W11" s="701">
        <f t="shared" si="2"/>
        <v>100</v>
      </c>
      <c r="X11" s="702"/>
      <c r="Y11" s="3592"/>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694"/>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694"/>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694"/>
      <c r="Q14" s="1340">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1954">
        <f t="shared" si="5"/>
        <v>1</v>
      </c>
    </row>
    <row r="15" spans="1:29" ht="71.25">
      <c r="A15" s="391" t="s">
        <v>1688</v>
      </c>
      <c r="B15" s="577" t="s">
        <v>1809</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6" t="s">
        <v>1689</v>
      </c>
      <c r="Q15" s="1349" t="str">
        <f t="shared" si="6"/>
        <v>办公集聚程度</v>
      </c>
      <c r="R15" s="704" t="s">
        <v>14</v>
      </c>
      <c r="S15" s="705">
        <f t="shared" si="0"/>
        <v>100</v>
      </c>
      <c r="T15" s="704" t="s">
        <v>14</v>
      </c>
      <c r="U15" s="705">
        <f t="shared" si="1"/>
        <v>100</v>
      </c>
      <c r="V15" s="704" t="s">
        <v>14</v>
      </c>
      <c r="W15" s="705">
        <f t="shared" si="2"/>
        <v>100</v>
      </c>
      <c r="X15" s="1352"/>
      <c r="Y15" s="3696" t="s">
        <v>1689</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37"/>
      <c r="Q16" s="1349"/>
      <c r="R16" s="704"/>
      <c r="S16" s="705"/>
      <c r="T16" s="704"/>
      <c r="U16" s="705"/>
      <c r="V16" s="704"/>
      <c r="W16" s="705"/>
      <c r="X16" s="1352"/>
      <c r="Y16" s="3697"/>
      <c r="Z16" s="1353"/>
      <c r="AA16" s="1350">
        <v>1</v>
      </c>
      <c r="AB16" s="1350">
        <v>1</v>
      </c>
      <c r="AC16" s="1957">
        <v>1</v>
      </c>
    </row>
    <row r="17" spans="1:29" ht="71.25">
      <c r="A17" s="379"/>
      <c r="B17" s="579" t="s">
        <v>1257</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37"/>
      <c r="Q17" s="1349" t="str">
        <f>B17</f>
        <v>交通便捷度</v>
      </c>
      <c r="R17" s="704" t="s">
        <v>14</v>
      </c>
      <c r="S17" s="705">
        <f>F17</f>
        <v>100</v>
      </c>
      <c r="T17" s="704" t="s">
        <v>14</v>
      </c>
      <c r="U17" s="705">
        <f>H17</f>
        <v>100</v>
      </c>
      <c r="V17" s="704" t="s">
        <v>14</v>
      </c>
      <c r="W17" s="705">
        <f>J17</f>
        <v>100</v>
      </c>
      <c r="X17" s="1352"/>
      <c r="Y17" s="3697"/>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37"/>
      <c r="Q18" s="1349"/>
      <c r="R18" s="704"/>
      <c r="S18" s="705"/>
      <c r="T18" s="704"/>
      <c r="U18" s="705"/>
      <c r="V18" s="704"/>
      <c r="W18" s="705"/>
      <c r="X18" s="1352"/>
      <c r="Y18" s="3697"/>
      <c r="Z18" s="1353"/>
      <c r="AA18" s="1350">
        <v>1</v>
      </c>
      <c r="AB18" s="1350">
        <v>1</v>
      </c>
      <c r="AC18" s="1957">
        <v>1</v>
      </c>
    </row>
    <row r="19" spans="1:29" ht="42.75">
      <c r="A19" s="379"/>
      <c r="B19" s="579" t="s">
        <v>1810</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37"/>
      <c r="Q19" s="1349" t="str">
        <f>B19</f>
        <v>公共配套设施</v>
      </c>
      <c r="R19" s="704" t="s">
        <v>14</v>
      </c>
      <c r="S19" s="705">
        <f>F19</f>
        <v>100</v>
      </c>
      <c r="T19" s="704" t="s">
        <v>14</v>
      </c>
      <c r="U19" s="705">
        <f>H19</f>
        <v>100</v>
      </c>
      <c r="V19" s="704" t="s">
        <v>14</v>
      </c>
      <c r="W19" s="705">
        <f>J19</f>
        <v>100</v>
      </c>
      <c r="X19" s="1352"/>
      <c r="Y19" s="3697"/>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37"/>
      <c r="Q20" s="1349"/>
      <c r="R20" s="704"/>
      <c r="S20" s="705"/>
      <c r="T20" s="704"/>
      <c r="U20" s="705"/>
      <c r="V20" s="704"/>
      <c r="W20" s="705"/>
      <c r="X20" s="1352"/>
      <c r="Y20" s="3697"/>
      <c r="Z20" s="1353"/>
      <c r="AA20" s="1350">
        <v>1</v>
      </c>
      <c r="AB20" s="1350">
        <v>1</v>
      </c>
      <c r="AC20" s="1957">
        <v>1</v>
      </c>
    </row>
    <row r="21" spans="1:29" ht="28.5">
      <c r="A21" s="379"/>
      <c r="B21" s="581" t="s">
        <v>1811</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37"/>
      <c r="Q21" s="1349" t="str">
        <f>B21</f>
        <v>基础设施水平</v>
      </c>
      <c r="R21" s="704" t="s">
        <v>14</v>
      </c>
      <c r="S21" s="705">
        <f>F21</f>
        <v>100</v>
      </c>
      <c r="T21" s="704" t="s">
        <v>14</v>
      </c>
      <c r="U21" s="705">
        <f>H21</f>
        <v>100</v>
      </c>
      <c r="V21" s="704" t="s">
        <v>14</v>
      </c>
      <c r="W21" s="705">
        <f>J21</f>
        <v>100</v>
      </c>
      <c r="X21" s="1352"/>
      <c r="Y21" s="3697"/>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37"/>
      <c r="Q22" s="1349"/>
      <c r="R22" s="704"/>
      <c r="S22" s="705"/>
      <c r="T22" s="704"/>
      <c r="U22" s="705"/>
      <c r="V22" s="704"/>
      <c r="W22" s="705"/>
      <c r="X22" s="1352"/>
      <c r="Y22" s="3697"/>
      <c r="Z22" s="1353"/>
      <c r="AA22" s="1350">
        <v>1</v>
      </c>
      <c r="AB22" s="1350">
        <v>1</v>
      </c>
      <c r="AC22" s="1957">
        <v>1</v>
      </c>
    </row>
    <row r="23" spans="1:29" ht="42.75">
      <c r="A23" s="379"/>
      <c r="B23" s="579" t="s">
        <v>1812</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37"/>
      <c r="Q23" s="1349" t="str">
        <f>B23</f>
        <v>环境质量</v>
      </c>
      <c r="R23" s="704" t="s">
        <v>14</v>
      </c>
      <c r="S23" s="705">
        <f>F23</f>
        <v>100</v>
      </c>
      <c r="T23" s="704" t="s">
        <v>14</v>
      </c>
      <c r="U23" s="705">
        <f>H23</f>
        <v>100</v>
      </c>
      <c r="V23" s="704" t="s">
        <v>14</v>
      </c>
      <c r="W23" s="705">
        <f>J23</f>
        <v>100</v>
      </c>
      <c r="X23" s="1352"/>
      <c r="Y23" s="3697"/>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37"/>
      <c r="Q24" s="1349"/>
      <c r="R24" s="704"/>
      <c r="S24" s="705"/>
      <c r="T24" s="704"/>
      <c r="U24" s="705"/>
      <c r="V24" s="704"/>
      <c r="W24" s="705"/>
      <c r="X24" s="1352"/>
      <c r="Y24" s="3697"/>
      <c r="Z24" s="1353"/>
      <c r="AA24" s="1350">
        <v>1</v>
      </c>
      <c r="AB24" s="1350">
        <v>1</v>
      </c>
      <c r="AC24" s="1957">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37"/>
      <c r="Q25" s="1349" t="str">
        <f>B25</f>
        <v>毗邻道路的类型与等级</v>
      </c>
      <c r="R25" s="704" t="s">
        <v>14</v>
      </c>
      <c r="S25" s="705">
        <f>F25</f>
        <v>100</v>
      </c>
      <c r="T25" s="704" t="s">
        <v>14</v>
      </c>
      <c r="U25" s="705">
        <f>H25</f>
        <v>100</v>
      </c>
      <c r="V25" s="704" t="s">
        <v>14</v>
      </c>
      <c r="W25" s="705">
        <f>J25</f>
        <v>100</v>
      </c>
      <c r="X25" s="1352"/>
      <c r="Y25" s="3697"/>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37"/>
      <c r="Q26" s="1349"/>
      <c r="R26" s="704"/>
      <c r="S26" s="705"/>
      <c r="T26" s="704"/>
      <c r="U26" s="705"/>
      <c r="V26" s="704"/>
      <c r="W26" s="705"/>
      <c r="X26" s="1352"/>
      <c r="Y26" s="3697"/>
      <c r="Z26" s="1353"/>
      <c r="AA26" s="1350">
        <v>1</v>
      </c>
      <c r="AB26" s="1350">
        <v>1</v>
      </c>
      <c r="AC26" s="1957">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37"/>
      <c r="Q27" s="1349" t="str">
        <f t="shared" ref="Q27:Q47" si="11">B27</f>
        <v>楼层</v>
      </c>
      <c r="R27" s="704" t="s">
        <v>14</v>
      </c>
      <c r="S27" s="705">
        <f>F27</f>
        <v>100</v>
      </c>
      <c r="T27" s="704" t="s">
        <v>14</v>
      </c>
      <c r="U27" s="705">
        <f>H27</f>
        <v>100</v>
      </c>
      <c r="V27" s="704" t="s">
        <v>14</v>
      </c>
      <c r="W27" s="705">
        <f>J27</f>
        <v>100</v>
      </c>
      <c r="X27" s="1352"/>
      <c r="Y27" s="3697"/>
      <c r="Z27" s="1353" t="str">
        <f>Q27</f>
        <v>楼层</v>
      </c>
      <c r="AA27" s="1350">
        <f t="shared" si="3"/>
        <v>1</v>
      </c>
      <c r="AB27" s="1350">
        <f t="shared" si="4"/>
        <v>1</v>
      </c>
      <c r="AC27" s="1957">
        <f t="shared" si="5"/>
        <v>1</v>
      </c>
    </row>
    <row r="28" spans="1:29" s="108" customFormat="1" ht="15">
      <c r="A28" s="382"/>
      <c r="B28" s="579" t="s">
        <v>1814</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37"/>
      <c r="Q28" s="1340" t="str">
        <f t="shared" si="11"/>
        <v>朝向</v>
      </c>
      <c r="R28" s="700" t="s">
        <v>14</v>
      </c>
      <c r="S28" s="701">
        <f>F28</f>
        <v>100</v>
      </c>
      <c r="T28" s="700" t="s">
        <v>14</v>
      </c>
      <c r="U28" s="701">
        <f>H28</f>
        <v>100</v>
      </c>
      <c r="V28" s="700" t="s">
        <v>14</v>
      </c>
      <c r="W28" s="701">
        <f>J28</f>
        <v>100</v>
      </c>
      <c r="X28" s="702"/>
      <c r="Y28" s="3697"/>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37"/>
      <c r="Q29" s="1349">
        <f t="shared" si="11"/>
        <v>111</v>
      </c>
      <c r="R29" s="704" t="s">
        <v>14</v>
      </c>
      <c r="S29" s="705">
        <f t="shared" ref="S29:S47" si="12">F29</f>
        <v>100</v>
      </c>
      <c r="T29" s="704" t="s">
        <v>14</v>
      </c>
      <c r="U29" s="705">
        <f t="shared" ref="U29:U47" si="13">H29</f>
        <v>100</v>
      </c>
      <c r="V29" s="704" t="s">
        <v>14</v>
      </c>
      <c r="W29" s="705">
        <f t="shared" ref="W29:W47" si="14">J29</f>
        <v>100</v>
      </c>
      <c r="X29" s="1352"/>
      <c r="Y29" s="3697"/>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37"/>
      <c r="Q30" s="1349">
        <f t="shared" si="11"/>
        <v>111</v>
      </c>
      <c r="R30" s="704" t="s">
        <v>14</v>
      </c>
      <c r="S30" s="705">
        <f t="shared" si="12"/>
        <v>100</v>
      </c>
      <c r="T30" s="704" t="s">
        <v>14</v>
      </c>
      <c r="U30" s="705">
        <f t="shared" si="13"/>
        <v>100</v>
      </c>
      <c r="V30" s="704" t="s">
        <v>14</v>
      </c>
      <c r="W30" s="705">
        <f t="shared" si="14"/>
        <v>100</v>
      </c>
      <c r="X30" s="1352"/>
      <c r="Y30" s="3697"/>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37"/>
      <c r="Q31" s="1349">
        <f t="shared" si="11"/>
        <v>111</v>
      </c>
      <c r="R31" s="704" t="s">
        <v>14</v>
      </c>
      <c r="S31" s="705">
        <f t="shared" si="12"/>
        <v>100</v>
      </c>
      <c r="T31" s="704" t="s">
        <v>14</v>
      </c>
      <c r="U31" s="705">
        <f t="shared" si="13"/>
        <v>100</v>
      </c>
      <c r="V31" s="704" t="s">
        <v>14</v>
      </c>
      <c r="W31" s="705">
        <f t="shared" si="14"/>
        <v>100</v>
      </c>
      <c r="X31" s="1352"/>
      <c r="Y31" s="3697"/>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37"/>
      <c r="Q32" s="1349">
        <f t="shared" si="11"/>
        <v>111</v>
      </c>
      <c r="R32" s="704" t="s">
        <v>14</v>
      </c>
      <c r="S32" s="705">
        <f t="shared" si="12"/>
        <v>100</v>
      </c>
      <c r="T32" s="704" t="s">
        <v>14</v>
      </c>
      <c r="U32" s="705">
        <f t="shared" si="13"/>
        <v>100</v>
      </c>
      <c r="V32" s="704" t="s">
        <v>14</v>
      </c>
      <c r="W32" s="705">
        <f t="shared" si="14"/>
        <v>100</v>
      </c>
      <c r="X32" s="1352"/>
      <c r="Y32" s="3697"/>
      <c r="Z32" s="1353">
        <f t="shared" si="15"/>
        <v>111</v>
      </c>
      <c r="AA32" s="1350">
        <f t="shared" si="3"/>
        <v>1</v>
      </c>
      <c r="AB32" s="1350">
        <f t="shared" si="4"/>
        <v>1</v>
      </c>
      <c r="AC32" s="1957">
        <f t="shared" si="5"/>
        <v>1</v>
      </c>
    </row>
    <row r="33" spans="1:29" ht="15">
      <c r="A33" s="391" t="s">
        <v>1692</v>
      </c>
      <c r="B33" s="63" t="s">
        <v>1815</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32" t="s">
        <v>1694</v>
      </c>
      <c r="Q33" s="1349" t="str">
        <f t="shared" si="11"/>
        <v>建筑类型</v>
      </c>
      <c r="R33" s="704" t="s">
        <v>14</v>
      </c>
      <c r="S33" s="705">
        <f t="shared" si="12"/>
        <v>100</v>
      </c>
      <c r="T33" s="704" t="s">
        <v>14</v>
      </c>
      <c r="U33" s="705">
        <f t="shared" si="13"/>
        <v>100</v>
      </c>
      <c r="V33" s="704" t="s">
        <v>14</v>
      </c>
      <c r="W33" s="705">
        <f t="shared" si="14"/>
        <v>100</v>
      </c>
      <c r="X33" s="1352"/>
      <c r="Y33" s="3699" t="s">
        <v>1694</v>
      </c>
      <c r="Z33" s="1353" t="str">
        <f t="shared" si="15"/>
        <v>建筑类型</v>
      </c>
      <c r="AA33" s="1350">
        <f t="shared" si="3"/>
        <v>1</v>
      </c>
      <c r="AB33" s="1350">
        <f t="shared" si="4"/>
        <v>1</v>
      </c>
      <c r="AC33" s="1957">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3"/>
      <c r="Q34" s="706" t="str">
        <f t="shared" si="11"/>
        <v>项目建筑规模</v>
      </c>
      <c r="R34" s="707" t="s">
        <v>14</v>
      </c>
      <c r="S34" s="708" t="e">
        <f t="shared" si="12"/>
        <v>#N/A</v>
      </c>
      <c r="T34" s="707" t="s">
        <v>14</v>
      </c>
      <c r="U34" s="708" t="e">
        <f t="shared" si="13"/>
        <v>#N/A</v>
      </c>
      <c r="V34" s="707" t="s">
        <v>14</v>
      </c>
      <c r="W34" s="708" t="e">
        <f t="shared" si="14"/>
        <v>#N/A</v>
      </c>
      <c r="X34" s="709"/>
      <c r="Y34" s="3699"/>
      <c r="Z34" s="710" t="str">
        <f t="shared" si="15"/>
        <v>项目建筑规模</v>
      </c>
      <c r="AA34" s="1350" t="e">
        <f t="shared" si="3"/>
        <v>#N/A</v>
      </c>
      <c r="AB34" s="1350" t="e">
        <f t="shared" si="4"/>
        <v>#N/A</v>
      </c>
      <c r="AC34" s="1957"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3"/>
      <c r="Q35" s="1349" t="str">
        <f t="shared" si="11"/>
        <v>建筑结构</v>
      </c>
      <c r="R35" s="704" t="s">
        <v>14</v>
      </c>
      <c r="S35" s="705">
        <f t="shared" si="12"/>
        <v>100</v>
      </c>
      <c r="T35" s="704" t="s">
        <v>14</v>
      </c>
      <c r="U35" s="705">
        <f t="shared" si="13"/>
        <v>100</v>
      </c>
      <c r="V35" s="704" t="s">
        <v>14</v>
      </c>
      <c r="W35" s="705">
        <f t="shared" si="14"/>
        <v>100</v>
      </c>
      <c r="X35" s="1352"/>
      <c r="Y35" s="3699"/>
      <c r="Z35" s="1353" t="str">
        <f t="shared" si="15"/>
        <v>建筑结构</v>
      </c>
      <c r="AA35" s="1350">
        <f t="shared" si="3"/>
        <v>1</v>
      </c>
      <c r="AB35" s="1350">
        <f t="shared" si="4"/>
        <v>1</v>
      </c>
      <c r="AC35" s="1957">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3"/>
      <c r="Q36" s="1349" t="str">
        <f t="shared" si="11"/>
        <v>公共部分装修</v>
      </c>
      <c r="R36" s="704" t="s">
        <v>14</v>
      </c>
      <c r="S36" s="705">
        <f t="shared" si="12"/>
        <v>100</v>
      </c>
      <c r="T36" s="704" t="s">
        <v>14</v>
      </c>
      <c r="U36" s="705">
        <f t="shared" si="13"/>
        <v>100</v>
      </c>
      <c r="V36" s="704" t="s">
        <v>14</v>
      </c>
      <c r="W36" s="705">
        <f t="shared" si="14"/>
        <v>100</v>
      </c>
      <c r="X36" s="1352"/>
      <c r="Y36" s="3699"/>
      <c r="Z36" s="1353" t="str">
        <f t="shared" si="15"/>
        <v>公共部分装修</v>
      </c>
      <c r="AA36" s="1350">
        <f t="shared" si="3"/>
        <v>1</v>
      </c>
      <c r="AB36" s="1350">
        <f t="shared" si="4"/>
        <v>1</v>
      </c>
      <c r="AC36" s="1957">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3"/>
      <c r="Q37" s="1349" t="str">
        <f t="shared" si="11"/>
        <v>成新度</v>
      </c>
      <c r="R37" s="704" t="s">
        <v>14</v>
      </c>
      <c r="S37" s="705" t="e">
        <f t="shared" si="12"/>
        <v>#N/A</v>
      </c>
      <c r="T37" s="704" t="s">
        <v>14</v>
      </c>
      <c r="U37" s="705" t="e">
        <f t="shared" si="13"/>
        <v>#N/A</v>
      </c>
      <c r="V37" s="704" t="s">
        <v>14</v>
      </c>
      <c r="W37" s="705" t="e">
        <f t="shared" si="14"/>
        <v>#N/A</v>
      </c>
      <c r="X37" s="1352"/>
      <c r="Y37" s="3699"/>
      <c r="Z37" s="1353" t="str">
        <f t="shared" si="15"/>
        <v>成新度</v>
      </c>
      <c r="AA37" s="1350" t="e">
        <f t="shared" si="3"/>
        <v>#N/A</v>
      </c>
      <c r="AB37" s="1350" t="e">
        <f t="shared" si="4"/>
        <v>#N/A</v>
      </c>
      <c r="AC37" s="1957"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3"/>
      <c r="Q38" s="1340"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4">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3" t="s">
        <v>1694</v>
      </c>
      <c r="Q39" s="1349" t="str">
        <f t="shared" si="11"/>
        <v>物业管理</v>
      </c>
      <c r="R39" s="704" t="s">
        <v>14</v>
      </c>
      <c r="S39" s="705">
        <f t="shared" si="12"/>
        <v>100</v>
      </c>
      <c r="T39" s="704" t="s">
        <v>14</v>
      </c>
      <c r="U39" s="705">
        <f t="shared" si="13"/>
        <v>100</v>
      </c>
      <c r="V39" s="704" t="s">
        <v>14</v>
      </c>
      <c r="W39" s="705">
        <f t="shared" si="14"/>
        <v>100</v>
      </c>
      <c r="X39" s="1352"/>
      <c r="Y39" s="3699" t="s">
        <v>1694</v>
      </c>
      <c r="Z39" s="1353" t="str">
        <f t="shared" si="15"/>
        <v>物业管理</v>
      </c>
      <c r="AA39" s="1350">
        <f t="shared" si="3"/>
        <v>1</v>
      </c>
      <c r="AB39" s="1350">
        <f t="shared" si="4"/>
        <v>1</v>
      </c>
      <c r="AC39" s="1957">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3"/>
      <c r="Q40" s="1349" t="str">
        <f t="shared" si="11"/>
        <v>市政基础设施</v>
      </c>
      <c r="R40" s="704" t="s">
        <v>14</v>
      </c>
      <c r="S40" s="705">
        <f t="shared" si="12"/>
        <v>100</v>
      </c>
      <c r="T40" s="704" t="s">
        <v>14</v>
      </c>
      <c r="U40" s="705">
        <f t="shared" si="13"/>
        <v>100</v>
      </c>
      <c r="V40" s="704" t="s">
        <v>14</v>
      </c>
      <c r="W40" s="705">
        <f t="shared" si="14"/>
        <v>100</v>
      </c>
      <c r="X40" s="1352"/>
      <c r="Y40" s="3699"/>
      <c r="Z40" s="1353" t="str">
        <f t="shared" si="15"/>
        <v>市政基础设施</v>
      </c>
      <c r="AA40" s="1350">
        <f t="shared" si="3"/>
        <v>1</v>
      </c>
      <c r="AB40" s="1350">
        <f t="shared" si="4"/>
        <v>1</v>
      </c>
      <c r="AC40" s="1957">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3"/>
      <c r="Q41" s="1349" t="str">
        <f t="shared" si="11"/>
        <v>层高</v>
      </c>
      <c r="R41" s="704" t="s">
        <v>14</v>
      </c>
      <c r="S41" s="705">
        <f t="shared" si="12"/>
        <v>100</v>
      </c>
      <c r="T41" s="704" t="s">
        <v>14</v>
      </c>
      <c r="U41" s="705">
        <f t="shared" si="13"/>
        <v>100</v>
      </c>
      <c r="V41" s="704" t="s">
        <v>14</v>
      </c>
      <c r="W41" s="705">
        <f t="shared" si="14"/>
        <v>100</v>
      </c>
      <c r="X41" s="1352"/>
      <c r="Y41" s="3699"/>
      <c r="Z41" s="1353" t="str">
        <f t="shared" si="15"/>
        <v>层高</v>
      </c>
      <c r="AA41" s="1350">
        <f t="shared" si="3"/>
        <v>1</v>
      </c>
      <c r="AB41" s="1350">
        <f t="shared" si="4"/>
        <v>1</v>
      </c>
      <c r="AC41" s="1957">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3"/>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0">
        <f t="shared" si="3"/>
        <v>1</v>
      </c>
      <c r="AB42" s="1350">
        <f t="shared" si="4"/>
        <v>1</v>
      </c>
      <c r="AC42" s="1957">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3"/>
      <c r="Q43" s="1349" t="str">
        <f t="shared" si="11"/>
        <v>内部装修</v>
      </c>
      <c r="R43" s="704" t="s">
        <v>14</v>
      </c>
      <c r="S43" s="705">
        <f t="shared" si="12"/>
        <v>100</v>
      </c>
      <c r="T43" s="704" t="s">
        <v>14</v>
      </c>
      <c r="U43" s="705">
        <f t="shared" si="13"/>
        <v>100</v>
      </c>
      <c r="V43" s="704" t="s">
        <v>14</v>
      </c>
      <c r="W43" s="705">
        <f t="shared" si="14"/>
        <v>100</v>
      </c>
      <c r="X43" s="1352"/>
      <c r="Y43" s="3699"/>
      <c r="Z43" s="1353" t="str">
        <f t="shared" si="15"/>
        <v>内部装修</v>
      </c>
      <c r="AA43" s="1350">
        <f t="shared" si="3"/>
        <v>1</v>
      </c>
      <c r="AB43" s="1350">
        <f t="shared" si="4"/>
        <v>1</v>
      </c>
      <c r="AC43" s="1957">
        <f t="shared" si="5"/>
        <v>1</v>
      </c>
    </row>
    <row r="44" spans="1:29" ht="15">
      <c r="A44" s="423"/>
      <c r="B44" s="375" t="s">
        <v>1705</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33"/>
      <c r="Q44" s="1349" t="str">
        <f t="shared" si="11"/>
        <v>内部装修维护情况</v>
      </c>
      <c r="R44" s="704" t="s">
        <v>14</v>
      </c>
      <c r="S44" s="705">
        <f t="shared" si="12"/>
        <v>100</v>
      </c>
      <c r="T44" s="704" t="s">
        <v>14</v>
      </c>
      <c r="U44" s="705">
        <f t="shared" si="13"/>
        <v>100</v>
      </c>
      <c r="V44" s="704" t="s">
        <v>14</v>
      </c>
      <c r="W44" s="705">
        <f t="shared" si="14"/>
        <v>100</v>
      </c>
      <c r="X44" s="1352"/>
      <c r="Y44" s="3699"/>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3"/>
      <c r="Q45" s="1340">
        <f t="shared" si="11"/>
        <v>111</v>
      </c>
      <c r="R45" s="700" t="s">
        <v>14</v>
      </c>
      <c r="S45" s="701">
        <f t="shared" si="12"/>
        <v>100</v>
      </c>
      <c r="T45" s="700" t="s">
        <v>14</v>
      </c>
      <c r="U45" s="701">
        <f t="shared" si="13"/>
        <v>100</v>
      </c>
      <c r="V45" s="700" t="s">
        <v>14</v>
      </c>
      <c r="W45" s="701">
        <f t="shared" si="14"/>
        <v>100</v>
      </c>
      <c r="X45" s="702"/>
      <c r="Y45" s="3699"/>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3"/>
      <c r="Q46" s="1349">
        <f t="shared" si="11"/>
        <v>111</v>
      </c>
      <c r="R46" s="704" t="s">
        <v>14</v>
      </c>
      <c r="S46" s="705">
        <f t="shared" si="12"/>
        <v>100</v>
      </c>
      <c r="T46" s="704" t="s">
        <v>14</v>
      </c>
      <c r="U46" s="705">
        <f t="shared" si="13"/>
        <v>100</v>
      </c>
      <c r="V46" s="704" t="s">
        <v>14</v>
      </c>
      <c r="W46" s="705">
        <f t="shared" si="14"/>
        <v>100</v>
      </c>
      <c r="X46" s="1352"/>
      <c r="Y46" s="3699"/>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4"/>
      <c r="Q47" s="1349">
        <f t="shared" si="11"/>
        <v>111</v>
      </c>
      <c r="R47" s="704" t="s">
        <v>14</v>
      </c>
      <c r="S47" s="705">
        <f t="shared" si="12"/>
        <v>100</v>
      </c>
      <c r="T47" s="704" t="s">
        <v>14</v>
      </c>
      <c r="U47" s="705">
        <f t="shared" si="13"/>
        <v>100</v>
      </c>
      <c r="V47" s="704" t="s">
        <v>14</v>
      </c>
      <c r="W47" s="705">
        <f t="shared" si="14"/>
        <v>100</v>
      </c>
      <c r="X47" s="1352"/>
      <c r="Y47" s="3735"/>
      <c r="Z47" s="1353">
        <f t="shared" si="15"/>
        <v>111</v>
      </c>
      <c r="AA47" s="1350">
        <f t="shared" si="3"/>
        <v>1</v>
      </c>
      <c r="AB47" s="1350">
        <f t="shared" si="4"/>
        <v>1</v>
      </c>
      <c r="AC47" s="1957">
        <f t="shared" si="5"/>
        <v>1</v>
      </c>
    </row>
    <row r="48" spans="1:29" ht="15">
      <c r="A48" s="430" t="s">
        <v>1706</v>
      </c>
      <c r="B48" s="431"/>
      <c r="C48" s="1152" t="s">
        <v>0</v>
      </c>
      <c r="D48" s="1153"/>
      <c r="E48" s="1154"/>
      <c r="F48" s="1155"/>
      <c r="G48" s="1156"/>
      <c r="H48" s="1157"/>
      <c r="I48" s="1154"/>
      <c r="J48" s="436"/>
      <c r="K48" s="713"/>
      <c r="L48" s="2719"/>
      <c r="M48" s="2711"/>
      <c r="N48" s="2711"/>
      <c r="O48" s="2711"/>
      <c r="P48" s="3694" t="str">
        <f>A48</f>
        <v>成交单价（元/平方米）</v>
      </c>
      <c r="Q48" s="3695"/>
      <c r="R48" s="3731">
        <f>E48</f>
        <v>0</v>
      </c>
      <c r="S48" s="3731"/>
      <c r="T48" s="3731">
        <f>G48</f>
        <v>0</v>
      </c>
      <c r="U48" s="3731"/>
      <c r="V48" s="3731">
        <f>I48</f>
        <v>0</v>
      </c>
      <c r="W48" s="3731"/>
      <c r="X48" s="397"/>
      <c r="Y48" s="711"/>
      <c r="Z48" s="397"/>
      <c r="AA48" s="397"/>
      <c r="AB48" s="397"/>
      <c r="AC48" s="578"/>
    </row>
    <row r="49" spans="1:29" ht="15.75" thickBot="1">
      <c r="A49" s="437" t="s">
        <v>1791</v>
      </c>
      <c r="B49" s="438"/>
      <c r="C49" s="1158" t="e">
        <f>R50</f>
        <v>#DIV/0!</v>
      </c>
      <c r="D49" s="2312" t="s">
        <v>2135</v>
      </c>
      <c r="E49" s="1159" t="e">
        <f>R49</f>
        <v>#DIV/0!</v>
      </c>
      <c r="F49" s="2313"/>
      <c r="G49" s="1158" t="e">
        <f>T49</f>
        <v>#DIV/0!</v>
      </c>
      <c r="H49" s="2313"/>
      <c r="I49" s="1159" t="e">
        <f>V49</f>
        <v>#DIV/0!</v>
      </c>
      <c r="J49" s="2313"/>
      <c r="K49" s="2315">
        <f>F49+H49+J49</f>
        <v>0</v>
      </c>
      <c r="L49" s="2719"/>
      <c r="M49" s="2711"/>
      <c r="N49" s="2711"/>
      <c r="O49" s="2711"/>
      <c r="P49" s="3694" t="str">
        <f>A49</f>
        <v>比较价值（元/平方米）</v>
      </c>
      <c r="Q49" s="3695"/>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1792</v>
      </c>
      <c r="B50" s="442"/>
      <c r="C50" s="1161" t="e">
        <f>R50</f>
        <v>#DIV/0!</v>
      </c>
      <c r="D50" s="1161"/>
      <c r="E50" s="1161"/>
      <c r="F50" s="1161"/>
      <c r="G50" s="1161"/>
      <c r="H50" s="1161"/>
      <c r="I50" s="1161"/>
      <c r="J50" s="443"/>
      <c r="K50" s="714"/>
      <c r="L50" s="2719"/>
      <c r="M50" s="2711"/>
      <c r="N50" s="2711"/>
      <c r="O50" s="2711"/>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1796</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1824</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50816.34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692" t="s">
        <v>1768</v>
      </c>
      <c r="D4" s="3704"/>
      <c r="E4" s="3705" t="s">
        <v>1769</v>
      </c>
      <c r="F4" s="3706"/>
      <c r="G4" s="3692" t="s">
        <v>1770</v>
      </c>
      <c r="H4" s="3704"/>
      <c r="I4" s="3692" t="s">
        <v>1771</v>
      </c>
      <c r="J4" s="3704"/>
      <c r="K4" s="559" t="s">
        <v>1772</v>
      </c>
      <c r="L4" s="912"/>
      <c r="M4" s="913"/>
      <c r="N4" s="913"/>
      <c r="O4" s="913"/>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29" ht="15">
      <c r="A5" s="358"/>
      <c r="B5" s="359"/>
      <c r="C5" s="3721" t="s">
        <v>1671</v>
      </c>
      <c r="D5" s="3722"/>
      <c r="E5" s="3728" t="s">
        <v>1672</v>
      </c>
      <c r="F5" s="3729"/>
      <c r="G5" s="3721" t="s">
        <v>1673</v>
      </c>
      <c r="H5" s="3722"/>
      <c r="I5" s="3721" t="s">
        <v>1674</v>
      </c>
      <c r="J5" s="3722"/>
      <c r="K5" s="559"/>
      <c r="L5" s="912"/>
      <c r="M5" s="913"/>
      <c r="N5" s="913"/>
      <c r="O5" s="913"/>
      <c r="P5" s="3709"/>
      <c r="Q5" s="3710"/>
      <c r="R5" s="3715"/>
      <c r="S5" s="3716"/>
      <c r="T5" s="3715"/>
      <c r="U5" s="3716"/>
      <c r="V5" s="3700"/>
      <c r="W5" s="3700"/>
      <c r="X5" s="1352"/>
      <c r="Y5" s="3715"/>
      <c r="Z5" s="3716"/>
      <c r="AA5" s="3702"/>
      <c r="AB5" s="3702"/>
      <c r="AC5" s="3702"/>
    </row>
    <row r="6" spans="1:29" ht="15.75" thickBot="1">
      <c r="A6" s="360"/>
      <c r="B6" s="361"/>
      <c r="C6" s="3719" t="s">
        <v>1675</v>
      </c>
      <c r="D6" s="3720"/>
      <c r="E6" s="3726" t="s">
        <v>1675</v>
      </c>
      <c r="F6" s="3727"/>
      <c r="G6" s="3719" t="s">
        <v>1675</v>
      </c>
      <c r="H6" s="3720"/>
      <c r="I6" s="3719" t="s">
        <v>1675</v>
      </c>
      <c r="J6" s="3720"/>
      <c r="K6" s="559" t="s">
        <v>1676</v>
      </c>
      <c r="L6" s="912"/>
      <c r="M6" s="913"/>
      <c r="N6" s="913"/>
      <c r="O6" s="913"/>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23"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3" t="s">
        <v>1681</v>
      </c>
      <c r="Q8" s="3724"/>
      <c r="R8" s="700" t="s">
        <v>14</v>
      </c>
      <c r="S8" s="701">
        <f t="shared" si="0"/>
        <v>100</v>
      </c>
      <c r="T8" s="700" t="s">
        <v>14</v>
      </c>
      <c r="U8" s="701">
        <f t="shared" si="1"/>
        <v>100</v>
      </c>
      <c r="V8" s="700" t="s">
        <v>14</v>
      </c>
      <c r="W8" s="701">
        <f t="shared" si="2"/>
        <v>100</v>
      </c>
      <c r="X8" s="702"/>
      <c r="Y8" s="3723" t="s">
        <v>1681</v>
      </c>
      <c r="Z8" s="3724"/>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5"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695"/>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5"/>
      <c r="Q11" s="1340" t="str">
        <f t="shared" si="6"/>
        <v>容积率</v>
      </c>
      <c r="R11" s="700" t="s">
        <v>14</v>
      </c>
      <c r="S11" s="701">
        <f t="shared" si="0"/>
        <v>100</v>
      </c>
      <c r="T11" s="700" t="s">
        <v>14</v>
      </c>
      <c r="U11" s="701">
        <f t="shared" si="1"/>
        <v>100</v>
      </c>
      <c r="V11" s="700" t="s">
        <v>14</v>
      </c>
      <c r="W11" s="701">
        <f t="shared" si="2"/>
        <v>100</v>
      </c>
      <c r="X11" s="702"/>
      <c r="Y11" s="3592"/>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695"/>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695"/>
      <c r="Q14" s="1340">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703">
        <f t="shared" si="5"/>
        <v>1</v>
      </c>
    </row>
    <row r="15" spans="1:29" ht="57">
      <c r="A15" s="391" t="s">
        <v>1688</v>
      </c>
      <c r="B15" s="61" t="s">
        <v>1825</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6" t="s">
        <v>1689</v>
      </c>
      <c r="Q15" s="1349" t="str">
        <f t="shared" si="6"/>
        <v>产业集聚程度</v>
      </c>
      <c r="R15" s="704" t="s">
        <v>14</v>
      </c>
      <c r="S15" s="705">
        <f t="shared" si="0"/>
        <v>100</v>
      </c>
      <c r="T15" s="704" t="s">
        <v>14</v>
      </c>
      <c r="U15" s="705">
        <f t="shared" si="1"/>
        <v>100</v>
      </c>
      <c r="V15" s="704" t="s">
        <v>14</v>
      </c>
      <c r="W15" s="705">
        <f t="shared" si="2"/>
        <v>100</v>
      </c>
      <c r="X15" s="1352"/>
      <c r="Y15" s="3696"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697"/>
      <c r="Q16" s="1349"/>
      <c r="R16" s="704"/>
      <c r="S16" s="705"/>
      <c r="T16" s="704"/>
      <c r="U16" s="705"/>
      <c r="V16" s="704"/>
      <c r="W16" s="705"/>
      <c r="X16" s="1352"/>
      <c r="Y16" s="3697"/>
      <c r="Z16" s="1353"/>
      <c r="AA16" s="1350">
        <v>1</v>
      </c>
      <c r="AB16" s="1350">
        <v>1</v>
      </c>
      <c r="AC16" s="1350">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7"/>
      <c r="Q17" s="1349" t="str">
        <f>B17</f>
        <v>交通便捷度</v>
      </c>
      <c r="R17" s="704" t="s">
        <v>14</v>
      </c>
      <c r="S17" s="705">
        <f>F17</f>
        <v>100</v>
      </c>
      <c r="T17" s="704" t="s">
        <v>14</v>
      </c>
      <c r="U17" s="705">
        <f>H17</f>
        <v>100</v>
      </c>
      <c r="V17" s="704" t="s">
        <v>14</v>
      </c>
      <c r="W17" s="705">
        <f>J17</f>
        <v>100</v>
      </c>
      <c r="X17" s="1352"/>
      <c r="Y17" s="3697"/>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697"/>
      <c r="Q18" s="1349"/>
      <c r="R18" s="704"/>
      <c r="S18" s="705"/>
      <c r="T18" s="704"/>
      <c r="U18" s="705"/>
      <c r="V18" s="704"/>
      <c r="W18" s="705"/>
      <c r="X18" s="1352"/>
      <c r="Y18" s="3697"/>
      <c r="Z18" s="1353"/>
      <c r="AA18" s="1350">
        <v>1</v>
      </c>
      <c r="AB18" s="1350">
        <v>1</v>
      </c>
      <c r="AC18" s="1350">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7"/>
      <c r="Q19" s="1349" t="str">
        <f>B19</f>
        <v>公共配套设施</v>
      </c>
      <c r="R19" s="704" t="s">
        <v>14</v>
      </c>
      <c r="S19" s="705">
        <f>F19</f>
        <v>100</v>
      </c>
      <c r="T19" s="704" t="s">
        <v>14</v>
      </c>
      <c r="U19" s="705">
        <f>H19</f>
        <v>100</v>
      </c>
      <c r="V19" s="704" t="s">
        <v>14</v>
      </c>
      <c r="W19" s="705">
        <f>J19</f>
        <v>100</v>
      </c>
      <c r="X19" s="1352"/>
      <c r="Y19" s="3697"/>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697"/>
      <c r="Q20" s="1349"/>
      <c r="R20" s="704"/>
      <c r="S20" s="705"/>
      <c r="T20" s="704"/>
      <c r="U20" s="705"/>
      <c r="V20" s="704"/>
      <c r="W20" s="705"/>
      <c r="X20" s="1352"/>
      <c r="Y20" s="3697"/>
      <c r="Z20" s="1353"/>
      <c r="AA20" s="1350">
        <v>1</v>
      </c>
      <c r="AB20" s="1350">
        <v>1</v>
      </c>
      <c r="AC20" s="1350">
        <v>1</v>
      </c>
    </row>
    <row r="21" spans="1:29" ht="28.5">
      <c r="A21" s="379"/>
      <c r="B21" s="1129"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7"/>
      <c r="Q21" s="1349" t="str">
        <f>B21</f>
        <v>基础设施水平</v>
      </c>
      <c r="R21" s="704" t="s">
        <v>14</v>
      </c>
      <c r="S21" s="705">
        <f>F21</f>
        <v>100</v>
      </c>
      <c r="T21" s="704" t="s">
        <v>14</v>
      </c>
      <c r="U21" s="705">
        <f>H21</f>
        <v>100</v>
      </c>
      <c r="V21" s="704" t="s">
        <v>14</v>
      </c>
      <c r="W21" s="705">
        <f>J21</f>
        <v>100</v>
      </c>
      <c r="X21" s="1352"/>
      <c r="Y21" s="3697"/>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697"/>
      <c r="Q22" s="1349"/>
      <c r="R22" s="704"/>
      <c r="S22" s="705"/>
      <c r="T22" s="704"/>
      <c r="U22" s="705"/>
      <c r="V22" s="704"/>
      <c r="W22" s="705"/>
      <c r="X22" s="1352"/>
      <c r="Y22" s="3697"/>
      <c r="Z22" s="1353"/>
      <c r="AA22" s="1350">
        <v>1</v>
      </c>
      <c r="AB22" s="1350">
        <v>1</v>
      </c>
      <c r="AC22" s="1350">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7"/>
      <c r="Q23" s="1349" t="str">
        <f>B23</f>
        <v>环境质量</v>
      </c>
      <c r="R23" s="704" t="s">
        <v>14</v>
      </c>
      <c r="S23" s="705">
        <f>F23</f>
        <v>100</v>
      </c>
      <c r="T23" s="704" t="s">
        <v>14</v>
      </c>
      <c r="U23" s="705">
        <f>H23</f>
        <v>100</v>
      </c>
      <c r="V23" s="704" t="s">
        <v>14</v>
      </c>
      <c r="W23" s="705">
        <f>J23</f>
        <v>100</v>
      </c>
      <c r="X23" s="1352"/>
      <c r="Y23" s="3697"/>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697"/>
      <c r="Q24" s="1349"/>
      <c r="R24" s="704"/>
      <c r="S24" s="705"/>
      <c r="T24" s="704"/>
      <c r="U24" s="705"/>
      <c r="V24" s="704"/>
      <c r="W24" s="705"/>
      <c r="X24" s="1352"/>
      <c r="Y24" s="3697"/>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7"/>
      <c r="Q25" s="1349">
        <f>B25</f>
        <v>111</v>
      </c>
      <c r="R25" s="704" t="s">
        <v>14</v>
      </c>
      <c r="S25" s="705">
        <f>F25</f>
        <v>100</v>
      </c>
      <c r="T25" s="704" t="s">
        <v>14</v>
      </c>
      <c r="U25" s="705">
        <f>H25</f>
        <v>100</v>
      </c>
      <c r="V25" s="704" t="s">
        <v>14</v>
      </c>
      <c r="W25" s="705">
        <f>J25</f>
        <v>100</v>
      </c>
      <c r="X25" s="1352"/>
      <c r="Y25" s="3697"/>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7"/>
      <c r="Q26" s="1349">
        <f t="shared" ref="Q26:Q40" si="11">B26</f>
        <v>111</v>
      </c>
      <c r="R26" s="704" t="s">
        <v>14</v>
      </c>
      <c r="S26" s="705">
        <f>F26</f>
        <v>100</v>
      </c>
      <c r="T26" s="704" t="s">
        <v>14</v>
      </c>
      <c r="U26" s="705">
        <f>H26</f>
        <v>100</v>
      </c>
      <c r="V26" s="704" t="s">
        <v>14</v>
      </c>
      <c r="W26" s="705">
        <f>J26</f>
        <v>100</v>
      </c>
      <c r="X26" s="1352"/>
      <c r="Y26" s="3697"/>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7"/>
      <c r="Q27" s="1340">
        <f t="shared" si="11"/>
        <v>111</v>
      </c>
      <c r="R27" s="700" t="s">
        <v>14</v>
      </c>
      <c r="S27" s="701">
        <f>F27</f>
        <v>100</v>
      </c>
      <c r="T27" s="700" t="s">
        <v>14</v>
      </c>
      <c r="U27" s="701">
        <f>H27</f>
        <v>100</v>
      </c>
      <c r="V27" s="700" t="s">
        <v>14</v>
      </c>
      <c r="W27" s="701">
        <f>J27</f>
        <v>100</v>
      </c>
      <c r="X27" s="702"/>
      <c r="Y27" s="3697"/>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7"/>
      <c r="Q28" s="1349">
        <f t="shared" si="11"/>
        <v>111</v>
      </c>
      <c r="R28" s="704" t="s">
        <v>14</v>
      </c>
      <c r="S28" s="705">
        <f t="shared" ref="S28:S40" si="12">F28</f>
        <v>100</v>
      </c>
      <c r="T28" s="704" t="s">
        <v>14</v>
      </c>
      <c r="U28" s="705">
        <f t="shared" ref="U28:U40" si="13">H28</f>
        <v>100</v>
      </c>
      <c r="V28" s="704" t="s">
        <v>14</v>
      </c>
      <c r="W28" s="705">
        <f t="shared" ref="W28:W40" si="14">J28</f>
        <v>100</v>
      </c>
      <c r="X28" s="1352"/>
      <c r="Y28" s="3697"/>
      <c r="Z28" s="1353">
        <f t="shared" ref="Z28:Z40" si="15">Q28</f>
        <v>111</v>
      </c>
      <c r="AA28" s="1350">
        <f t="shared" si="3"/>
        <v>1</v>
      </c>
      <c r="AB28" s="1350">
        <f t="shared" si="4"/>
        <v>1</v>
      </c>
      <c r="AC28" s="1350">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698" t="s">
        <v>1694</v>
      </c>
      <c r="Q29" s="1349" t="str">
        <f t="shared" si="11"/>
        <v>建筑类型</v>
      </c>
      <c r="R29" s="704" t="s">
        <v>14</v>
      </c>
      <c r="S29" s="705">
        <f t="shared" si="12"/>
        <v>100</v>
      </c>
      <c r="T29" s="704" t="s">
        <v>14</v>
      </c>
      <c r="U29" s="705">
        <f t="shared" si="13"/>
        <v>100</v>
      </c>
      <c r="V29" s="704" t="s">
        <v>14</v>
      </c>
      <c r="W29" s="705">
        <f t="shared" si="14"/>
        <v>100</v>
      </c>
      <c r="X29" s="1352"/>
      <c r="Y29" s="3699"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9"/>
      <c r="Q31" s="1349" t="str">
        <f t="shared" si="11"/>
        <v>建筑结构</v>
      </c>
      <c r="R31" s="704" t="s">
        <v>14</v>
      </c>
      <c r="S31" s="705">
        <f t="shared" si="12"/>
        <v>100</v>
      </c>
      <c r="T31" s="704" t="s">
        <v>14</v>
      </c>
      <c r="U31" s="705">
        <f t="shared" si="13"/>
        <v>100</v>
      </c>
      <c r="V31" s="704" t="s">
        <v>14</v>
      </c>
      <c r="W31" s="705">
        <f t="shared" si="14"/>
        <v>100</v>
      </c>
      <c r="X31" s="1352"/>
      <c r="Y31" s="3699"/>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9"/>
      <c r="Q32" s="1349" t="str">
        <f t="shared" si="11"/>
        <v>公共部分装修</v>
      </c>
      <c r="R32" s="704" t="s">
        <v>14</v>
      </c>
      <c r="S32" s="705">
        <f t="shared" si="12"/>
        <v>100</v>
      </c>
      <c r="T32" s="704" t="s">
        <v>14</v>
      </c>
      <c r="U32" s="705">
        <f t="shared" si="13"/>
        <v>100</v>
      </c>
      <c r="V32" s="704" t="s">
        <v>14</v>
      </c>
      <c r="W32" s="705">
        <f t="shared" si="14"/>
        <v>100</v>
      </c>
      <c r="X32" s="1352"/>
      <c r="Y32" s="3699"/>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9"/>
      <c r="Q33" s="1349" t="str">
        <f t="shared" si="11"/>
        <v>成新度</v>
      </c>
      <c r="R33" s="704" t="s">
        <v>14</v>
      </c>
      <c r="S33" s="705" t="e">
        <f t="shared" si="12"/>
        <v>#N/A</v>
      </c>
      <c r="T33" s="704" t="s">
        <v>14</v>
      </c>
      <c r="U33" s="705" t="e">
        <f t="shared" si="13"/>
        <v>#N/A</v>
      </c>
      <c r="V33" s="704" t="s">
        <v>14</v>
      </c>
      <c r="W33" s="705" t="e">
        <f t="shared" si="14"/>
        <v>#N/A</v>
      </c>
      <c r="X33" s="1352"/>
      <c r="Y33" s="3699"/>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9"/>
      <c r="Q34" s="1340"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9" t="s">
        <v>1694</v>
      </c>
      <c r="Q35" s="1349" t="str">
        <f t="shared" si="11"/>
        <v>市政基础设施</v>
      </c>
      <c r="R35" s="704" t="s">
        <v>14</v>
      </c>
      <c r="S35" s="705">
        <f t="shared" si="12"/>
        <v>100</v>
      </c>
      <c r="T35" s="704" t="s">
        <v>14</v>
      </c>
      <c r="U35" s="705">
        <f t="shared" si="13"/>
        <v>100</v>
      </c>
      <c r="V35" s="704" t="s">
        <v>14</v>
      </c>
      <c r="W35" s="705">
        <f t="shared" si="14"/>
        <v>100</v>
      </c>
      <c r="X35" s="1352"/>
      <c r="Y35" s="3699"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9"/>
      <c r="Q36" s="1349" t="str">
        <f t="shared" si="11"/>
        <v>内部装修</v>
      </c>
      <c r="R36" s="704" t="s">
        <v>14</v>
      </c>
      <c r="S36" s="705">
        <f t="shared" si="12"/>
        <v>100</v>
      </c>
      <c r="T36" s="704" t="s">
        <v>14</v>
      </c>
      <c r="U36" s="705">
        <f t="shared" si="13"/>
        <v>100</v>
      </c>
      <c r="V36" s="704" t="s">
        <v>14</v>
      </c>
      <c r="W36" s="705">
        <f t="shared" si="14"/>
        <v>100</v>
      </c>
      <c r="X36" s="1352"/>
      <c r="Y36" s="3699"/>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9"/>
      <c r="Q37" s="1349" t="str">
        <f t="shared" si="11"/>
        <v>内部装修状况</v>
      </c>
      <c r="R37" s="704" t="s">
        <v>14</v>
      </c>
      <c r="S37" s="705">
        <f t="shared" si="12"/>
        <v>100</v>
      </c>
      <c r="T37" s="704" t="s">
        <v>14</v>
      </c>
      <c r="U37" s="705">
        <f t="shared" si="13"/>
        <v>100</v>
      </c>
      <c r="V37" s="704" t="s">
        <v>14</v>
      </c>
      <c r="W37" s="705">
        <f t="shared" si="14"/>
        <v>100</v>
      </c>
      <c r="X37" s="1352"/>
      <c r="Y37" s="3699"/>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9"/>
      <c r="Q39" s="1349">
        <f t="shared" si="11"/>
        <v>111</v>
      </c>
      <c r="R39" s="704" t="s">
        <v>14</v>
      </c>
      <c r="S39" s="705">
        <f t="shared" si="12"/>
        <v>100</v>
      </c>
      <c r="T39" s="704" t="s">
        <v>14</v>
      </c>
      <c r="U39" s="705">
        <f t="shared" si="13"/>
        <v>100</v>
      </c>
      <c r="V39" s="704" t="s">
        <v>14</v>
      </c>
      <c r="W39" s="705">
        <f t="shared" si="14"/>
        <v>100</v>
      </c>
      <c r="X39" s="1352"/>
      <c r="Y39" s="3699"/>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5"/>
      <c r="Q40" s="1349">
        <f t="shared" si="11"/>
        <v>111</v>
      </c>
      <c r="R40" s="704" t="s">
        <v>14</v>
      </c>
      <c r="S40" s="705">
        <f t="shared" si="12"/>
        <v>100</v>
      </c>
      <c r="T40" s="704" t="s">
        <v>14</v>
      </c>
      <c r="U40" s="705">
        <f t="shared" si="13"/>
        <v>100</v>
      </c>
      <c r="V40" s="704" t="s">
        <v>14</v>
      </c>
      <c r="W40" s="705">
        <f t="shared" si="14"/>
        <v>100</v>
      </c>
      <c r="X40" s="1352"/>
      <c r="Y40" s="3735"/>
      <c r="Z40" s="1353">
        <f t="shared" si="15"/>
        <v>111</v>
      </c>
      <c r="AA40" s="1350">
        <f t="shared" si="3"/>
        <v>1</v>
      </c>
      <c r="AB40" s="1350">
        <f t="shared" si="4"/>
        <v>1</v>
      </c>
      <c r="AC40" s="1350">
        <f t="shared" si="5"/>
        <v>1</v>
      </c>
    </row>
    <row r="41" spans="1:29" ht="15">
      <c r="A41" s="430" t="s">
        <v>1706</v>
      </c>
      <c r="B41" s="431"/>
      <c r="C41" s="1152" t="s">
        <v>0</v>
      </c>
      <c r="D41" s="1153"/>
      <c r="E41" s="1154"/>
      <c r="F41" s="1155"/>
      <c r="G41" s="1156"/>
      <c r="H41" s="1157"/>
      <c r="I41" s="1154"/>
      <c r="J41" s="1157"/>
      <c r="K41" s="713"/>
      <c r="L41" s="925"/>
      <c r="M41" s="926"/>
      <c r="N41" s="913"/>
      <c r="O41" s="926"/>
      <c r="P41" s="3695" t="str">
        <f>A41</f>
        <v>成交单价（元/平方米）</v>
      </c>
      <c r="Q41" s="3695"/>
      <c r="R41" s="3731">
        <f>E41</f>
        <v>0</v>
      </c>
      <c r="S41" s="3731"/>
      <c r="T41" s="3731">
        <f>G41</f>
        <v>0</v>
      </c>
      <c r="U41" s="3731"/>
      <c r="V41" s="3731">
        <f>I41</f>
        <v>0</v>
      </c>
      <c r="W41" s="3731"/>
      <c r="X41" s="689"/>
      <c r="Y41" s="711"/>
      <c r="Z41" s="689"/>
      <c r="AA41" s="689"/>
      <c r="AB41" s="689"/>
      <c r="AC41" s="689"/>
    </row>
    <row r="42" spans="1:29" ht="15.75" thickBot="1">
      <c r="A42" s="437" t="s">
        <v>1791</v>
      </c>
      <c r="B42" s="438"/>
      <c r="C42" s="1158" t="e">
        <f>R43</f>
        <v>#DIV/0!</v>
      </c>
      <c r="D42" s="2312" t="s">
        <v>2135</v>
      </c>
      <c r="E42" s="1159" t="e">
        <f>R42</f>
        <v>#DIV/0!</v>
      </c>
      <c r="F42" s="2313"/>
      <c r="G42" s="1158" t="e">
        <f>T42</f>
        <v>#DIV/0!</v>
      </c>
      <c r="H42" s="2313"/>
      <c r="I42" s="1159" t="e">
        <f>V42</f>
        <v>#DIV/0!</v>
      </c>
      <c r="J42" s="2313"/>
      <c r="K42" s="2315">
        <f>F42+H42+J42</f>
        <v>0</v>
      </c>
      <c r="L42" s="925"/>
      <c r="M42" s="926"/>
      <c r="N42" s="913"/>
      <c r="O42" s="926"/>
      <c r="P42" s="3695" t="str">
        <f>A42</f>
        <v>比较价值（元/平方米）</v>
      </c>
      <c r="Q42" s="3695"/>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689" t="str">
        <f>A43</f>
        <v>估价对象XX用房的比较价值（楼面单价，元/平方米）</v>
      </c>
      <c r="Q43" s="3690"/>
      <c r="R43" s="3730" t="e">
        <f>IF(F1="售价",ROUND(IF(D42="简单平均",AVERAGE(R42:V42),R42*F42+T42*H42+V42*J42),0),ROUND(IF(D42="简单平均",AVERAGE(R42:V42),R42*F42+T42*H42+V42*J42),1))</f>
        <v>#DIV/0!</v>
      </c>
      <c r="S43" s="3730"/>
      <c r="T43" s="3730"/>
      <c r="U43" s="3730"/>
      <c r="V43" s="3730"/>
      <c r="W43" s="3730"/>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3337</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29" ht="15">
      <c r="A5" s="358"/>
      <c r="B5" s="359"/>
      <c r="C5" s="3721" t="s">
        <v>1671</v>
      </c>
      <c r="D5" s="3722"/>
      <c r="E5" s="3728" t="s">
        <v>1672</v>
      </c>
      <c r="F5" s="3729"/>
      <c r="G5" s="3721" t="s">
        <v>1673</v>
      </c>
      <c r="H5" s="3722"/>
      <c r="I5" s="3721" t="s">
        <v>1674</v>
      </c>
      <c r="J5" s="3722"/>
      <c r="K5" s="559"/>
      <c r="L5" s="2710"/>
      <c r="M5" s="2711"/>
      <c r="N5" s="2711"/>
      <c r="O5" s="2711"/>
      <c r="P5" s="3709"/>
      <c r="Q5" s="3710"/>
      <c r="R5" s="3715"/>
      <c r="S5" s="3716"/>
      <c r="T5" s="3715"/>
      <c r="U5" s="3716"/>
      <c r="V5" s="3700"/>
      <c r="W5" s="3700"/>
      <c r="X5" s="1352"/>
      <c r="Y5" s="3715"/>
      <c r="Z5" s="3716"/>
      <c r="AA5" s="3702"/>
      <c r="AB5" s="3702"/>
      <c r="AC5" s="3702"/>
    </row>
    <row r="6" spans="1:29" ht="15.75" thickBot="1">
      <c r="A6" s="360"/>
      <c r="B6" s="361"/>
      <c r="C6" s="3719" t="s">
        <v>1675</v>
      </c>
      <c r="D6" s="3720"/>
      <c r="E6" s="3726" t="s">
        <v>1675</v>
      </c>
      <c r="F6" s="3727"/>
      <c r="G6" s="3719" t="s">
        <v>1675</v>
      </c>
      <c r="H6" s="3720"/>
      <c r="I6" s="3719" t="s">
        <v>1675</v>
      </c>
      <c r="J6" s="3720"/>
      <c r="K6" s="559" t="s">
        <v>1676</v>
      </c>
      <c r="L6" s="2710"/>
      <c r="M6" s="2711"/>
      <c r="N6" s="2711"/>
      <c r="O6" s="2711"/>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23" t="s">
        <v>1678</v>
      </c>
      <c r="Q7" s="3725"/>
      <c r="R7" s="700" t="s">
        <v>14</v>
      </c>
      <c r="S7" s="701">
        <f t="shared" ref="S7:S14" si="0">F7</f>
        <v>0</v>
      </c>
      <c r="T7" s="700" t="s">
        <v>14</v>
      </c>
      <c r="U7" s="701">
        <f t="shared" ref="U7:U14" si="1">H7</f>
        <v>0</v>
      </c>
      <c r="V7" s="700" t="s">
        <v>14</v>
      </c>
      <c r="W7" s="701">
        <f t="shared" ref="W7:W14" si="2">J7</f>
        <v>0</v>
      </c>
      <c r="X7" s="702"/>
      <c r="Y7" s="3723" t="s">
        <v>1678</v>
      </c>
      <c r="Z7" s="3724"/>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23" t="s">
        <v>1681</v>
      </c>
      <c r="Q8" s="3724"/>
      <c r="R8" s="700" t="s">
        <v>14</v>
      </c>
      <c r="S8" s="701">
        <f t="shared" si="0"/>
        <v>100</v>
      </c>
      <c r="T8" s="700" t="s">
        <v>14</v>
      </c>
      <c r="U8" s="701">
        <f t="shared" si="1"/>
        <v>100</v>
      </c>
      <c r="V8" s="700" t="s">
        <v>14</v>
      </c>
      <c r="W8" s="701">
        <f t="shared" si="2"/>
        <v>100</v>
      </c>
      <c r="X8" s="702"/>
      <c r="Y8" s="3723" t="s">
        <v>1681</v>
      </c>
      <c r="Z8" s="3724"/>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5" t="s">
        <v>1684</v>
      </c>
      <c r="Q9" s="1340" t="str">
        <f t="shared" ref="Q9:Q14" si="6">B9</f>
        <v>用途</v>
      </c>
      <c r="R9" s="700" t="s">
        <v>14</v>
      </c>
      <c r="S9" s="701">
        <f t="shared" si="0"/>
        <v>100</v>
      </c>
      <c r="T9" s="700" t="s">
        <v>14</v>
      </c>
      <c r="U9" s="701">
        <f t="shared" si="1"/>
        <v>100</v>
      </c>
      <c r="V9" s="700" t="s">
        <v>14</v>
      </c>
      <c r="W9" s="701">
        <f t="shared" si="2"/>
        <v>100</v>
      </c>
      <c r="X9" s="702"/>
      <c r="Y9" s="3592" t="s">
        <v>1685</v>
      </c>
      <c r="Z9" s="52" t="str">
        <f t="shared" ref="Z9:Z14" si="7">Q9</f>
        <v>用途</v>
      </c>
      <c r="AA9" s="703">
        <f t="shared" si="3"/>
        <v>1</v>
      </c>
      <c r="AB9" s="703">
        <f t="shared" si="4"/>
        <v>1</v>
      </c>
      <c r="AC9" s="703">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5"/>
      <c r="Q10" s="1340" t="str">
        <f t="shared" si="6"/>
        <v>土地使用年限（年）</v>
      </c>
      <c r="R10" s="700" t="s">
        <v>14</v>
      </c>
      <c r="S10" s="701">
        <f t="shared" si="0"/>
        <v>100</v>
      </c>
      <c r="T10" s="700" t="s">
        <v>14</v>
      </c>
      <c r="U10" s="701">
        <f t="shared" si="1"/>
        <v>100</v>
      </c>
      <c r="V10" s="700" t="s">
        <v>14</v>
      </c>
      <c r="W10" s="701">
        <f t="shared" si="2"/>
        <v>100</v>
      </c>
      <c r="X10" s="702"/>
      <c r="Y10" s="3592"/>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5"/>
      <c r="Q11" s="1340">
        <f t="shared" si="6"/>
        <v>111</v>
      </c>
      <c r="R11" s="700" t="s">
        <v>14</v>
      </c>
      <c r="S11" s="701">
        <f t="shared" si="0"/>
        <v>100</v>
      </c>
      <c r="T11" s="700" t="s">
        <v>14</v>
      </c>
      <c r="U11" s="701">
        <f t="shared" si="1"/>
        <v>100</v>
      </c>
      <c r="V11" s="700" t="s">
        <v>14</v>
      </c>
      <c r="W11" s="701">
        <f t="shared" si="2"/>
        <v>100</v>
      </c>
      <c r="X11" s="702"/>
      <c r="Y11" s="3592"/>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5"/>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85.5">
      <c r="A14" s="391" t="s">
        <v>1688</v>
      </c>
      <c r="B14" s="61" t="s">
        <v>1831</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6" t="s">
        <v>1689</v>
      </c>
      <c r="Q14" s="1349" t="str">
        <f t="shared" si="6"/>
        <v>交通便捷度</v>
      </c>
      <c r="R14" s="704" t="s">
        <v>14</v>
      </c>
      <c r="S14" s="705">
        <f t="shared" si="0"/>
        <v>100</v>
      </c>
      <c r="T14" s="704" t="s">
        <v>14</v>
      </c>
      <c r="U14" s="705">
        <f t="shared" si="1"/>
        <v>100</v>
      </c>
      <c r="V14" s="704" t="s">
        <v>14</v>
      </c>
      <c r="W14" s="705">
        <f t="shared" si="2"/>
        <v>100</v>
      </c>
      <c r="X14" s="1352"/>
      <c r="Y14" s="3696"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697"/>
      <c r="Q15" s="1349"/>
      <c r="R15" s="704"/>
      <c r="S15" s="705"/>
      <c r="T15" s="704"/>
      <c r="U15" s="705"/>
      <c r="V15" s="704"/>
      <c r="W15" s="705"/>
      <c r="X15" s="1352"/>
      <c r="Y15" s="3697"/>
      <c r="Z15" s="1353"/>
      <c r="AA15" s="1350">
        <v>1</v>
      </c>
      <c r="AB15" s="1350">
        <v>1</v>
      </c>
      <c r="AC15" s="1350">
        <v>1</v>
      </c>
    </row>
    <row r="16" spans="1:29" ht="42.75">
      <c r="A16" s="379"/>
      <c r="B16" s="402" t="s">
        <v>1810</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7"/>
      <c r="Q16" s="1349" t="str">
        <f>B16</f>
        <v>公共配套设施</v>
      </c>
      <c r="R16" s="704" t="s">
        <v>14</v>
      </c>
      <c r="S16" s="705">
        <f>F16</f>
        <v>100</v>
      </c>
      <c r="T16" s="704" t="s">
        <v>14</v>
      </c>
      <c r="U16" s="705">
        <f>H16</f>
        <v>100</v>
      </c>
      <c r="V16" s="704" t="s">
        <v>14</v>
      </c>
      <c r="W16" s="705">
        <f>J16</f>
        <v>100</v>
      </c>
      <c r="X16" s="1352"/>
      <c r="Y16" s="3697"/>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697"/>
      <c r="Q17" s="1349"/>
      <c r="R17" s="704"/>
      <c r="S17" s="705"/>
      <c r="T17" s="704"/>
      <c r="U17" s="705"/>
      <c r="V17" s="704"/>
      <c r="W17" s="705"/>
      <c r="X17" s="1352"/>
      <c r="Y17" s="3697"/>
      <c r="Z17" s="1353"/>
      <c r="AA17" s="1350">
        <v>1</v>
      </c>
      <c r="AB17" s="1350">
        <v>1</v>
      </c>
      <c r="AC17" s="1350">
        <v>1</v>
      </c>
    </row>
    <row r="18" spans="1:29" ht="28.5">
      <c r="A18" s="379"/>
      <c r="B18" s="1129" t="s">
        <v>1811</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7"/>
      <c r="Q18" s="1349" t="str">
        <f>B18</f>
        <v>基础设施水平</v>
      </c>
      <c r="R18" s="704" t="s">
        <v>14</v>
      </c>
      <c r="S18" s="705">
        <f>F18</f>
        <v>100</v>
      </c>
      <c r="T18" s="704" t="s">
        <v>14</v>
      </c>
      <c r="U18" s="705">
        <f>H18</f>
        <v>100</v>
      </c>
      <c r="V18" s="704" t="s">
        <v>14</v>
      </c>
      <c r="W18" s="705">
        <f>J18</f>
        <v>100</v>
      </c>
      <c r="X18" s="1352"/>
      <c r="Y18" s="3697"/>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697"/>
      <c r="Q19" s="1349"/>
      <c r="R19" s="704"/>
      <c r="S19" s="705"/>
      <c r="T19" s="704"/>
      <c r="U19" s="705"/>
      <c r="V19" s="704"/>
      <c r="W19" s="705"/>
      <c r="X19" s="1352"/>
      <c r="Y19" s="3697"/>
      <c r="Z19" s="1353"/>
      <c r="AA19" s="1350">
        <v>1</v>
      </c>
      <c r="AB19" s="1350">
        <v>1</v>
      </c>
      <c r="AC19" s="1350">
        <v>1</v>
      </c>
    </row>
    <row r="20" spans="1:29" ht="57">
      <c r="A20" s="379"/>
      <c r="B20" s="402" t="s">
        <v>1832</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7"/>
      <c r="Q20" s="1349" t="str">
        <f>B20</f>
        <v>自然及人文环境</v>
      </c>
      <c r="R20" s="704" t="s">
        <v>14</v>
      </c>
      <c r="S20" s="705">
        <f>F20</f>
        <v>100</v>
      </c>
      <c r="T20" s="704" t="s">
        <v>14</v>
      </c>
      <c r="U20" s="705">
        <f>H20</f>
        <v>100</v>
      </c>
      <c r="V20" s="704" t="s">
        <v>14</v>
      </c>
      <c r="W20" s="705">
        <f>J20</f>
        <v>100</v>
      </c>
      <c r="X20" s="1352"/>
      <c r="Y20" s="369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697"/>
      <c r="Q21" s="1349"/>
      <c r="R21" s="704"/>
      <c r="S21" s="705"/>
      <c r="T21" s="704"/>
      <c r="U21" s="705"/>
      <c r="V21" s="704"/>
      <c r="W21" s="705"/>
      <c r="X21" s="1352"/>
      <c r="Y21" s="3697"/>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7"/>
      <c r="Q22" s="1349" t="str">
        <f>B22</f>
        <v>楼层</v>
      </c>
      <c r="R22" s="704" t="s">
        <v>14</v>
      </c>
      <c r="S22" s="705">
        <f>F22</f>
        <v>100</v>
      </c>
      <c r="T22" s="704" t="s">
        <v>14</v>
      </c>
      <c r="U22" s="705">
        <f>H22</f>
        <v>100</v>
      </c>
      <c r="V22" s="704" t="s">
        <v>14</v>
      </c>
      <c r="W22" s="705">
        <f>J22</f>
        <v>100</v>
      </c>
      <c r="X22" s="1352"/>
      <c r="Y22" s="3697"/>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7"/>
      <c r="Q23" s="1349">
        <f>B23</f>
        <v>111</v>
      </c>
      <c r="R23" s="704" t="s">
        <v>14</v>
      </c>
      <c r="S23" s="705">
        <f>F23</f>
        <v>100</v>
      </c>
      <c r="T23" s="704" t="s">
        <v>14</v>
      </c>
      <c r="U23" s="705">
        <f>H23</f>
        <v>100</v>
      </c>
      <c r="V23" s="704" t="s">
        <v>14</v>
      </c>
      <c r="W23" s="705">
        <f>J23</f>
        <v>100</v>
      </c>
      <c r="X23" s="1352"/>
      <c r="Y23" s="3697"/>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7"/>
      <c r="Q24" s="1349">
        <f t="shared" ref="Q24:Q34" si="11">B24</f>
        <v>111</v>
      </c>
      <c r="R24" s="704" t="s">
        <v>14</v>
      </c>
      <c r="S24" s="705">
        <f>F24</f>
        <v>100</v>
      </c>
      <c r="T24" s="704" t="s">
        <v>14</v>
      </c>
      <c r="U24" s="705">
        <f>H24</f>
        <v>100</v>
      </c>
      <c r="V24" s="704" t="s">
        <v>14</v>
      </c>
      <c r="W24" s="705">
        <f>J24</f>
        <v>100</v>
      </c>
      <c r="X24" s="1352"/>
      <c r="Y24" s="3697"/>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697"/>
      <c r="Q25" s="1340">
        <f t="shared" si="11"/>
        <v>111</v>
      </c>
      <c r="R25" s="700" t="s">
        <v>14</v>
      </c>
      <c r="S25" s="701">
        <f>F25</f>
        <v>100</v>
      </c>
      <c r="T25" s="700" t="s">
        <v>14</v>
      </c>
      <c r="U25" s="701">
        <f>H25</f>
        <v>100</v>
      </c>
      <c r="V25" s="700" t="s">
        <v>14</v>
      </c>
      <c r="W25" s="701">
        <f>J25</f>
        <v>100</v>
      </c>
      <c r="X25" s="702"/>
      <c r="Y25" s="3697"/>
      <c r="Z25" s="52">
        <f>Q25</f>
        <v>111</v>
      </c>
      <c r="AA25" s="1350">
        <f>D25/F25</f>
        <v>1</v>
      </c>
      <c r="AB25" s="1350">
        <f>D25/H25</f>
        <v>1</v>
      </c>
      <c r="AC25" s="1350">
        <f>D25/J25</f>
        <v>1</v>
      </c>
    </row>
    <row r="26" spans="1:29" ht="28.5">
      <c r="A26" s="417" t="s">
        <v>1692</v>
      </c>
      <c r="B26" s="63" t="s">
        <v>1836</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698" t="s">
        <v>1694</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699"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9"/>
      <c r="Q27" s="706" t="str">
        <f t="shared" si="11"/>
        <v>成新率</v>
      </c>
      <c r="R27" s="707" t="s">
        <v>14</v>
      </c>
      <c r="S27" s="708" t="e">
        <f t="shared" si="12"/>
        <v>#N/A</v>
      </c>
      <c r="T27" s="707" t="s">
        <v>14</v>
      </c>
      <c r="U27" s="708" t="e">
        <f t="shared" si="13"/>
        <v>#N/A</v>
      </c>
      <c r="V27" s="707" t="s">
        <v>14</v>
      </c>
      <c r="W27" s="708" t="e">
        <f t="shared" si="14"/>
        <v>#N/A</v>
      </c>
      <c r="X27" s="709"/>
      <c r="Y27" s="3699"/>
      <c r="Z27" s="710"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9"/>
      <c r="Q28" s="1349" t="str">
        <f t="shared" si="11"/>
        <v>物业等级</v>
      </c>
      <c r="R28" s="704" t="s">
        <v>14</v>
      </c>
      <c r="S28" s="705">
        <f t="shared" si="12"/>
        <v>100</v>
      </c>
      <c r="T28" s="704" t="s">
        <v>14</v>
      </c>
      <c r="U28" s="705">
        <f t="shared" si="13"/>
        <v>100</v>
      </c>
      <c r="V28" s="704" t="s">
        <v>14</v>
      </c>
      <c r="W28" s="705">
        <f t="shared" si="14"/>
        <v>100</v>
      </c>
      <c r="X28" s="1352"/>
      <c r="Y28" s="3699"/>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99"/>
      <c r="Q29" s="1349" t="str">
        <f t="shared" si="11"/>
        <v>有无电梯</v>
      </c>
      <c r="R29" s="704" t="s">
        <v>14</v>
      </c>
      <c r="S29" s="705">
        <f t="shared" si="12"/>
        <v>100</v>
      </c>
      <c r="T29" s="704" t="s">
        <v>14</v>
      </c>
      <c r="U29" s="705">
        <f t="shared" si="13"/>
        <v>100</v>
      </c>
      <c r="V29" s="704" t="s">
        <v>14</v>
      </c>
      <c r="W29" s="705">
        <f t="shared" si="14"/>
        <v>100</v>
      </c>
      <c r="X29" s="1352"/>
      <c r="Y29" s="3699"/>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9"/>
      <c r="Q30" s="1349" t="str">
        <f t="shared" si="11"/>
        <v>建筑面积</v>
      </c>
      <c r="R30" s="704" t="s">
        <v>14</v>
      </c>
      <c r="S30" s="705" t="e">
        <f t="shared" si="12"/>
        <v>#N/A</v>
      </c>
      <c r="T30" s="704" t="s">
        <v>14</v>
      </c>
      <c r="U30" s="705" t="e">
        <f t="shared" si="13"/>
        <v>#N/A</v>
      </c>
      <c r="V30" s="704" t="s">
        <v>14</v>
      </c>
      <c r="W30" s="705" t="e">
        <f t="shared" si="14"/>
        <v>#N/A</v>
      </c>
      <c r="X30" s="1352"/>
      <c r="Y30" s="3699"/>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99"/>
      <c r="Q31" s="1340"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9" t="s">
        <v>1694</v>
      </c>
      <c r="Q32" s="1349">
        <f t="shared" si="11"/>
        <v>111</v>
      </c>
      <c r="R32" s="704" t="s">
        <v>14</v>
      </c>
      <c r="S32" s="705">
        <f t="shared" si="12"/>
        <v>100</v>
      </c>
      <c r="T32" s="704" t="s">
        <v>14</v>
      </c>
      <c r="U32" s="705">
        <f t="shared" si="13"/>
        <v>100</v>
      </c>
      <c r="V32" s="704" t="s">
        <v>14</v>
      </c>
      <c r="W32" s="705">
        <f t="shared" si="14"/>
        <v>100</v>
      </c>
      <c r="X32" s="1352"/>
      <c r="Y32" s="3699" t="s">
        <v>1694</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9"/>
      <c r="Q33" s="1349">
        <f t="shared" si="11"/>
        <v>111</v>
      </c>
      <c r="R33" s="704" t="s">
        <v>14</v>
      </c>
      <c r="S33" s="705">
        <f t="shared" si="12"/>
        <v>100</v>
      </c>
      <c r="T33" s="704" t="s">
        <v>14</v>
      </c>
      <c r="U33" s="705">
        <f t="shared" si="13"/>
        <v>100</v>
      </c>
      <c r="V33" s="704" t="s">
        <v>14</v>
      </c>
      <c r="W33" s="705">
        <f t="shared" si="14"/>
        <v>100</v>
      </c>
      <c r="X33" s="1352"/>
      <c r="Y33" s="3699"/>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699"/>
      <c r="Q34" s="1349">
        <f t="shared" si="11"/>
        <v>111</v>
      </c>
      <c r="R34" s="704" t="s">
        <v>14</v>
      </c>
      <c r="S34" s="705">
        <f t="shared" si="12"/>
        <v>100</v>
      </c>
      <c r="T34" s="704" t="s">
        <v>14</v>
      </c>
      <c r="U34" s="705">
        <f t="shared" si="13"/>
        <v>100</v>
      </c>
      <c r="V34" s="704" t="s">
        <v>14</v>
      </c>
      <c r="W34" s="705">
        <f t="shared" si="14"/>
        <v>100</v>
      </c>
      <c r="X34" s="1352"/>
      <c r="Y34" s="3699"/>
      <c r="Z34" s="1353">
        <f t="shared" si="15"/>
        <v>111</v>
      </c>
      <c r="AA34" s="1350">
        <f t="shared" si="3"/>
        <v>1</v>
      </c>
      <c r="AB34" s="1350">
        <f t="shared" si="4"/>
        <v>1</v>
      </c>
      <c r="AC34" s="1350">
        <f t="shared" si="5"/>
        <v>1</v>
      </c>
    </row>
    <row r="35" spans="1:30" ht="15">
      <c r="A35" s="430" t="s">
        <v>1706</v>
      </c>
      <c r="B35" s="431"/>
      <c r="C35" s="1152" t="s">
        <v>0</v>
      </c>
      <c r="D35" s="1153"/>
      <c r="E35" s="1154"/>
      <c r="F35" s="1155"/>
      <c r="G35" s="1156"/>
      <c r="H35" s="1157"/>
      <c r="I35" s="1154"/>
      <c r="J35" s="1157"/>
      <c r="K35" s="713"/>
      <c r="L35" s="2719"/>
      <c r="M35" s="2720"/>
      <c r="N35" s="2711"/>
      <c r="O35" s="2720"/>
      <c r="P35" s="3695" t="str">
        <f>A35</f>
        <v>成交单价（元/平方米）</v>
      </c>
      <c r="Q35" s="3695"/>
      <c r="R35" s="3731">
        <f>E35</f>
        <v>0</v>
      </c>
      <c r="S35" s="3731"/>
      <c r="T35" s="3731">
        <f>G35</f>
        <v>0</v>
      </c>
      <c r="U35" s="3731"/>
      <c r="V35" s="3731">
        <f>I35</f>
        <v>0</v>
      </c>
      <c r="W35" s="3731"/>
      <c r="X35" s="689"/>
      <c r="Y35" s="711"/>
      <c r="Z35" s="689"/>
      <c r="AA35" s="689"/>
      <c r="AB35" s="689"/>
      <c r="AC35" s="689"/>
    </row>
    <row r="36" spans="1:30" ht="15.75" thickBot="1">
      <c r="A36" s="437" t="s">
        <v>1791</v>
      </c>
      <c r="B36" s="438"/>
      <c r="C36" s="1158" t="e">
        <f>R37</f>
        <v>#DIV/0!</v>
      </c>
      <c r="D36" s="2312" t="s">
        <v>2135</v>
      </c>
      <c r="E36" s="1159" t="e">
        <f>R36</f>
        <v>#DIV/0!</v>
      </c>
      <c r="F36" s="2313"/>
      <c r="G36" s="1158" t="e">
        <f>T36</f>
        <v>#DIV/0!</v>
      </c>
      <c r="H36" s="2313"/>
      <c r="I36" s="1159" t="e">
        <f>V36</f>
        <v>#DIV/0!</v>
      </c>
      <c r="J36" s="2313"/>
      <c r="K36" s="2315">
        <f>F36+H36+J36</f>
        <v>0</v>
      </c>
      <c r="L36" s="2719"/>
      <c r="M36" s="2720"/>
      <c r="N36" s="2711"/>
      <c r="O36" s="2720"/>
      <c r="P36" s="3695" t="str">
        <f>A36</f>
        <v>比较价值（元/平方米）</v>
      </c>
      <c r="Q36" s="3695"/>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19"/>
      <c r="M37" s="2720"/>
      <c r="N37" s="2720"/>
      <c r="O37" s="2720"/>
      <c r="P37" s="3689" t="str">
        <f>A37</f>
        <v>估价对象XX用房的比较价值（楼面单价，元/平方米）</v>
      </c>
      <c r="Q37" s="3690"/>
      <c r="R37" s="3753" t="e">
        <f>IF(F1="售价",ROUND(IF(D36="简单平均",AVERAGE(R36:W36),R36*F36+T36*H36+V36*J36),0),ROUND(IF(D36="简单平均",AVERAGE(R36:V36),R36*F36+T36*H36+V36*J36),1))</f>
        <v>#DIV/0!</v>
      </c>
      <c r="S37" s="3753"/>
      <c r="T37" s="3753"/>
      <c r="U37" s="3753"/>
      <c r="V37" s="3753"/>
      <c r="W37" s="3753"/>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1796</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692" t="s">
        <v>1768</v>
      </c>
      <c r="D4" s="3704"/>
      <c r="E4" s="3705" t="s">
        <v>1769</v>
      </c>
      <c r="F4" s="3706"/>
      <c r="G4" s="3692" t="s">
        <v>1770</v>
      </c>
      <c r="H4" s="3704"/>
      <c r="I4" s="3692" t="s">
        <v>1771</v>
      </c>
      <c r="J4" s="3704"/>
      <c r="K4" s="559" t="s">
        <v>1772</v>
      </c>
      <c r="L4" s="2710"/>
      <c r="M4" s="2711"/>
      <c r="N4" s="2711"/>
      <c r="O4" s="2711"/>
      <c r="P4" s="3707" t="s">
        <v>1773</v>
      </c>
      <c r="Q4" s="3708"/>
      <c r="R4" s="3713" t="s">
        <v>1769</v>
      </c>
      <c r="S4" s="3714"/>
      <c r="T4" s="3713" t="s">
        <v>1770</v>
      </c>
      <c r="U4" s="3714"/>
      <c r="V4" s="3700" t="s">
        <v>1771</v>
      </c>
      <c r="W4" s="3700"/>
      <c r="X4" s="1352"/>
      <c r="Y4" s="3713" t="s">
        <v>1773</v>
      </c>
      <c r="Z4" s="3714"/>
      <c r="AA4" s="3701" t="s">
        <v>1769</v>
      </c>
      <c r="AB4" s="3702" t="s">
        <v>1770</v>
      </c>
      <c r="AC4" s="3701" t="s">
        <v>1771</v>
      </c>
    </row>
    <row r="5" spans="1:29" ht="15">
      <c r="A5" s="358"/>
      <c r="B5" s="359"/>
      <c r="C5" s="3721" t="s">
        <v>1671</v>
      </c>
      <c r="D5" s="3722"/>
      <c r="E5" s="3728" t="s">
        <v>1672</v>
      </c>
      <c r="F5" s="3729"/>
      <c r="G5" s="3721" t="s">
        <v>1673</v>
      </c>
      <c r="H5" s="3722"/>
      <c r="I5" s="3721" t="s">
        <v>1674</v>
      </c>
      <c r="J5" s="3722"/>
      <c r="K5" s="559"/>
      <c r="L5" s="2710"/>
      <c r="M5" s="2711"/>
      <c r="N5" s="2711"/>
      <c r="O5" s="2711"/>
      <c r="P5" s="3709"/>
      <c r="Q5" s="3710"/>
      <c r="R5" s="3715"/>
      <c r="S5" s="3716"/>
      <c r="T5" s="3715"/>
      <c r="U5" s="3716"/>
      <c r="V5" s="3700"/>
      <c r="W5" s="3700"/>
      <c r="X5" s="1352"/>
      <c r="Y5" s="3715"/>
      <c r="Z5" s="3716"/>
      <c r="AA5" s="3702"/>
      <c r="AB5" s="3702"/>
      <c r="AC5" s="3702"/>
    </row>
    <row r="6" spans="1:29" ht="15.75" thickBot="1">
      <c r="A6" s="360"/>
      <c r="B6" s="361"/>
      <c r="C6" s="3790" t="s">
        <v>1917</v>
      </c>
      <c r="D6" s="3791"/>
      <c r="E6" s="3792" t="s">
        <v>1917</v>
      </c>
      <c r="F6" s="3793"/>
      <c r="G6" s="3790" t="s">
        <v>1917</v>
      </c>
      <c r="H6" s="3791"/>
      <c r="I6" s="3790" t="s">
        <v>1917</v>
      </c>
      <c r="J6" s="3791"/>
      <c r="K6" s="559" t="s">
        <v>1676</v>
      </c>
      <c r="L6" s="2710"/>
      <c r="M6" s="2711"/>
      <c r="N6" s="2711"/>
      <c r="O6" s="2711"/>
      <c r="P6" s="3711"/>
      <c r="Q6" s="3712"/>
      <c r="R6" s="3715"/>
      <c r="S6" s="3716"/>
      <c r="T6" s="3717"/>
      <c r="U6" s="3718"/>
      <c r="V6" s="3700"/>
      <c r="W6" s="3700"/>
      <c r="X6" s="1352"/>
      <c r="Y6" s="3717"/>
      <c r="Z6" s="3718"/>
      <c r="AA6" s="3703"/>
      <c r="AB6" s="3703"/>
      <c r="AC6" s="3703"/>
    </row>
    <row r="7" spans="1:29" s="108" customFormat="1" ht="15.75" thickBot="1">
      <c r="A7" s="362" t="s">
        <v>1677</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23" t="s">
        <v>1678</v>
      </c>
      <c r="Q7" s="3725"/>
      <c r="R7" s="700" t="s">
        <v>14</v>
      </c>
      <c r="S7" s="701">
        <f t="shared" ref="S7:S15" si="0">F7</f>
        <v>0</v>
      </c>
      <c r="T7" s="700" t="s">
        <v>14</v>
      </c>
      <c r="U7" s="701">
        <f t="shared" ref="U7:U15" si="1">H7</f>
        <v>0</v>
      </c>
      <c r="V7" s="700" t="s">
        <v>14</v>
      </c>
      <c r="W7" s="701">
        <f t="shared" ref="W7:W15" si="2">J7</f>
        <v>0</v>
      </c>
      <c r="X7" s="702"/>
      <c r="Y7" s="3723" t="s">
        <v>1678</v>
      </c>
      <c r="Z7" s="3724"/>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23" t="s">
        <v>1681</v>
      </c>
      <c r="Q8" s="3724"/>
      <c r="R8" s="700" t="s">
        <v>14</v>
      </c>
      <c r="S8" s="701">
        <f t="shared" si="0"/>
        <v>0</v>
      </c>
      <c r="T8" s="700" t="s">
        <v>14</v>
      </c>
      <c r="U8" s="701">
        <f t="shared" si="1"/>
        <v>0</v>
      </c>
      <c r="V8" s="700" t="s">
        <v>14</v>
      </c>
      <c r="W8" s="701">
        <f t="shared" si="2"/>
        <v>0</v>
      </c>
      <c r="X8" s="702"/>
      <c r="Y8" s="3723" t="s">
        <v>1681</v>
      </c>
      <c r="Z8" s="3724"/>
      <c r="AA8" s="703" t="e">
        <f t="shared" ref="AA8:AA40" si="3">D8/F8</f>
        <v>#DIV/0!</v>
      </c>
      <c r="AB8" s="703" t="e">
        <f t="shared" ref="AB8:AB40" si="4">D8/H8</f>
        <v>#DIV/0!</v>
      </c>
      <c r="AC8" s="703"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695" t="s">
        <v>1684</v>
      </c>
      <c r="Q9" s="1340" t="str">
        <f t="shared" ref="Q9:Q15" si="6">B9</f>
        <v>用途</v>
      </c>
      <c r="R9" s="700" t="s">
        <v>14</v>
      </c>
      <c r="S9" s="701">
        <f t="shared" si="0"/>
        <v>100</v>
      </c>
      <c r="T9" s="700" t="s">
        <v>14</v>
      </c>
      <c r="U9" s="701">
        <f t="shared" si="1"/>
        <v>100</v>
      </c>
      <c r="V9" s="700" t="s">
        <v>14</v>
      </c>
      <c r="W9" s="701">
        <f t="shared" si="2"/>
        <v>100</v>
      </c>
      <c r="X9" s="702"/>
      <c r="Y9" s="3592"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695"/>
      <c r="Q10" s="1340" t="str">
        <f t="shared" si="6"/>
        <v>土地使用年限（年）</v>
      </c>
      <c r="R10" s="700" t="s">
        <v>14</v>
      </c>
      <c r="S10" s="701">
        <f t="shared" si="0"/>
        <v>101</v>
      </c>
      <c r="T10" s="700" t="s">
        <v>14</v>
      </c>
      <c r="U10" s="701">
        <f t="shared" si="1"/>
        <v>101</v>
      </c>
      <c r="V10" s="700" t="s">
        <v>14</v>
      </c>
      <c r="W10" s="701">
        <f t="shared" si="2"/>
        <v>101</v>
      </c>
      <c r="X10" s="702"/>
      <c r="Y10" s="3592"/>
      <c r="Z10" s="52" t="str">
        <f t="shared" si="7"/>
        <v>土地使用年限（年）</v>
      </c>
      <c r="AA10" s="703">
        <f t="shared" si="3"/>
        <v>0.99009900990099009</v>
      </c>
      <c r="AB10" s="703">
        <f t="shared" si="4"/>
        <v>0.99009900990099009</v>
      </c>
      <c r="AC10" s="703">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5"/>
      <c r="Q11" s="1340" t="str">
        <f t="shared" si="6"/>
        <v>容积率</v>
      </c>
      <c r="R11" s="700" t="s">
        <v>14</v>
      </c>
      <c r="S11" s="701" t="e">
        <f t="shared" si="0"/>
        <v>#N/A</v>
      </c>
      <c r="T11" s="700" t="s">
        <v>14</v>
      </c>
      <c r="U11" s="701" t="e">
        <f t="shared" si="1"/>
        <v>#N/A</v>
      </c>
      <c r="V11" s="700" t="s">
        <v>14</v>
      </c>
      <c r="W11" s="701" t="e">
        <f t="shared" si="2"/>
        <v>#N/A</v>
      </c>
      <c r="X11" s="702"/>
      <c r="Y11" s="3592"/>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5"/>
      <c r="Q12" s="1340">
        <f t="shared" si="6"/>
        <v>111</v>
      </c>
      <c r="R12" s="700" t="s">
        <v>14</v>
      </c>
      <c r="S12" s="701">
        <f t="shared" si="0"/>
        <v>100</v>
      </c>
      <c r="T12" s="700" t="s">
        <v>14</v>
      </c>
      <c r="U12" s="701">
        <f t="shared" si="1"/>
        <v>100</v>
      </c>
      <c r="V12" s="700" t="s">
        <v>14</v>
      </c>
      <c r="W12" s="701">
        <f t="shared" si="2"/>
        <v>100</v>
      </c>
      <c r="X12" s="702"/>
      <c r="Y12" s="3592"/>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5"/>
      <c r="Q13" s="1340">
        <f t="shared" si="6"/>
        <v>111</v>
      </c>
      <c r="R13" s="700" t="s">
        <v>14</v>
      </c>
      <c r="S13" s="701">
        <f t="shared" si="0"/>
        <v>100</v>
      </c>
      <c r="T13" s="700" t="s">
        <v>14</v>
      </c>
      <c r="U13" s="701">
        <f t="shared" si="1"/>
        <v>100</v>
      </c>
      <c r="V13" s="700" t="s">
        <v>14</v>
      </c>
      <c r="W13" s="701">
        <f t="shared" si="2"/>
        <v>100</v>
      </c>
      <c r="X13" s="702"/>
      <c r="Y13" s="3592"/>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5"/>
      <c r="Q14" s="1340">
        <f t="shared" si="6"/>
        <v>111</v>
      </c>
      <c r="R14" s="700" t="s">
        <v>14</v>
      </c>
      <c r="S14" s="701">
        <f t="shared" si="0"/>
        <v>100</v>
      </c>
      <c r="T14" s="700" t="s">
        <v>14</v>
      </c>
      <c r="U14" s="701">
        <f t="shared" si="1"/>
        <v>100</v>
      </c>
      <c r="V14" s="700" t="s">
        <v>14</v>
      </c>
      <c r="W14" s="701">
        <f t="shared" si="2"/>
        <v>100</v>
      </c>
      <c r="X14" s="702"/>
      <c r="Y14" s="3592"/>
      <c r="Z14" s="52">
        <f t="shared" si="7"/>
        <v>111</v>
      </c>
      <c r="AA14" s="703">
        <f t="shared" si="3"/>
        <v>1</v>
      </c>
      <c r="AB14" s="703">
        <f t="shared" si="4"/>
        <v>1</v>
      </c>
      <c r="AC14" s="703">
        <f t="shared" si="5"/>
        <v>1</v>
      </c>
    </row>
    <row r="15" spans="1:29" ht="57">
      <c r="A15" s="391" t="s">
        <v>1688</v>
      </c>
      <c r="B15" s="577" t="s">
        <v>1918</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6" t="s">
        <v>1689</v>
      </c>
      <c r="Q15" s="1349" t="str">
        <f t="shared" si="6"/>
        <v>产业集聚程度</v>
      </c>
      <c r="R15" s="704" t="s">
        <v>14</v>
      </c>
      <c r="S15" s="705">
        <f t="shared" si="0"/>
        <v>100</v>
      </c>
      <c r="T15" s="704" t="s">
        <v>14</v>
      </c>
      <c r="U15" s="705">
        <f t="shared" si="1"/>
        <v>100</v>
      </c>
      <c r="V15" s="704" t="s">
        <v>14</v>
      </c>
      <c r="W15" s="705">
        <f t="shared" si="2"/>
        <v>100</v>
      </c>
      <c r="X15" s="1352"/>
      <c r="Y15" s="3696" t="s">
        <v>1689</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697"/>
      <c r="Q16" s="1349"/>
      <c r="R16" s="704"/>
      <c r="S16" s="705"/>
      <c r="T16" s="704"/>
      <c r="U16" s="705"/>
      <c r="V16" s="704"/>
      <c r="W16" s="705"/>
      <c r="X16" s="1352"/>
      <c r="Y16" s="3697"/>
      <c r="Z16" s="1353"/>
      <c r="AA16" s="1350">
        <v>1</v>
      </c>
      <c r="AB16" s="1350">
        <v>1</v>
      </c>
      <c r="AC16" s="1350">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7"/>
      <c r="Q17" s="1349" t="str">
        <f>B17</f>
        <v>交通便捷度</v>
      </c>
      <c r="R17" s="704" t="s">
        <v>14</v>
      </c>
      <c r="S17" s="705">
        <f>F17</f>
        <v>100</v>
      </c>
      <c r="T17" s="704" t="s">
        <v>14</v>
      </c>
      <c r="U17" s="705">
        <f>H17</f>
        <v>100</v>
      </c>
      <c r="V17" s="704" t="s">
        <v>14</v>
      </c>
      <c r="W17" s="705">
        <f>J17</f>
        <v>100</v>
      </c>
      <c r="X17" s="1352"/>
      <c r="Y17" s="3697"/>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697"/>
      <c r="Q18" s="1349"/>
      <c r="R18" s="704"/>
      <c r="S18" s="705"/>
      <c r="T18" s="704"/>
      <c r="U18" s="705"/>
      <c r="V18" s="704"/>
      <c r="W18" s="705"/>
      <c r="X18" s="1352"/>
      <c r="Y18" s="3697"/>
      <c r="Z18" s="1353"/>
      <c r="AA18" s="1350">
        <v>1</v>
      </c>
      <c r="AB18" s="1350">
        <v>1</v>
      </c>
      <c r="AC18" s="1350">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7"/>
      <c r="Q19" s="1349" t="str">
        <f t="shared" ref="Q19:Q33" si="8">B19</f>
        <v>区域土地利用方向</v>
      </c>
      <c r="R19" s="704" t="s">
        <v>14</v>
      </c>
      <c r="S19" s="705">
        <f>F19</f>
        <v>100</v>
      </c>
      <c r="T19" s="704" t="s">
        <v>14</v>
      </c>
      <c r="U19" s="705">
        <f>H19</f>
        <v>100</v>
      </c>
      <c r="V19" s="704" t="s">
        <v>14</v>
      </c>
      <c r="W19" s="705">
        <f>J19</f>
        <v>100</v>
      </c>
      <c r="X19" s="1352"/>
      <c r="Y19" s="3697"/>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697"/>
      <c r="Q20" s="1349"/>
      <c r="R20" s="704"/>
      <c r="S20" s="705"/>
      <c r="T20" s="704"/>
      <c r="U20" s="705"/>
      <c r="V20" s="704"/>
      <c r="W20" s="705"/>
      <c r="X20" s="1352"/>
      <c r="Y20" s="3697"/>
      <c r="Z20" s="1353"/>
      <c r="AA20" s="1350"/>
      <c r="AB20" s="1350"/>
      <c r="AC20" s="1350"/>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7"/>
      <c r="Q21" s="1349" t="str">
        <f t="shared" si="8"/>
        <v>环境状况</v>
      </c>
      <c r="R21" s="704" t="s">
        <v>14</v>
      </c>
      <c r="S21" s="705">
        <f>F21</f>
        <v>100</v>
      </c>
      <c r="T21" s="704" t="s">
        <v>14</v>
      </c>
      <c r="U21" s="705">
        <f>H21</f>
        <v>100</v>
      </c>
      <c r="V21" s="704" t="s">
        <v>14</v>
      </c>
      <c r="W21" s="705">
        <f>J21</f>
        <v>100</v>
      </c>
      <c r="X21" s="1352"/>
      <c r="Y21" s="3697"/>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697"/>
      <c r="Q22" s="1349"/>
      <c r="R22" s="704"/>
      <c r="S22" s="705"/>
      <c r="T22" s="704"/>
      <c r="U22" s="705"/>
      <c r="V22" s="704"/>
      <c r="W22" s="705"/>
      <c r="X22" s="1352"/>
      <c r="Y22" s="3697"/>
      <c r="Z22" s="1353"/>
      <c r="AA22" s="1350">
        <v>1</v>
      </c>
      <c r="AB22" s="1350">
        <v>1</v>
      </c>
      <c r="AC22" s="1350">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7"/>
      <c r="Q23" s="1340" t="str">
        <f t="shared" si="8"/>
        <v>公共配套设施</v>
      </c>
      <c r="R23" s="700" t="s">
        <v>14</v>
      </c>
      <c r="S23" s="701">
        <f>F23</f>
        <v>100</v>
      </c>
      <c r="T23" s="700" t="s">
        <v>14</v>
      </c>
      <c r="U23" s="701">
        <f>H23</f>
        <v>100</v>
      </c>
      <c r="V23" s="700" t="s">
        <v>14</v>
      </c>
      <c r="W23" s="701">
        <f>J23</f>
        <v>100</v>
      </c>
      <c r="X23" s="702"/>
      <c r="Y23" s="3697"/>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697"/>
      <c r="Q24" s="1340"/>
      <c r="R24" s="700"/>
      <c r="S24" s="701"/>
      <c r="T24" s="700"/>
      <c r="U24" s="701"/>
      <c r="V24" s="700"/>
      <c r="W24" s="701"/>
      <c r="X24" s="702"/>
      <c r="Y24" s="3697"/>
      <c r="Z24" s="52"/>
      <c r="AA24" s="703">
        <v>1</v>
      </c>
      <c r="AB24" s="703">
        <v>1</v>
      </c>
      <c r="AC24" s="703">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7"/>
      <c r="Q25" s="1340" t="str">
        <f t="shared" ref="Q25" si="9">B25</f>
        <v>基础设施水平</v>
      </c>
      <c r="R25" s="700" t="s">
        <v>14</v>
      </c>
      <c r="S25" s="701">
        <f>F25</f>
        <v>100</v>
      </c>
      <c r="T25" s="700" t="s">
        <v>14</v>
      </c>
      <c r="U25" s="701">
        <f>H25</f>
        <v>100</v>
      </c>
      <c r="V25" s="700" t="s">
        <v>14</v>
      </c>
      <c r="W25" s="701">
        <f>J25</f>
        <v>100</v>
      </c>
      <c r="X25" s="702"/>
      <c r="Y25" s="3697"/>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697"/>
      <c r="Q26" s="1340"/>
      <c r="R26" s="700"/>
      <c r="S26" s="701"/>
      <c r="T26" s="700"/>
      <c r="U26" s="701"/>
      <c r="V26" s="700"/>
      <c r="W26" s="701"/>
      <c r="X26" s="702"/>
      <c r="Y26" s="3697"/>
      <c r="Z26" s="52"/>
      <c r="AA26" s="703">
        <v>1</v>
      </c>
      <c r="AB26" s="703">
        <v>1</v>
      </c>
      <c r="AC26" s="703">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7"/>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697"/>
      <c r="Z27" s="1353" t="str">
        <f t="shared" ref="Z27:Z40" si="13">Q27</f>
        <v>临街状况</v>
      </c>
      <c r="AA27" s="1350">
        <f t="shared" si="3"/>
        <v>1</v>
      </c>
      <c r="AB27" s="1350">
        <f t="shared" si="4"/>
        <v>1</v>
      </c>
      <c r="AC27" s="1350">
        <f t="shared" si="5"/>
        <v>1</v>
      </c>
    </row>
    <row r="28" spans="1:29" ht="27">
      <c r="A28" s="379"/>
      <c r="B28" s="581"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7"/>
      <c r="Q28" s="1349" t="str">
        <f t="shared" si="8"/>
        <v>毗邻道路的类型与等级</v>
      </c>
      <c r="R28" s="704" t="s">
        <v>14</v>
      </c>
      <c r="S28" s="705">
        <f t="shared" si="10"/>
        <v>100</v>
      </c>
      <c r="T28" s="704" t="s">
        <v>14</v>
      </c>
      <c r="U28" s="705">
        <f t="shared" si="11"/>
        <v>100</v>
      </c>
      <c r="V28" s="704" t="s">
        <v>14</v>
      </c>
      <c r="W28" s="705">
        <f t="shared" si="12"/>
        <v>100</v>
      </c>
      <c r="X28" s="1352"/>
      <c r="Y28" s="3697"/>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697"/>
      <c r="Q29" s="1349"/>
      <c r="R29" s="704"/>
      <c r="S29" s="705"/>
      <c r="T29" s="704"/>
      <c r="U29" s="705"/>
      <c r="V29" s="704"/>
      <c r="W29" s="705"/>
      <c r="X29" s="1352"/>
      <c r="Y29" s="3697"/>
      <c r="Z29" s="1353"/>
      <c r="AA29" s="1350">
        <v>1</v>
      </c>
      <c r="AB29" s="1350">
        <v>1</v>
      </c>
      <c r="AC29" s="1350">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7"/>
      <c r="Q30" s="1349" t="str">
        <f t="shared" si="8"/>
        <v>土地级别</v>
      </c>
      <c r="R30" s="704" t="s">
        <v>14</v>
      </c>
      <c r="S30" s="705">
        <f t="shared" si="10"/>
        <v>100</v>
      </c>
      <c r="T30" s="704" t="s">
        <v>14</v>
      </c>
      <c r="U30" s="705">
        <f t="shared" si="11"/>
        <v>100</v>
      </c>
      <c r="V30" s="704" t="s">
        <v>14</v>
      </c>
      <c r="W30" s="705">
        <f t="shared" si="12"/>
        <v>100</v>
      </c>
      <c r="X30" s="1352"/>
      <c r="Y30" s="3697"/>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7"/>
      <c r="Q31" s="1349">
        <f t="shared" si="8"/>
        <v>111</v>
      </c>
      <c r="R31" s="704" t="s">
        <v>14</v>
      </c>
      <c r="S31" s="705">
        <f t="shared" si="10"/>
        <v>100</v>
      </c>
      <c r="T31" s="704" t="s">
        <v>14</v>
      </c>
      <c r="U31" s="705">
        <f t="shared" si="11"/>
        <v>100</v>
      </c>
      <c r="V31" s="704" t="s">
        <v>14</v>
      </c>
      <c r="W31" s="705">
        <f t="shared" si="12"/>
        <v>100</v>
      </c>
      <c r="X31" s="1352"/>
      <c r="Y31" s="3697"/>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698" t="s">
        <v>1694</v>
      </c>
      <c r="Q32" s="1349">
        <f t="shared" si="8"/>
        <v>111</v>
      </c>
      <c r="R32" s="704" t="s">
        <v>14</v>
      </c>
      <c r="S32" s="705">
        <f t="shared" si="10"/>
        <v>100</v>
      </c>
      <c r="T32" s="704" t="s">
        <v>14</v>
      </c>
      <c r="U32" s="705">
        <f t="shared" si="11"/>
        <v>100</v>
      </c>
      <c r="V32" s="704" t="s">
        <v>14</v>
      </c>
      <c r="W32" s="705">
        <f t="shared" si="12"/>
        <v>100</v>
      </c>
      <c r="X32" s="1352"/>
      <c r="Y32" s="3699" t="s">
        <v>1694</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99"/>
      <c r="Q33" s="1349">
        <f t="shared" si="8"/>
        <v>111</v>
      </c>
      <c r="R33" s="707" t="s">
        <v>14</v>
      </c>
      <c r="S33" s="708">
        <f t="shared" si="10"/>
        <v>100</v>
      </c>
      <c r="T33" s="707" t="s">
        <v>14</v>
      </c>
      <c r="U33" s="708">
        <f t="shared" si="11"/>
        <v>100</v>
      </c>
      <c r="V33" s="707" t="s">
        <v>14</v>
      </c>
      <c r="W33" s="708">
        <f t="shared" si="12"/>
        <v>100</v>
      </c>
      <c r="X33" s="709"/>
      <c r="Y33" s="3699"/>
      <c r="Z33" s="710">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99"/>
      <c r="Q34" s="1349" t="str">
        <f>B34</f>
        <v>宗地面积</v>
      </c>
      <c r="R34" s="704" t="s">
        <v>14</v>
      </c>
      <c r="S34" s="705" t="e">
        <f t="shared" si="10"/>
        <v>#N/A</v>
      </c>
      <c r="T34" s="704" t="s">
        <v>14</v>
      </c>
      <c r="U34" s="705" t="e">
        <f t="shared" si="11"/>
        <v>#N/A</v>
      </c>
      <c r="V34" s="704" t="s">
        <v>14</v>
      </c>
      <c r="W34" s="705" t="e">
        <f t="shared" si="12"/>
        <v>#N/A</v>
      </c>
      <c r="X34" s="1352"/>
      <c r="Y34" s="3699"/>
      <c r="Z34" s="1353" t="str">
        <f t="shared" si="13"/>
        <v>宗地面积</v>
      </c>
      <c r="AA34" s="1350" t="e">
        <f t="shared" si="3"/>
        <v>#N/A</v>
      </c>
      <c r="AB34" s="1350" t="e">
        <f t="shared" si="4"/>
        <v>#N/A</v>
      </c>
      <c r="AC34" s="1350"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699"/>
      <c r="Q35" s="1349" t="str">
        <f t="shared" ref="Q35:Q40" si="14">B35</f>
        <v>宗地形状</v>
      </c>
      <c r="R35" s="704" t="s">
        <v>14</v>
      </c>
      <c r="S35" s="705">
        <f t="shared" si="10"/>
        <v>100</v>
      </c>
      <c r="T35" s="704" t="s">
        <v>14</v>
      </c>
      <c r="U35" s="705">
        <f t="shared" si="11"/>
        <v>100</v>
      </c>
      <c r="V35" s="704" t="s">
        <v>14</v>
      </c>
      <c r="W35" s="705">
        <f t="shared" si="12"/>
        <v>100</v>
      </c>
      <c r="X35" s="1352"/>
      <c r="Y35" s="3699"/>
      <c r="Z35" s="1353" t="str">
        <f t="shared" si="13"/>
        <v>宗地形状</v>
      </c>
      <c r="AA35" s="1350">
        <f t="shared" si="3"/>
        <v>1</v>
      </c>
      <c r="AB35" s="1350">
        <f t="shared" si="4"/>
        <v>1</v>
      </c>
      <c r="AC35" s="1350">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699"/>
      <c r="Q36" s="1349"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699" t="s">
        <v>1694</v>
      </c>
      <c r="Q37" s="1349" t="str">
        <f t="shared" si="14"/>
        <v>工程地质条件</v>
      </c>
      <c r="R37" s="704" t="s">
        <v>14</v>
      </c>
      <c r="S37" s="705">
        <f t="shared" si="10"/>
        <v>100</v>
      </c>
      <c r="T37" s="704" t="s">
        <v>14</v>
      </c>
      <c r="U37" s="705">
        <f t="shared" si="11"/>
        <v>100</v>
      </c>
      <c r="V37" s="704" t="s">
        <v>14</v>
      </c>
      <c r="W37" s="705">
        <f t="shared" si="12"/>
        <v>100</v>
      </c>
      <c r="X37" s="1352"/>
      <c r="Y37" s="3699" t="s">
        <v>1694</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99"/>
      <c r="Q38" s="1349">
        <f t="shared" si="14"/>
        <v>111</v>
      </c>
      <c r="R38" s="704" t="s">
        <v>14</v>
      </c>
      <c r="S38" s="705">
        <f t="shared" si="10"/>
        <v>100</v>
      </c>
      <c r="T38" s="704" t="s">
        <v>14</v>
      </c>
      <c r="U38" s="705">
        <f t="shared" si="11"/>
        <v>100</v>
      </c>
      <c r="V38" s="704" t="s">
        <v>14</v>
      </c>
      <c r="W38" s="705">
        <f t="shared" si="12"/>
        <v>100</v>
      </c>
      <c r="X38" s="1352"/>
      <c r="Y38" s="3699"/>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99"/>
      <c r="Q39" s="1349">
        <f t="shared" si="14"/>
        <v>111</v>
      </c>
      <c r="R39" s="704" t="s">
        <v>14</v>
      </c>
      <c r="S39" s="705">
        <f t="shared" si="10"/>
        <v>100</v>
      </c>
      <c r="T39" s="704" t="s">
        <v>14</v>
      </c>
      <c r="U39" s="705">
        <f t="shared" si="11"/>
        <v>100</v>
      </c>
      <c r="V39" s="704" t="s">
        <v>14</v>
      </c>
      <c r="W39" s="705">
        <f t="shared" si="12"/>
        <v>100</v>
      </c>
      <c r="X39" s="1352"/>
      <c r="Y39" s="3699"/>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99"/>
      <c r="Q40" s="1349">
        <f t="shared" si="14"/>
        <v>111</v>
      </c>
      <c r="R40" s="707" t="s">
        <v>14</v>
      </c>
      <c r="S40" s="708">
        <f t="shared" si="10"/>
        <v>100</v>
      </c>
      <c r="T40" s="707" t="s">
        <v>14</v>
      </c>
      <c r="U40" s="708">
        <f t="shared" si="11"/>
        <v>100</v>
      </c>
      <c r="V40" s="707" t="s">
        <v>14</v>
      </c>
      <c r="W40" s="708">
        <f t="shared" si="12"/>
        <v>100</v>
      </c>
      <c r="X40" s="709"/>
      <c r="Y40" s="3699"/>
      <c r="Z40" s="710">
        <f t="shared" si="13"/>
        <v>111</v>
      </c>
      <c r="AA40" s="1350">
        <f t="shared" si="3"/>
        <v>1</v>
      </c>
      <c r="AB40" s="1350">
        <f t="shared" si="4"/>
        <v>1</v>
      </c>
      <c r="AC40" s="1350">
        <f t="shared" si="5"/>
        <v>1</v>
      </c>
    </row>
    <row r="41" spans="1:31" ht="15">
      <c r="A41" s="430" t="s">
        <v>1842</v>
      </c>
      <c r="B41" s="1977" t="s">
        <v>1920</v>
      </c>
      <c r="C41" s="630" t="s">
        <v>0</v>
      </c>
      <c r="D41" s="432"/>
      <c r="E41" s="433"/>
      <c r="F41" s="434"/>
      <c r="G41" s="435"/>
      <c r="H41" s="436"/>
      <c r="I41" s="433"/>
      <c r="J41" s="436"/>
      <c r="K41" s="713"/>
      <c r="L41" s="2719"/>
      <c r="M41" s="2711"/>
      <c r="N41" s="2711"/>
      <c r="O41" s="2720"/>
      <c r="P41" s="3695" t="str">
        <f>A41</f>
        <v>成交单价</v>
      </c>
      <c r="Q41" s="3695"/>
      <c r="R41" s="3700">
        <f>E41</f>
        <v>0</v>
      </c>
      <c r="S41" s="3700"/>
      <c r="T41" s="3700">
        <f>G41</f>
        <v>0</v>
      </c>
      <c r="U41" s="3700"/>
      <c r="V41" s="3700">
        <f>I41</f>
        <v>0</v>
      </c>
      <c r="W41" s="3700"/>
      <c r="X41" s="689"/>
      <c r="Y41" s="711"/>
      <c r="Z41" s="689"/>
      <c r="AA41" s="689"/>
      <c r="AB41" s="689"/>
      <c r="AC41" s="689"/>
    </row>
    <row r="42" spans="1:31" ht="15.75" thickBot="1">
      <c r="A42" s="437" t="s">
        <v>1791</v>
      </c>
      <c r="B42" s="631"/>
      <c r="C42" s="440" t="e">
        <f>R43</f>
        <v>#DIV/0!</v>
      </c>
      <c r="D42" s="2312" t="s">
        <v>2135</v>
      </c>
      <c r="E42" s="440" t="e">
        <f>R42</f>
        <v>#DIV/0!</v>
      </c>
      <c r="F42" s="2313"/>
      <c r="G42" s="439" t="e">
        <f>T42</f>
        <v>#DIV/0!</v>
      </c>
      <c r="H42" s="2313"/>
      <c r="I42" s="440" t="e">
        <f>V42</f>
        <v>#DIV/0!</v>
      </c>
      <c r="J42" s="2313"/>
      <c r="K42" s="2315">
        <f>F42+H42+J42</f>
        <v>0</v>
      </c>
      <c r="L42" s="2719"/>
      <c r="M42" s="2711"/>
      <c r="N42" s="2711"/>
      <c r="O42" s="2720"/>
      <c r="P42" s="3695" t="str">
        <f>A42</f>
        <v>比较价值（元/平方米）</v>
      </c>
      <c r="Q42" s="3695"/>
      <c r="R42" s="3688" t="e">
        <f>ROUND(PRODUCT(R41,AA7:AA40),0)</f>
        <v>#DIV/0!</v>
      </c>
      <c r="S42" s="3688"/>
      <c r="T42" s="3688" t="e">
        <f>ROUND(PRODUCT(T41,AB7:AB40),0)</f>
        <v>#DIV/0!</v>
      </c>
      <c r="U42" s="3688"/>
      <c r="V42" s="3688" t="e">
        <f>ROUND(PRODUCT(V41,AC7:AC40),0)</f>
        <v>#DIV/0!</v>
      </c>
      <c r="W42" s="3688"/>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9"/>
      <c r="M43" s="2711"/>
      <c r="N43" s="2711"/>
      <c r="O43" s="2720"/>
      <c r="P43" s="3689" t="str">
        <f>A43</f>
        <v>估价对象XX用房的比较价值（楼面单价，元/平方米）</v>
      </c>
      <c r="Q43" s="3690"/>
      <c r="R43" s="3691" t="e">
        <f>ROUND(IF(D42="简单平均",AVERAGE(R42:W42),R42*F42+T42*H42+V42*J42),0)</f>
        <v>#DIV/0!</v>
      </c>
      <c r="S43" s="3691"/>
      <c r="T43" s="3691"/>
      <c r="U43" s="3691"/>
      <c r="V43" s="3691"/>
      <c r="W43" s="3691"/>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78" t="s">
        <v>1881</v>
      </c>
      <c r="D50" s="1979" t="s">
        <v>1882</v>
      </c>
      <c r="E50" s="634" t="s">
        <v>1883</v>
      </c>
      <c r="F50" s="635" t="s">
        <v>1884</v>
      </c>
      <c r="G50" s="3692" t="s">
        <v>1885</v>
      </c>
      <c r="H50" s="3693"/>
      <c r="I50" s="1353" t="s">
        <v>1921</v>
      </c>
      <c r="J50" s="1353">
        <f>项目基本情况!F35</f>
        <v>0</v>
      </c>
      <c r="K50" s="1981"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3">
        <v>1</v>
      </c>
      <c r="E51" s="638">
        <f>'数据-汇总表'!E8+'数据-汇总表'!E9</f>
        <v>34383.439999999995</v>
      </c>
      <c r="F51" s="639" t="e">
        <f t="shared" ref="F51:F60" si="15">ROUND(B51*E51/10000,0)</f>
        <v>#DIV/0!</v>
      </c>
      <c r="G51" s="3694"/>
      <c r="H51" s="3695"/>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v>
      </c>
      <c r="D52" s="944">
        <v>0.25</v>
      </c>
      <c r="E52" s="642"/>
      <c r="F52" s="639" t="e">
        <f t="shared" si="15"/>
        <v>#DIV/0!</v>
      </c>
      <c r="G52" s="3001" t="s">
        <v>1890</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4">
        <v>0.25</v>
      </c>
      <c r="E56" s="217">
        <f>'数据-汇总表'!E11</f>
        <v>0</v>
      </c>
      <c r="F56" s="639" t="e">
        <f t="shared" si="15"/>
        <v>#DIV/0!</v>
      </c>
      <c r="G56" s="1982" t="s">
        <v>1894</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4">
        <v>0.25</v>
      </c>
      <c r="E57" s="217">
        <f>'数据-汇总表'!E12</f>
        <v>0</v>
      </c>
      <c r="F57" s="639" t="e">
        <f t="shared" si="15"/>
        <v>#DIV/0!</v>
      </c>
      <c r="G57" s="891" t="s">
        <v>1896</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0.1</v>
      </c>
      <c r="D58" s="944">
        <v>0.25</v>
      </c>
      <c r="E58" s="217">
        <f>'数据-汇总表'!E13</f>
        <v>8677.7000000000007</v>
      </c>
      <c r="F58" s="639" t="e">
        <f t="shared" si="15"/>
        <v>#DIV/0!</v>
      </c>
      <c r="G58" s="891" t="s">
        <v>1898</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v>
      </c>
      <c r="D59" s="944">
        <v>0.25</v>
      </c>
      <c r="E59" s="217">
        <f>'数据-汇总表'!E14</f>
        <v>0</v>
      </c>
      <c r="F59" s="639" t="e">
        <f t="shared" si="15"/>
        <v>#DIV/0!</v>
      </c>
      <c r="G59" s="1982" t="s">
        <v>1890</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4">
        <v>0.25</v>
      </c>
      <c r="E60" s="217">
        <f>'数据-汇总表'!E15</f>
        <v>0</v>
      </c>
      <c r="F60" s="639" t="e">
        <f t="shared" si="15"/>
        <v>#DIV/0!</v>
      </c>
      <c r="G60" s="1983" t="s">
        <v>1894</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17349.990000000002</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1796</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1902</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906</v>
      </c>
      <c r="B1" s="1488"/>
      <c r="C1" s="1488"/>
      <c r="D1" s="1488"/>
      <c r="E1" s="1488"/>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90"/>
      <c r="B4" s="3504" t="s">
        <v>915</v>
      </c>
      <c r="C4" s="3504"/>
      <c r="D4" s="3504"/>
      <c r="E4" s="1490"/>
    </row>
    <row r="5" spans="1:5" ht="16.5" thickTop="1">
      <c r="A5" s="1488"/>
      <c r="B5" s="3502" t="s">
        <v>907</v>
      </c>
      <c r="C5" s="1491" t="s">
        <v>908</v>
      </c>
      <c r="D5" s="849">
        <f ca="1">结果表!H101</f>
        <v>97382</v>
      </c>
      <c r="E5" s="1488"/>
    </row>
    <row r="6" spans="1:5" ht="15.75">
      <c r="A6" s="1488"/>
      <c r="B6" s="3502"/>
      <c r="C6" s="1491" t="s">
        <v>909</v>
      </c>
      <c r="D6" s="849" t="str">
        <f ca="1">NUMBERSTRING(INT(D5*10000),2)&amp;"元整"</f>
        <v>玖亿柒仟叁佰捌拾贰万元整</v>
      </c>
      <c r="E6" s="1488"/>
    </row>
    <row r="7" spans="1:5" ht="15.75">
      <c r="A7" s="1488"/>
      <c r="B7" s="3507"/>
      <c r="C7" s="1492" t="s">
        <v>910</v>
      </c>
      <c r="D7" s="850">
        <f ca="1">结果表!H102</f>
        <v>19164</v>
      </c>
      <c r="E7" s="1488"/>
    </row>
    <row r="8" spans="1:5" ht="15.75">
      <c r="A8" s="1488"/>
      <c r="B8" s="3508" t="str">
        <f>结果表!E103</f>
        <v>2.估价师知悉的法定优先受偿款</v>
      </c>
      <c r="C8" s="1493" t="s">
        <v>911</v>
      </c>
      <c r="D8" s="850">
        <f>结果表!H103</f>
        <v>0</v>
      </c>
      <c r="E8" s="1488"/>
    </row>
    <row r="9" spans="1:5" ht="15.75">
      <c r="A9" s="1488"/>
      <c r="B9" s="3510"/>
      <c r="C9" s="1491" t="s">
        <v>909</v>
      </c>
      <c r="D9" s="849" t="str">
        <f>NUMBERSTRING(INT(D8*10000),2)&amp;"元整"</f>
        <v>零元整</v>
      </c>
      <c r="E9" s="1488"/>
    </row>
    <row r="10" spans="1:5" ht="15">
      <c r="A10" s="1488"/>
      <c r="B10" s="1494" t="s">
        <v>914</v>
      </c>
      <c r="C10" s="1495" t="s">
        <v>912</v>
      </c>
      <c r="D10" s="851">
        <f>结果表!H104</f>
        <v>0</v>
      </c>
      <c r="E10" s="1488"/>
    </row>
    <row r="11" spans="1:5" ht="15">
      <c r="A11" s="1488"/>
      <c r="B11" s="1494" t="s">
        <v>916</v>
      </c>
      <c r="C11" s="1495" t="s">
        <v>917</v>
      </c>
      <c r="D11" s="851">
        <f>结果表!H105</f>
        <v>0</v>
      </c>
      <c r="E11" s="1488"/>
    </row>
    <row r="12" spans="1:5" ht="15">
      <c r="A12" s="1488"/>
      <c r="B12" s="1494" t="s">
        <v>918</v>
      </c>
      <c r="C12" s="1495" t="s">
        <v>917</v>
      </c>
      <c r="D12" s="851">
        <f>结果表!H106</f>
        <v>0</v>
      </c>
      <c r="E12" s="1488"/>
    </row>
    <row r="13" spans="1:5" ht="15.75">
      <c r="A13" s="1488"/>
      <c r="B13" s="3501" t="str">
        <f>结果表!E107</f>
        <v>3.房地产抵押价值</v>
      </c>
      <c r="C13" s="1496" t="s">
        <v>908</v>
      </c>
      <c r="D13" s="852">
        <f ca="1">结果表!H107</f>
        <v>97382</v>
      </c>
      <c r="E13" s="1488"/>
    </row>
    <row r="14" spans="1:5" ht="15.75">
      <c r="A14" s="1488"/>
      <c r="B14" s="3502"/>
      <c r="C14" s="1491" t="s">
        <v>909</v>
      </c>
      <c r="D14" s="849" t="str">
        <f ca="1">NUMBERSTRING(INT(D13*10000),2)&amp;"元整"</f>
        <v>玖亿柒仟叁佰捌拾贰万元整</v>
      </c>
      <c r="E14" s="1488"/>
    </row>
    <row r="15" spans="1:5" ht="15">
      <c r="A15" s="1488"/>
      <c r="B15" s="3507"/>
      <c r="C15" s="1492" t="s">
        <v>919</v>
      </c>
      <c r="D15" s="858">
        <f ca="1">结果表!H108</f>
        <v>19164</v>
      </c>
      <c r="E15" s="1488"/>
    </row>
    <row r="16" spans="1:5" ht="15">
      <c r="A16" s="1488"/>
      <c r="B16" s="3508" t="str">
        <f>结果表!E109</f>
        <v>——</v>
      </c>
      <c r="C16" s="1496" t="s">
        <v>920</v>
      </c>
      <c r="D16" s="1497" t="str">
        <f>结果表!H109</f>
        <v>——</v>
      </c>
      <c r="E16" s="1488"/>
    </row>
    <row r="17" spans="1:5" ht="15.75">
      <c r="A17" s="1488"/>
      <c r="B17" s="3509"/>
      <c r="C17" s="1491" t="s">
        <v>921</v>
      </c>
      <c r="D17" s="849" t="e">
        <f>NUMBERSTRING(INT(D16*10000),2)&amp;"元整"</f>
        <v>#VALUE!</v>
      </c>
      <c r="E17" s="1488"/>
    </row>
    <row r="18" spans="1:5" ht="15">
      <c r="A18" s="1488"/>
      <c r="B18" s="3510"/>
      <c r="C18" s="1492" t="s">
        <v>910</v>
      </c>
      <c r="D18" s="858" t="str">
        <f>结果表!H110</f>
        <v>——</v>
      </c>
      <c r="E18" s="1488"/>
    </row>
    <row r="19" spans="1:5" ht="15.75">
      <c r="A19" s="1488"/>
      <c r="B19" s="3501" t="str">
        <f>结果表!E111</f>
        <v>——</v>
      </c>
      <c r="C19" s="1496" t="s">
        <v>908</v>
      </c>
      <c r="D19" s="850" t="str">
        <f>结果表!H111</f>
        <v>——</v>
      </c>
      <c r="E19" s="1488"/>
    </row>
    <row r="20" spans="1:5" ht="15.75">
      <c r="A20" s="1488"/>
      <c r="B20" s="3502"/>
      <c r="C20" s="1491" t="s">
        <v>921</v>
      </c>
      <c r="D20" s="849" t="e">
        <f>NUMBERSTRING(INT(D19*10000),2)&amp;"元整"</f>
        <v>#VALUE!</v>
      </c>
      <c r="E20" s="1488"/>
    </row>
    <row r="21" spans="1:5" ht="15.75" thickBot="1">
      <c r="A21" s="1488"/>
      <c r="B21" s="3503"/>
      <c r="C21" s="1498" t="s">
        <v>919</v>
      </c>
      <c r="D21" s="859" t="str">
        <f>结果表!H112</f>
        <v>——</v>
      </c>
      <c r="E21" s="1488"/>
    </row>
    <row r="22" spans="1:5" ht="15" thickTop="1">
      <c r="A22" s="1488"/>
      <c r="B22" s="1499" t="s">
        <v>922</v>
      </c>
      <c r="C22" s="1488"/>
      <c r="D22" s="1488"/>
      <c r="E22" s="1488"/>
    </row>
    <row r="23" spans="1:5">
      <c r="A23" s="1488"/>
      <c r="B23" s="1488"/>
      <c r="C23" s="1488"/>
      <c r="D23" s="1488"/>
      <c r="E23" s="1488"/>
    </row>
    <row r="24" spans="1:5" ht="18.75">
      <c r="A24" s="1500"/>
      <c r="B24" s="1501" t="s">
        <v>913</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2"/>
      <c r="C1" s="2142"/>
      <c r="D1" s="2142"/>
      <c r="E1" s="2142"/>
      <c r="F1" s="2788"/>
      <c r="G1" s="2788"/>
      <c r="H1" s="2788"/>
      <c r="I1" s="2788"/>
      <c r="J1" s="2788"/>
      <c r="K1" s="2788"/>
      <c r="L1" s="2788"/>
      <c r="M1" s="2788"/>
      <c r="N1" s="2788"/>
      <c r="O1" s="2788"/>
      <c r="P1" s="2788"/>
    </row>
    <row r="2" spans="1:16" ht="15.75">
      <c r="A2" s="2140" t="s">
        <v>2071</v>
      </c>
      <c r="B2" s="2597" t="e">
        <f ca="1">SUMIF(B6:B13,"&lt;&gt;#ref!",B6:B13)</f>
        <v>#DIV/0!</v>
      </c>
      <c r="C2" s="2140" t="s">
        <v>2072</v>
      </c>
      <c r="D2" s="2140" t="s">
        <v>2073</v>
      </c>
      <c r="E2" s="2607">
        <f ca="1">SUMIF(E6:E13,"&lt;&gt;#ref!",E6:E13)</f>
        <v>0</v>
      </c>
      <c r="F2" s="2788"/>
      <c r="G2" s="2788"/>
      <c r="H2" s="2788"/>
      <c r="I2" s="2788"/>
      <c r="J2" s="2788"/>
      <c r="K2" s="2788"/>
      <c r="L2" s="2788"/>
      <c r="M2" s="2788"/>
      <c r="N2" s="2788"/>
      <c r="O2" s="2788"/>
      <c r="P2" s="2788"/>
    </row>
    <row r="3" spans="1:16" ht="15.75">
      <c r="A3" s="2140" t="s">
        <v>2074</v>
      </c>
      <c r="B3" s="2597" t="e">
        <f ca="1">ROUND(B2*10000/E2,0)</f>
        <v>#DIV/0!</v>
      </c>
      <c r="C3" s="2140"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1"/>
      <c r="D5" s="2788"/>
      <c r="E5" s="2606" t="s">
        <v>2077</v>
      </c>
      <c r="F5" s="2788"/>
      <c r="G5" s="2788"/>
      <c r="H5" s="2788"/>
      <c r="I5" s="2788"/>
      <c r="J5" s="2788"/>
      <c r="K5" s="2788"/>
      <c r="L5" s="2788"/>
      <c r="M5" s="2788"/>
      <c r="N5" s="2788"/>
      <c r="O5" s="2788"/>
      <c r="P5" s="2788"/>
    </row>
    <row r="6" spans="1:16" ht="15.75">
      <c r="A6" s="2604" t="s">
        <v>2078</v>
      </c>
      <c r="B6" s="2597" t="e">
        <f ca="1">SUMIF(INDIRECT("'"&amp;A6&amp;"'"&amp;"!A:A"),"总价",INDIRECT("'"&amp;A6&amp;"'"&amp;"!B:B"))</f>
        <v>#DIV/0!</v>
      </c>
      <c r="C6" s="2140" t="s">
        <v>2072</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7"/>
      <c r="L1" s="1991" t="s">
        <v>1926</v>
      </c>
      <c r="M1" s="862">
        <f>SUMPRODUCT((区片价!B5:B9=I2)*(区片价!C3:G3=E2)*(区片价!C5:G9))</f>
        <v>0</v>
      </c>
      <c r="N1" s="865">
        <f>SUMPRODUCT((因素修正幅度!B5:B9=I2)*(因素修正幅度!C3:G3=E2)*(因素修正幅度!C5:G9))</f>
        <v>0</v>
      </c>
      <c r="O1" s="1992"/>
      <c r="P1" s="1992"/>
      <c r="Q1" s="1117"/>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t="e">
        <f>C30</f>
        <v>#DIV/0!</v>
      </c>
      <c r="C2" s="1994" t="s">
        <v>1933</v>
      </c>
      <c r="D2" s="1995" t="s">
        <v>1934</v>
      </c>
      <c r="E2" s="3417"/>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7"/>
      <c r="L2" s="1998" t="s">
        <v>1937</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4" t="s">
        <v>1939</v>
      </c>
      <c r="D3" s="1995" t="s">
        <v>1940</v>
      </c>
      <c r="E3" s="3415"/>
      <c r="F3" s="1999"/>
      <c r="G3" s="751">
        <f>IF(F3="宗地容积率",'数据-汇总表'!I4,IF(F3="估价对象容积率",'数据-汇总表'!I6,'数据-汇总表'!I7))</f>
        <v>0</v>
      </c>
      <c r="H3" s="170" t="s">
        <v>1941</v>
      </c>
      <c r="I3" s="774"/>
      <c r="J3" s="1997" t="s">
        <v>1942</v>
      </c>
      <c r="K3" s="1117"/>
      <c r="L3" s="1998" t="s">
        <v>1943</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1"/>
      <c r="B4" s="3802"/>
      <c r="C4" s="3802"/>
      <c r="D4" s="3803"/>
      <c r="E4" s="3803"/>
      <c r="F4" s="3803"/>
      <c r="G4" s="3803"/>
      <c r="H4" s="3803"/>
      <c r="I4" s="3803"/>
      <c r="J4" s="3804"/>
      <c r="K4" s="1117"/>
      <c r="L4" s="1998" t="s">
        <v>1944</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1945</v>
      </c>
      <c r="C5" s="752" t="e">
        <f>ROUND(IF(E2="商业",C6*C7*C17+C20,(IF(E2="住宅",C6*C13*C17+C20,IF(E2="办公",C6*C12*C17+C20,C6+C20)))),0)</f>
        <v>#DIV/0!</v>
      </c>
      <c r="D5" s="1336" t="e">
        <f>ROUND(C6*C17+C20,0)</f>
        <v>#DIV/0!</v>
      </c>
      <c r="E5" s="1336"/>
      <c r="F5" s="2002"/>
      <c r="G5" s="2003"/>
      <c r="H5" s="2003"/>
      <c r="I5" s="2003"/>
      <c r="J5" s="2004"/>
      <c r="K5" s="2005"/>
      <c r="L5" s="1998" t="s">
        <v>1946</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1947</v>
      </c>
      <c r="B6" s="2011" t="s">
        <v>1948</v>
      </c>
      <c r="C6" s="753">
        <f>SUMIF(L1:L12,G2,M1:M12)</f>
        <v>0</v>
      </c>
      <c r="D6" s="2012"/>
      <c r="E6" s="2013"/>
      <c r="F6" s="2013"/>
      <c r="G6" s="2014"/>
      <c r="H6" s="2014"/>
      <c r="I6" s="2014"/>
      <c r="J6" s="2015"/>
      <c r="K6" s="1381"/>
      <c r="L6" s="1998" t="s">
        <v>1949</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3240</v>
      </c>
      <c r="B7" s="2016" t="s">
        <v>1950</v>
      </c>
      <c r="C7" s="754" t="e">
        <f>IF(C8="不临65条商业街",1,ROUND(1+(1.6*E8+1.2*E9+0.8*E10+0.4*E11)*C9,4))</f>
        <v>#DIV/0!</v>
      </c>
      <c r="D7" s="2017" t="s">
        <v>1951</v>
      </c>
      <c r="E7" s="775"/>
      <c r="F7" s="2018"/>
      <c r="G7" s="2019"/>
      <c r="H7" s="2019"/>
      <c r="I7" s="2019"/>
      <c r="J7" s="2020"/>
      <c r="K7" s="1381"/>
      <c r="L7" s="1998" t="s">
        <v>1952</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1953</v>
      </c>
      <c r="X7" s="1211">
        <f>G2</f>
        <v>0</v>
      </c>
      <c r="Y7" s="1211" t="s">
        <v>1954</v>
      </c>
      <c r="Z7" s="1212">
        <f>G3</f>
        <v>0</v>
      </c>
      <c r="AA7" s="1213"/>
      <c r="AB7" s="1213"/>
      <c r="AC7" s="1214"/>
      <c r="AD7" s="1215"/>
      <c r="AE7" s="1215"/>
      <c r="AF7" s="1215"/>
      <c r="AG7" s="1215"/>
      <c r="AH7" s="1215"/>
      <c r="AI7" s="1215"/>
      <c r="AJ7" s="1216"/>
    </row>
    <row r="8" spans="1:36" ht="15">
      <c r="A8" s="3294"/>
      <c r="B8" s="170" t="s">
        <v>1955</v>
      </c>
      <c r="C8" s="2021"/>
      <c r="D8" s="755" t="s">
        <v>112</v>
      </c>
      <c r="E8" s="756" t="e">
        <f>ROUND(C11/E7,4)</f>
        <v>#DIV/0!</v>
      </c>
      <c r="F8" s="2022" t="s">
        <v>1956</v>
      </c>
      <c r="G8" s="2023"/>
      <c r="H8" s="2023"/>
      <c r="I8" s="2023"/>
      <c r="J8" s="2024"/>
      <c r="K8" s="1117"/>
      <c r="L8" s="1998" t="s">
        <v>1957</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798" t="s">
        <v>1958</v>
      </c>
      <c r="X8" s="3799"/>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4"/>
      <c r="B9" s="170" t="s">
        <v>1971</v>
      </c>
      <c r="C9" s="757">
        <f>SUMIF(修正!C71:C138,C8,修正!E71:E138)</f>
        <v>0</v>
      </c>
      <c r="D9" s="171" t="s">
        <v>113</v>
      </c>
      <c r="E9" s="171" t="e">
        <f>ROUND(C11/E7,4)</f>
        <v>#DIV/0!</v>
      </c>
      <c r="F9" s="2022" t="s">
        <v>1972</v>
      </c>
      <c r="G9" s="2023"/>
      <c r="H9" s="2023"/>
      <c r="I9" s="2023"/>
      <c r="J9" s="2024"/>
      <c r="K9" s="1117"/>
      <c r="L9" s="1998" t="s">
        <v>1973</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00"/>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2" t="s">
        <v>1975</v>
      </c>
      <c r="G10" s="2023"/>
      <c r="H10" s="2023"/>
      <c r="I10" s="2023"/>
      <c r="J10" s="2024"/>
      <c r="K10" s="1117"/>
      <c r="L10" s="1998" t="s">
        <v>1976</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0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1977</v>
      </c>
      <c r="C11" s="758">
        <f>C10/4</f>
        <v>0</v>
      </c>
      <c r="D11" s="758" t="s">
        <v>115</v>
      </c>
      <c r="E11" s="758" t="e">
        <f>ROUND(C11/E7,4)</f>
        <v>#DIV/0!</v>
      </c>
      <c r="F11" s="2026" t="s">
        <v>1978</v>
      </c>
      <c r="G11" s="2027"/>
      <c r="H11" s="2027"/>
      <c r="I11" s="2027"/>
      <c r="J11" s="2028"/>
      <c r="K11" s="1117"/>
      <c r="L11" s="1998" t="s">
        <v>1979</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7"/>
      <c r="L12" s="2034" t="s">
        <v>1982</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3245</v>
      </c>
      <c r="B13" s="2029" t="s">
        <v>1980</v>
      </c>
      <c r="C13" s="754">
        <f>ROUND(C16*D16*E16*F16*G16*H16*I16*J16,4)</f>
        <v>0</v>
      </c>
      <c r="D13" s="2030" t="s">
        <v>1981</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1983</v>
      </c>
      <c r="C14" s="2036" t="s">
        <v>1984</v>
      </c>
      <c r="D14" s="1347" t="s">
        <v>1985</v>
      </c>
      <c r="E14" s="27" t="s">
        <v>1986</v>
      </c>
      <c r="F14" s="3307" t="s">
        <v>3246</v>
      </c>
      <c r="G14" s="3307" t="s">
        <v>3246</v>
      </c>
      <c r="H14" s="3307" t="s">
        <v>3246</v>
      </c>
      <c r="I14" s="3307" t="s">
        <v>3246</v>
      </c>
      <c r="J14" s="3307" t="s">
        <v>3246</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3247</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t="e">
        <f>ROUND(G18/I18,2)</f>
        <v>#DIV/0!</v>
      </c>
      <c r="F17" s="3317" t="s">
        <v>3253</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3251</v>
      </c>
      <c r="E18" s="3324"/>
      <c r="F18" s="3319" t="s">
        <v>3254</v>
      </c>
      <c r="G18" s="3323">
        <f>ROUND(1-(1/(POWER(1+G24,E18))),4)</f>
        <v>0</v>
      </c>
      <c r="H18" s="3319" t="s">
        <v>3256</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3252</v>
      </c>
      <c r="E19" s="3333"/>
      <c r="F19" s="3334" t="s">
        <v>3255</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05" t="s">
        <v>3257</v>
      </c>
      <c r="B20" s="167" t="s">
        <v>1992</v>
      </c>
      <c r="C20" s="3320" t="e">
        <f>ROUND(IF(F21="与级别开发程度一致",0,(G21-E21)/C21),0)</f>
        <v>#DIV/0!</v>
      </c>
      <c r="D20" s="3336" t="s">
        <v>1996</v>
      </c>
      <c r="E20" s="3337"/>
      <c r="F20" s="3811" t="s">
        <v>1993</v>
      </c>
      <c r="G20" s="3812"/>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06"/>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1998</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60">
        <v>44197</v>
      </c>
      <c r="F23" s="2049" t="s">
        <v>2001</v>
      </c>
      <c r="G23" s="761">
        <f>'数据-取费表'!B2</f>
        <v>45216</v>
      </c>
      <c r="H23" s="3338" t="s">
        <v>3259</v>
      </c>
      <c r="I23" s="3339" t="str">
        <f>IF(H23="季度增幅（自定义）",SUMIF(N25:N28,E2,O25:O28),"")</f>
        <v/>
      </c>
      <c r="J23" s="3441" t="s">
        <v>3258</v>
      </c>
      <c r="K23" s="1123"/>
      <c r="L23" s="2050" t="s">
        <v>2002</v>
      </c>
      <c r="M23" s="1325">
        <f>ROUND(SUMIF(地价!B2:G2,E2,地价!B16:G16),0)</f>
        <v>0</v>
      </c>
      <c r="N23" s="2051" t="s">
        <v>2003</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2004</v>
      </c>
      <c r="C24" s="763" t="e">
        <f>ROUND(POWER(1+G24,J24-I24)*(POWER(1+G24,I24)-1)/(POWER(1+G24,J24)-1),4)</f>
        <v>#DIV/0!</v>
      </c>
      <c r="D24" s="2055" t="s">
        <v>2005</v>
      </c>
      <c r="E24" s="1332">
        <f>存贷款利率!E24/100</f>
        <v>4.3499999999999997E-2</v>
      </c>
      <c r="F24" s="2055" t="s">
        <v>1997</v>
      </c>
      <c r="G24" s="767">
        <f>SUMIF(M30:Q30,E2,M33:Q33)</f>
        <v>0</v>
      </c>
      <c r="H24" s="2055" t="s">
        <v>2006</v>
      </c>
      <c r="I24" s="768" t="e">
        <f>SUMIF('数据-取费表'!C6:C15,E2,'数据-取费表'!F6:F15)/COUNTIF('数据-取费表'!C6:C15,E2)</f>
        <v>#DIV/0!</v>
      </c>
      <c r="J24" s="769">
        <f>IF(E2="住宅",70,IF(E2="商业",40,50))</f>
        <v>50</v>
      </c>
      <c r="K24" s="1123"/>
      <c r="L24" s="2056" t="s">
        <v>2007</v>
      </c>
      <c r="M24" s="1326">
        <f>ROUND(SUMPRODUCT((地价!A4:A16=YEAR(G23)&amp;"-"&amp;ROUNDUP(MONTH(G23)/3,0))*(地价!B2:G2=E2)*(地价!B4:G16)),0)</f>
        <v>0</v>
      </c>
      <c r="N24" s="2057" t="s">
        <v>2008</v>
      </c>
      <c r="O24" s="2058" t="s">
        <v>2009</v>
      </c>
      <c r="P24" s="2059" t="s">
        <v>2010</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3338</v>
      </c>
      <c r="C25" s="770">
        <f>IF(B25="容积率修正",IF(G3&lt;10,D26,J26),C27)</f>
        <v>0</v>
      </c>
      <c r="D25" s="2062"/>
      <c r="E25" s="2062"/>
      <c r="F25" s="2062"/>
      <c r="G25" s="2062"/>
      <c r="H25" s="2062"/>
      <c r="I25" s="2062"/>
      <c r="J25" s="2063"/>
      <c r="K25" s="1123"/>
      <c r="L25" s="2783"/>
      <c r="M25" s="2783"/>
      <c r="N25" s="2064" t="s">
        <v>2011</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2012</v>
      </c>
      <c r="B26" s="2065" t="s">
        <v>2013</v>
      </c>
      <c r="C26" s="3340" t="s">
        <v>3260</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3261</v>
      </c>
      <c r="J26" s="771" t="str">
        <f>IF(G3&gt;=10,D115,"——")</f>
        <v>——</v>
      </c>
      <c r="K26" s="1123"/>
      <c r="L26" s="2783"/>
      <c r="M26" s="2783"/>
      <c r="N26" s="2064" t="s">
        <v>2014</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2015</v>
      </c>
      <c r="B27" s="2066" t="s">
        <v>2016</v>
      </c>
      <c r="C27" s="840">
        <f>ROUND(IF(I3&lt;6,SUMPRODUCT((B106:B110=I3)*(C105:N105=G2)*(C106:N110)),SUMIF(C105:N105,G2,C112:N112)),4)</f>
        <v>0</v>
      </c>
      <c r="D27" s="2041"/>
      <c r="E27" s="2041"/>
      <c r="F27" s="2067"/>
      <c r="G27" s="2068"/>
      <c r="H27" s="2069"/>
      <c r="I27" s="2070"/>
      <c r="J27" s="2071"/>
      <c r="K27" s="1117"/>
      <c r="L27" s="1992"/>
      <c r="M27" s="1992"/>
      <c r="N27" s="2064" t="s">
        <v>2017</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2018</v>
      </c>
      <c r="C28" s="759">
        <f>SUMIF(A47:A101,E2,B47:B101)</f>
        <v>0</v>
      </c>
      <c r="D28" s="2047"/>
      <c r="E28" s="2072"/>
      <c r="F28" s="2072"/>
      <c r="G28" s="2072"/>
      <c r="H28" s="2072"/>
      <c r="I28" s="2072"/>
      <c r="J28" s="2073"/>
      <c r="K28" s="1123"/>
      <c r="L28" s="2783"/>
      <c r="M28" s="2783"/>
      <c r="N28" s="2074"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2020</v>
      </c>
      <c r="C29" s="764"/>
      <c r="D29" s="2019"/>
      <c r="E29" s="2019"/>
      <c r="F29" s="2076"/>
      <c r="G29" s="2019"/>
      <c r="H29" s="2019"/>
      <c r="I29" s="2019"/>
      <c r="J29" s="2020"/>
      <c r="K29" s="1117"/>
      <c r="L29" s="1992"/>
      <c r="M29" s="1992"/>
      <c r="N29" s="2780" t="s">
        <v>2021</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7"/>
      <c r="L30" s="3346" t="s">
        <v>1934</v>
      </c>
      <c r="M30" s="3347" t="s">
        <v>1988</v>
      </c>
      <c r="N30" s="3347" t="s">
        <v>1989</v>
      </c>
      <c r="O30" s="3347" t="s">
        <v>1990</v>
      </c>
      <c r="P30" s="3347" t="s">
        <v>1991</v>
      </c>
      <c r="Q30" s="3350" t="s">
        <v>3265</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2023</v>
      </c>
      <c r="C31" s="765" t="e">
        <f>E34+SUM(I37:I42)</f>
        <v>#DIV/0!</v>
      </c>
      <c r="D31" s="2082"/>
      <c r="E31" s="2083"/>
      <c r="F31" s="2084"/>
      <c r="G31" s="2083"/>
      <c r="H31" s="2083"/>
      <c r="I31" s="2083"/>
      <c r="J31" s="2085"/>
      <c r="K31" s="1117"/>
      <c r="L31" s="3348" t="s">
        <v>1994</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7"/>
      <c r="L32" s="3349" t="s">
        <v>1997</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2028</v>
      </c>
      <c r="C33" s="175" t="e">
        <f>ROUND(C5*C22*C23*C24*C25*C28,0)</f>
        <v>#DIV/0!</v>
      </c>
      <c r="D33" s="2093"/>
      <c r="E33" s="772" t="e">
        <f>ROUND(C33*D33/10000,0)</f>
        <v>#DIV/0!</v>
      </c>
      <c r="F33" s="3341" t="s">
        <v>3263</v>
      </c>
      <c r="G33" s="2094"/>
      <c r="H33" s="2094"/>
      <c r="I33" s="2094"/>
      <c r="J33" s="2095"/>
      <c r="K33" s="1117"/>
      <c r="L33" s="3344" t="s">
        <v>3266</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2029</v>
      </c>
      <c r="C34" s="187" t="e">
        <f>ROUND(IF(E2="工业",C33*M42,IF(B25="楼层修正",SUM(V2:V16)*M41*10000/D34,C33*M41)),0)</f>
        <v>#DIV/0!</v>
      </c>
      <c r="D34" s="2098"/>
      <c r="E34" s="772" t="e">
        <f>ROUND(IF(B25="楼层修正",SUM(V2:V16)*M40,C34*D34/10000),0)</f>
        <v>#DIV/0!</v>
      </c>
      <c r="F34" s="2099" t="s">
        <v>2030</v>
      </c>
      <c r="G34" s="2100"/>
      <c r="H34" s="2100"/>
      <c r="I34" s="2100"/>
      <c r="J34" s="2101"/>
      <c r="K34" s="1117"/>
      <c r="L34" s="3344" t="s">
        <v>3267</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2031</v>
      </c>
      <c r="C35" s="3342" t="s">
        <v>3264</v>
      </c>
      <c r="D35" s="2032"/>
      <c r="E35" s="2104"/>
      <c r="F35" s="2104"/>
      <c r="G35" s="2030" t="s">
        <v>2032</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2025</v>
      </c>
      <c r="D36" s="447" t="s">
        <v>2026</v>
      </c>
      <c r="E36" s="447" t="s">
        <v>2027</v>
      </c>
      <c r="F36" s="342" t="s">
        <v>2033</v>
      </c>
      <c r="G36" s="2107" t="s">
        <v>2025</v>
      </c>
      <c r="H36" s="2107" t="s">
        <v>2026</v>
      </c>
      <c r="I36" s="2107" t="s">
        <v>2027</v>
      </c>
      <c r="J36" s="243"/>
      <c r="K36" s="3352" t="s">
        <v>3268</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09"/>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3269</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10"/>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10"/>
      <c r="B39" s="2036" t="s">
        <v>3262</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8"/>
      <c r="AA40" s="1118"/>
      <c r="AB40" s="1118"/>
      <c r="AC40" s="1118"/>
      <c r="AD40" s="1118"/>
      <c r="AE40" s="1118"/>
      <c r="AF40" s="1118"/>
      <c r="AG40" s="1118"/>
      <c r="AH40" s="1118"/>
      <c r="AI40" s="1118"/>
      <c r="AJ40" s="1118"/>
    </row>
    <row r="41" spans="1:37" s="1117"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3270</v>
      </c>
      <c r="M41" s="2113">
        <v>0.25</v>
      </c>
      <c r="Z41" s="1118"/>
      <c r="AA41" s="1118"/>
      <c r="AB41" s="1118"/>
      <c r="AC41" s="1118"/>
      <c r="AD41" s="1118"/>
      <c r="AE41" s="1118"/>
      <c r="AF41" s="1118"/>
      <c r="AG41" s="1118"/>
      <c r="AH41" s="1118"/>
      <c r="AI41" s="1118"/>
      <c r="AJ41" s="1118"/>
    </row>
    <row r="42" spans="1:37" s="1117" customFormat="1" ht="13.5" thickBot="1">
      <c r="A42" s="2096"/>
      <c r="B42" s="2114" t="s">
        <v>2039</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1991</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2119</v>
      </c>
      <c r="C44" s="342" t="e">
        <f>ROUND(POWER(1+E44,H44-G44)*(POWER(1+E44,G44)-1)/(POWER(1+E44,H44)-1),4)</f>
        <v>#DIV/0!</v>
      </c>
      <c r="D44" s="171" t="s">
        <v>1997</v>
      </c>
      <c r="E44" s="2148">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2040</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2041</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2042</v>
      </c>
      <c r="B49" s="1348" t="s">
        <v>2043</v>
      </c>
      <c r="C49" s="1348" t="s">
        <v>2044</v>
      </c>
      <c r="D49" s="1348" t="s">
        <v>2045</v>
      </c>
      <c r="E49" s="742" t="s">
        <v>2046</v>
      </c>
      <c r="F49" s="2126" t="s">
        <v>2047</v>
      </c>
      <c r="G49" s="1348" t="s">
        <v>310</v>
      </c>
      <c r="H49" s="2127" t="s">
        <v>2048</v>
      </c>
      <c r="I49" s="1348"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38.25">
      <c r="A50" s="2125" t="s">
        <v>2050</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2051</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3272</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2052</v>
      </c>
      <c r="B53" s="2130" t="s">
        <v>2053</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2054</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2055</v>
      </c>
      <c r="B55" s="2131" t="s">
        <v>2056</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2057</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2058</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2059</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2060</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2042</v>
      </c>
      <c r="B60" s="1348"/>
      <c r="C60" s="1348" t="s">
        <v>2044</v>
      </c>
      <c r="D60" s="1348" t="s">
        <v>2045</v>
      </c>
      <c r="E60" s="742" t="s">
        <v>2046</v>
      </c>
      <c r="F60" s="2126" t="s">
        <v>2061</v>
      </c>
      <c r="G60" s="1348" t="s">
        <v>310</v>
      </c>
      <c r="H60" s="2127" t="s">
        <v>2048</v>
      </c>
      <c r="I60" s="1348"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38.25">
      <c r="A61" s="2125" t="s">
        <v>2062</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2051</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3272</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2052</v>
      </c>
      <c r="B64" s="2130" t="s">
        <v>2053</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2054</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2055</v>
      </c>
      <c r="B66" s="2131" t="s">
        <v>2056</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2057</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2058</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2059</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2063</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2042</v>
      </c>
      <c r="B71" s="1348"/>
      <c r="C71" s="1348" t="s">
        <v>2044</v>
      </c>
      <c r="D71" s="1348" t="s">
        <v>2045</v>
      </c>
      <c r="E71" s="742" t="s">
        <v>2046</v>
      </c>
      <c r="F71" s="2126" t="s">
        <v>2061</v>
      </c>
      <c r="G71" s="1348" t="s">
        <v>310</v>
      </c>
      <c r="H71" s="2127" t="s">
        <v>2048</v>
      </c>
      <c r="I71" s="1348"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51">
      <c r="A72" s="2125" t="s">
        <v>2064</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2051</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3272</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2065</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2057</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2058</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2055</v>
      </c>
      <c r="B78" s="2131" t="s">
        <v>2056</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2059</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2066</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2067</v>
      </c>
      <c r="B81" s="2122">
        <f>1+E83</f>
        <v>1</v>
      </c>
      <c r="C81" s="740"/>
      <c r="D81" s="740"/>
      <c r="E81" s="741"/>
      <c r="F81" s="2124"/>
      <c r="G81" s="3"/>
      <c r="H81" s="3"/>
      <c r="I81" s="3"/>
      <c r="J81" s="4"/>
      <c r="K81" s="4"/>
      <c r="L81" s="4"/>
      <c r="M81" s="4"/>
      <c r="N81" s="4"/>
      <c r="Z81" s="1993"/>
      <c r="AA81" s="2048"/>
      <c r="AG81" s="1119"/>
      <c r="AK81" s="2048"/>
    </row>
    <row r="82" spans="1:37" ht="24.75">
      <c r="A82" s="2125" t="s">
        <v>2042</v>
      </c>
      <c r="B82" s="1348"/>
      <c r="C82" s="1348" t="s">
        <v>2044</v>
      </c>
      <c r="D82" s="1348" t="s">
        <v>2045</v>
      </c>
      <c r="E82" s="742" t="s">
        <v>2046</v>
      </c>
      <c r="F82" s="2126" t="s">
        <v>2061</v>
      </c>
      <c r="G82" s="1348" t="s">
        <v>310</v>
      </c>
      <c r="H82" s="2127" t="s">
        <v>2048</v>
      </c>
      <c r="I82" s="1348" t="s">
        <v>2049</v>
      </c>
      <c r="J82" s="552" t="s">
        <v>1719</v>
      </c>
      <c r="K82" s="552" t="s">
        <v>1720</v>
      </c>
      <c r="L82" s="552" t="s">
        <v>1721</v>
      </c>
      <c r="M82" s="552" t="s">
        <v>1722</v>
      </c>
      <c r="N82" s="552" t="s">
        <v>1723</v>
      </c>
      <c r="Z82" s="1993"/>
      <c r="AA82" s="2048"/>
      <c r="AG82" s="1119"/>
      <c r="AK82" s="2048"/>
    </row>
    <row r="83" spans="1:37" ht="38.25">
      <c r="A83" s="2125" t="s">
        <v>2068</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2051</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3273</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2065</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2057</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2058</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2055</v>
      </c>
      <c r="B89" s="2131" t="s">
        <v>2069</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2070</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2613</v>
      </c>
      <c r="B91" s="3373">
        <f>1+E93</f>
        <v>1</v>
      </c>
      <c r="C91" s="3366"/>
      <c r="D91" s="3367"/>
      <c r="E91" s="1811"/>
      <c r="F91" s="1811"/>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7" t="s">
        <v>3297</v>
      </c>
      <c r="B103" s="3807"/>
      <c r="C103" s="3807"/>
      <c r="D103" s="3807"/>
      <c r="E103" s="3807"/>
      <c r="F103" s="3807"/>
      <c r="G103" s="3807"/>
      <c r="H103" s="3807"/>
      <c r="I103" s="3807"/>
      <c r="J103" s="3807"/>
      <c r="K103" s="3385"/>
      <c r="L103" s="3385"/>
      <c r="M103" s="3385"/>
      <c r="N103" s="3385"/>
    </row>
    <row r="104" spans="1:14">
      <c r="A104" s="3808" t="s">
        <v>3298</v>
      </c>
      <c r="B104" s="3808" t="s">
        <v>3299</v>
      </c>
      <c r="C104" s="3386" t="s">
        <v>3300</v>
      </c>
      <c r="D104" s="3387"/>
      <c r="E104" s="3387"/>
      <c r="F104" s="3387"/>
      <c r="G104" s="3387"/>
      <c r="H104" s="3387"/>
      <c r="I104" s="3387"/>
      <c r="J104" s="3388"/>
      <c r="K104" s="3389"/>
      <c r="L104" s="3389"/>
      <c r="M104" s="3389"/>
      <c r="N104" s="3389"/>
    </row>
    <row r="105" spans="1:14">
      <c r="A105" s="3808"/>
      <c r="B105" s="3808"/>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94"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5"/>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7" t="s">
        <v>3314</v>
      </c>
      <c r="B113" s="3797"/>
      <c r="C113" s="3797"/>
      <c r="D113" s="3797"/>
      <c r="E113" s="3797"/>
      <c r="F113" s="3797"/>
      <c r="G113" s="3797"/>
      <c r="H113" s="3797"/>
      <c r="I113" s="3797"/>
      <c r="J113" s="379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0</v>
      </c>
      <c r="C116" s="3395" t="s">
        <v>3316</v>
      </c>
      <c r="D116" s="3396">
        <f>SUMPRODUCT((A118:A122=F116)*(B117:M117=H116)*B118:M122)</f>
        <v>0</v>
      </c>
      <c r="E116" s="1995" t="s">
        <v>3317</v>
      </c>
      <c r="F116" s="3397">
        <f>E2</f>
        <v>0</v>
      </c>
      <c r="G116" s="1995" t="s">
        <v>3318</v>
      </c>
      <c r="H116" s="3397">
        <f>G2</f>
        <v>0</v>
      </c>
      <c r="I116" s="1995"/>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3332</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3333</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3334</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2613</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22" t="s">
        <v>2608</v>
      </c>
      <c r="B20" s="3817" t="s">
        <v>2629</v>
      </c>
      <c r="C20" s="3098" t="s">
        <v>2440</v>
      </c>
      <c r="D20" s="3099"/>
      <c r="E20" s="3100">
        <v>1</v>
      </c>
      <c r="F20" s="3101" t="s">
        <v>2441</v>
      </c>
      <c r="G20" s="3101"/>
    </row>
    <row r="21" spans="1:13" ht="19.5" customHeight="1">
      <c r="A21" s="3823"/>
      <c r="B21" s="3816"/>
      <c r="C21" s="3102" t="s">
        <v>2442</v>
      </c>
      <c r="D21" s="3103"/>
      <c r="E21" s="3104">
        <v>1</v>
      </c>
      <c r="F21" s="3101" t="s">
        <v>2443</v>
      </c>
      <c r="G21" s="3101"/>
    </row>
    <row r="22" spans="1:13" ht="19.5" customHeight="1">
      <c r="A22" s="3823"/>
      <c r="B22" s="3816"/>
      <c r="C22" s="3102" t="s">
        <v>2444</v>
      </c>
      <c r="D22" s="3103"/>
      <c r="E22" s="3104">
        <v>0.9</v>
      </c>
      <c r="F22" s="3101" t="s">
        <v>2445</v>
      </c>
      <c r="G22" s="3101"/>
    </row>
    <row r="23" spans="1:13" ht="19.5" customHeight="1">
      <c r="A23" s="3823"/>
      <c r="B23" s="3816"/>
      <c r="C23" s="3102" t="s">
        <v>2446</v>
      </c>
      <c r="D23" s="3103"/>
      <c r="E23" s="3104">
        <v>0.9</v>
      </c>
      <c r="F23" s="3101" t="s">
        <v>2447</v>
      </c>
      <c r="G23" s="3101"/>
    </row>
    <row r="24" spans="1:13" ht="19.5" customHeight="1">
      <c r="A24" s="3823"/>
      <c r="B24" s="3816"/>
      <c r="C24" s="3102" t="s">
        <v>2448</v>
      </c>
      <c r="D24" s="3103"/>
      <c r="E24" s="3104">
        <v>0.8</v>
      </c>
      <c r="F24" s="3101" t="s">
        <v>2449</v>
      </c>
      <c r="G24" s="3101"/>
    </row>
    <row r="25" spans="1:13" ht="19.5" customHeight="1" thickBot="1">
      <c r="A25" s="3824"/>
      <c r="B25" s="3818"/>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19" t="s">
        <v>2632</v>
      </c>
      <c r="B27" s="3817" t="s">
        <v>2613</v>
      </c>
      <c r="C27" s="3098" t="s">
        <v>2453</v>
      </c>
      <c r="D27" s="3099"/>
      <c r="E27" s="3100">
        <v>1</v>
      </c>
      <c r="F27" s="3101" t="s">
        <v>2454</v>
      </c>
      <c r="G27" s="3101"/>
    </row>
    <row r="28" spans="1:13" ht="19.5" customHeight="1">
      <c r="A28" s="3820"/>
      <c r="B28" s="3816"/>
      <c r="C28" s="3102" t="s">
        <v>2455</v>
      </c>
      <c r="D28" s="3103"/>
      <c r="E28" s="3104">
        <v>1</v>
      </c>
      <c r="F28" s="3101" t="s">
        <v>2456</v>
      </c>
      <c r="G28" s="3101"/>
    </row>
    <row r="29" spans="1:13" ht="19.5" customHeight="1">
      <c r="A29" s="3820"/>
      <c r="B29" s="3816"/>
      <c r="C29" s="3102" t="s">
        <v>2457</v>
      </c>
      <c r="D29" s="3103"/>
      <c r="E29" s="3104">
        <v>0.8</v>
      </c>
      <c r="F29" s="3101" t="s">
        <v>2458</v>
      </c>
      <c r="G29" s="3101"/>
    </row>
    <row r="30" spans="1:13" ht="19.5" customHeight="1">
      <c r="A30" s="3820"/>
      <c r="B30" s="3816"/>
      <c r="C30" s="3102" t="s">
        <v>2459</v>
      </c>
      <c r="D30" s="3103"/>
      <c r="E30" s="3104">
        <v>0.8</v>
      </c>
      <c r="F30" s="3101" t="s">
        <v>2460</v>
      </c>
      <c r="G30" s="3101"/>
    </row>
    <row r="31" spans="1:13" ht="19.5" customHeight="1">
      <c r="A31" s="3820"/>
      <c r="B31" s="3816"/>
      <c r="C31" s="3102" t="s">
        <v>2461</v>
      </c>
      <c r="D31" s="3103"/>
      <c r="E31" s="3104">
        <v>0.8</v>
      </c>
      <c r="F31" s="3101" t="s">
        <v>2462</v>
      </c>
      <c r="G31" s="3101"/>
    </row>
    <row r="32" spans="1:13" ht="19.5" customHeight="1">
      <c r="A32" s="3820"/>
      <c r="B32" s="3816"/>
      <c r="C32" s="3102" t="s">
        <v>2463</v>
      </c>
      <c r="D32" s="3103"/>
      <c r="E32" s="3104">
        <v>0.7</v>
      </c>
      <c r="F32" s="3101" t="s">
        <v>2464</v>
      </c>
      <c r="G32" s="3101"/>
    </row>
    <row r="33" spans="1:7" ht="19.5" customHeight="1">
      <c r="A33" s="3820"/>
      <c r="B33" s="3816"/>
      <c r="C33" s="3102" t="s">
        <v>2465</v>
      </c>
      <c r="D33" s="3103"/>
      <c r="E33" s="3104">
        <v>0.8</v>
      </c>
      <c r="F33" s="3101" t="s">
        <v>2466</v>
      </c>
      <c r="G33" s="3101"/>
    </row>
    <row r="34" spans="1:7" ht="19.5" customHeight="1">
      <c r="A34" s="3820"/>
      <c r="B34" s="3816"/>
      <c r="C34" s="3102" t="s">
        <v>2467</v>
      </c>
      <c r="D34" s="3103"/>
      <c r="E34" s="3104">
        <v>0.6</v>
      </c>
      <c r="F34" s="3101" t="s">
        <v>2468</v>
      </c>
      <c r="G34" s="3101"/>
    </row>
    <row r="35" spans="1:7" ht="19.5" customHeight="1">
      <c r="A35" s="3820"/>
      <c r="B35" s="3816"/>
      <c r="C35" s="3102" t="s">
        <v>2469</v>
      </c>
      <c r="D35" s="3103"/>
      <c r="E35" s="3104">
        <v>0.2</v>
      </c>
      <c r="F35" s="3101" t="s">
        <v>2470</v>
      </c>
      <c r="G35" s="3101"/>
    </row>
    <row r="36" spans="1:7" ht="19.5" customHeight="1">
      <c r="A36" s="3820"/>
      <c r="B36" s="3816"/>
      <c r="C36" s="3102" t="s">
        <v>2471</v>
      </c>
      <c r="D36" s="3103"/>
      <c r="E36" s="3104">
        <v>0.2</v>
      </c>
      <c r="F36" s="3101" t="s">
        <v>2472</v>
      </c>
      <c r="G36" s="3101"/>
    </row>
    <row r="37" spans="1:7" ht="19.5" customHeight="1">
      <c r="A37" s="3820"/>
      <c r="B37" s="3814" t="s">
        <v>2633</v>
      </c>
      <c r="C37" s="3102" t="s">
        <v>2473</v>
      </c>
      <c r="D37" s="3103"/>
      <c r="E37" s="3104">
        <v>0.6</v>
      </c>
      <c r="F37" s="3101" t="s">
        <v>2474</v>
      </c>
      <c r="G37" s="3101"/>
    </row>
    <row r="38" spans="1:7" ht="19.5" customHeight="1">
      <c r="A38" s="3820"/>
      <c r="B38" s="3816"/>
      <c r="C38" s="3102" t="s">
        <v>2475</v>
      </c>
      <c r="D38" s="3103"/>
      <c r="E38" s="3104">
        <v>0.6</v>
      </c>
      <c r="F38" s="3101" t="s">
        <v>2476</v>
      </c>
      <c r="G38" s="3101"/>
    </row>
    <row r="39" spans="1:7" ht="19.5" customHeight="1" thickBot="1">
      <c r="A39" s="3821"/>
      <c r="B39" s="3818"/>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22" t="s">
        <v>2611</v>
      </c>
      <c r="B41" s="3817" t="s">
        <v>2635</v>
      </c>
      <c r="C41" s="3098" t="s">
        <v>2480</v>
      </c>
      <c r="D41" s="3099"/>
      <c r="E41" s="3100">
        <v>1</v>
      </c>
      <c r="F41" s="3101" t="s">
        <v>2481</v>
      </c>
      <c r="G41" s="3101"/>
    </row>
    <row r="42" spans="1:7" ht="19.5" customHeight="1">
      <c r="A42" s="3823"/>
      <c r="B42" s="3816"/>
      <c r="C42" s="3102" t="s">
        <v>2482</v>
      </c>
      <c r="D42" s="3103"/>
      <c r="E42" s="3104">
        <v>1</v>
      </c>
      <c r="F42" s="3101" t="s">
        <v>2483</v>
      </c>
      <c r="G42" s="3101"/>
    </row>
    <row r="43" spans="1:7" ht="19.5" customHeight="1">
      <c r="A43" s="3823"/>
      <c r="B43" s="3815"/>
      <c r="C43" s="3102" t="s">
        <v>2484</v>
      </c>
      <c r="D43" s="3103"/>
      <c r="E43" s="3104">
        <v>1.5</v>
      </c>
      <c r="F43" s="3101" t="s">
        <v>2485</v>
      </c>
      <c r="G43" s="3101"/>
    </row>
    <row r="44" spans="1:7" ht="19.5" customHeight="1">
      <c r="A44" s="3823"/>
      <c r="B44" s="3113" t="s">
        <v>2636</v>
      </c>
      <c r="C44" s="3102" t="s">
        <v>2637</v>
      </c>
      <c r="D44" s="3103"/>
      <c r="E44" s="3104">
        <v>2</v>
      </c>
      <c r="F44" s="3101" t="s">
        <v>2486</v>
      </c>
      <c r="G44" s="3101"/>
    </row>
    <row r="45" spans="1:7" ht="19.5" customHeight="1">
      <c r="A45" s="3823"/>
      <c r="B45" s="3814" t="s">
        <v>2638</v>
      </c>
      <c r="C45" s="3102" t="s">
        <v>2487</v>
      </c>
      <c r="D45" s="3103"/>
      <c r="E45" s="3104">
        <v>1</v>
      </c>
      <c r="F45" s="3101" t="s">
        <v>2488</v>
      </c>
      <c r="G45" s="3101"/>
    </row>
    <row r="46" spans="1:7" ht="19.5" customHeight="1">
      <c r="A46" s="3823"/>
      <c r="B46" s="3816"/>
      <c r="C46" s="3102" t="s">
        <v>2489</v>
      </c>
      <c r="D46" s="3103"/>
      <c r="E46" s="3104">
        <v>1</v>
      </c>
      <c r="F46" s="3101" t="s">
        <v>2490</v>
      </c>
      <c r="G46" s="3101"/>
    </row>
    <row r="47" spans="1:7" ht="19.5" customHeight="1">
      <c r="A47" s="3823"/>
      <c r="B47" s="3816"/>
      <c r="C47" s="3102" t="s">
        <v>2491</v>
      </c>
      <c r="D47" s="3103"/>
      <c r="E47" s="3104">
        <v>1</v>
      </c>
      <c r="F47" s="3101" t="s">
        <v>2492</v>
      </c>
      <c r="G47" s="3101"/>
    </row>
    <row r="48" spans="1:7" ht="19.5" customHeight="1">
      <c r="A48" s="3823"/>
      <c r="B48" s="3816"/>
      <c r="C48" s="3102" t="s">
        <v>2493</v>
      </c>
      <c r="D48" s="3103"/>
      <c r="E48" s="3104">
        <v>1</v>
      </c>
      <c r="F48" s="3101" t="s">
        <v>2494</v>
      </c>
      <c r="G48" s="3101"/>
    </row>
    <row r="49" spans="1:7" ht="19.5" customHeight="1">
      <c r="A49" s="3823"/>
      <c r="B49" s="3816"/>
      <c r="C49" s="3102" t="s">
        <v>2495</v>
      </c>
      <c r="D49" s="3103"/>
      <c r="E49" s="3104">
        <v>1</v>
      </c>
      <c r="F49" s="3101" t="s">
        <v>2496</v>
      </c>
      <c r="G49" s="3101"/>
    </row>
    <row r="50" spans="1:7" ht="19.5" customHeight="1">
      <c r="A50" s="3823"/>
      <c r="B50" s="3816"/>
      <c r="C50" s="3102" t="s">
        <v>2497</v>
      </c>
      <c r="D50" s="3103"/>
      <c r="E50" s="3104">
        <v>1</v>
      </c>
      <c r="F50" s="3101" t="s">
        <v>2498</v>
      </c>
      <c r="G50" s="3101"/>
    </row>
    <row r="51" spans="1:7" ht="19.5" customHeight="1" thickBot="1">
      <c r="A51" s="3824"/>
      <c r="B51" s="3818"/>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814" t="s">
        <v>2652</v>
      </c>
      <c r="C73" s="3087" t="s">
        <v>2653</v>
      </c>
      <c r="D73" s="3087" t="s">
        <v>2654</v>
      </c>
      <c r="E73" s="3113">
        <v>0.2</v>
      </c>
      <c r="F73" s="3113">
        <v>25</v>
      </c>
    </row>
    <row r="74" spans="1:7" ht="24">
      <c r="A74" s="3113">
        <v>2</v>
      </c>
      <c r="B74" s="3816"/>
      <c r="C74" s="3087" t="s">
        <v>2655</v>
      </c>
      <c r="D74" s="3087" t="s">
        <v>2656</v>
      </c>
      <c r="E74" s="3113">
        <v>0.2</v>
      </c>
      <c r="F74" s="3113">
        <v>25</v>
      </c>
    </row>
    <row r="75" spans="1:7" ht="24">
      <c r="A75" s="3113">
        <v>3</v>
      </c>
      <c r="B75" s="3816"/>
      <c r="C75" s="3087" t="s">
        <v>2657</v>
      </c>
      <c r="D75" s="3087" t="s">
        <v>2658</v>
      </c>
      <c r="E75" s="3113">
        <v>0.2</v>
      </c>
      <c r="F75" s="3113">
        <v>25</v>
      </c>
    </row>
    <row r="76" spans="1:7" ht="13.5">
      <c r="A76" s="3113">
        <v>4</v>
      </c>
      <c r="B76" s="3816"/>
      <c r="C76" s="3087" t="s">
        <v>2659</v>
      </c>
      <c r="D76" s="3087" t="s">
        <v>2660</v>
      </c>
      <c r="E76" s="3113">
        <v>0.15</v>
      </c>
      <c r="F76" s="3113">
        <v>20</v>
      </c>
    </row>
    <row r="77" spans="1:7" ht="24">
      <c r="A77" s="3113">
        <v>5</v>
      </c>
      <c r="B77" s="3816"/>
      <c r="C77" s="3087" t="s">
        <v>2661</v>
      </c>
      <c r="D77" s="3087" t="s">
        <v>2662</v>
      </c>
      <c r="E77" s="3113">
        <v>0.15</v>
      </c>
      <c r="F77" s="3113">
        <v>20</v>
      </c>
    </row>
    <row r="78" spans="1:7" ht="24">
      <c r="A78" s="3113">
        <v>6</v>
      </c>
      <c r="B78" s="3816"/>
      <c r="C78" s="3087" t="s">
        <v>2663</v>
      </c>
      <c r="D78" s="3087" t="s">
        <v>2664</v>
      </c>
      <c r="E78" s="3113">
        <v>0.15</v>
      </c>
      <c r="F78" s="3113">
        <v>20</v>
      </c>
    </row>
    <row r="79" spans="1:7" ht="24">
      <c r="A79" s="3113">
        <v>7</v>
      </c>
      <c r="B79" s="3816"/>
      <c r="C79" s="3087" t="s">
        <v>2665</v>
      </c>
      <c r="D79" s="3087" t="s">
        <v>2666</v>
      </c>
      <c r="E79" s="3113">
        <v>0.15</v>
      </c>
      <c r="F79" s="3113">
        <v>20</v>
      </c>
    </row>
    <row r="80" spans="1:7" ht="24">
      <c r="A80" s="3113">
        <v>8</v>
      </c>
      <c r="B80" s="3816"/>
      <c r="C80" s="3087" t="s">
        <v>2667</v>
      </c>
      <c r="D80" s="3087" t="s">
        <v>2668</v>
      </c>
      <c r="E80" s="3113">
        <v>0.1</v>
      </c>
      <c r="F80" s="3113">
        <v>15</v>
      </c>
    </row>
    <row r="81" spans="1:6" ht="24">
      <c r="A81" s="3113">
        <v>9</v>
      </c>
      <c r="B81" s="3816"/>
      <c r="C81" s="3087" t="s">
        <v>2669</v>
      </c>
      <c r="D81" s="3087" t="s">
        <v>2670</v>
      </c>
      <c r="E81" s="3113">
        <v>0.1</v>
      </c>
      <c r="F81" s="3113">
        <v>15</v>
      </c>
    </row>
    <row r="82" spans="1:6" ht="24">
      <c r="A82" s="3113">
        <v>10</v>
      </c>
      <c r="B82" s="3816"/>
      <c r="C82" s="3087" t="s">
        <v>2671</v>
      </c>
      <c r="D82" s="3087" t="s">
        <v>2672</v>
      </c>
      <c r="E82" s="3113">
        <v>0.1</v>
      </c>
      <c r="F82" s="3113">
        <v>15</v>
      </c>
    </row>
    <row r="83" spans="1:6" ht="24">
      <c r="A83" s="3113">
        <v>11</v>
      </c>
      <c r="B83" s="3816"/>
      <c r="C83" s="3087" t="s">
        <v>2673</v>
      </c>
      <c r="D83" s="3087" t="s">
        <v>2674</v>
      </c>
      <c r="E83" s="3113">
        <v>0.1</v>
      </c>
      <c r="F83" s="3113">
        <v>15</v>
      </c>
    </row>
    <row r="84" spans="1:6" ht="24">
      <c r="A84" s="3113">
        <v>12</v>
      </c>
      <c r="B84" s="3816"/>
      <c r="C84" s="3087" t="s">
        <v>2675</v>
      </c>
      <c r="D84" s="3087" t="s">
        <v>2676</v>
      </c>
      <c r="E84" s="3113">
        <v>0.1</v>
      </c>
      <c r="F84" s="3113">
        <v>15</v>
      </c>
    </row>
    <row r="85" spans="1:6" ht="13.5">
      <c r="A85" s="3113">
        <v>13</v>
      </c>
      <c r="B85" s="3816"/>
      <c r="C85" s="3087" t="s">
        <v>2677</v>
      </c>
      <c r="D85" s="3087" t="s">
        <v>2678</v>
      </c>
      <c r="E85" s="3113">
        <v>0.1</v>
      </c>
      <c r="F85" s="3113">
        <v>15</v>
      </c>
    </row>
    <row r="86" spans="1:6" ht="13.5">
      <c r="A86" s="3113">
        <v>14</v>
      </c>
      <c r="B86" s="3816"/>
      <c r="C86" s="3087" t="s">
        <v>2679</v>
      </c>
      <c r="D86" s="3087" t="s">
        <v>2680</v>
      </c>
      <c r="E86" s="3113">
        <v>0.1</v>
      </c>
      <c r="F86" s="3113">
        <v>15</v>
      </c>
    </row>
    <row r="87" spans="1:6" ht="13.5">
      <c r="A87" s="3113">
        <v>15</v>
      </c>
      <c r="B87" s="3816"/>
      <c r="C87" s="3087" t="s">
        <v>2681</v>
      </c>
      <c r="D87" s="3087" t="s">
        <v>2682</v>
      </c>
      <c r="E87" s="3113">
        <v>0.1</v>
      </c>
      <c r="F87" s="3113">
        <v>15</v>
      </c>
    </row>
    <row r="88" spans="1:6" ht="24">
      <c r="A88" s="3113">
        <v>16</v>
      </c>
      <c r="B88" s="3816"/>
      <c r="C88" s="3087" t="s">
        <v>2683</v>
      </c>
      <c r="D88" s="3087" t="s">
        <v>2684</v>
      </c>
      <c r="E88" s="3113">
        <v>0.1</v>
      </c>
      <c r="F88" s="3113">
        <v>15</v>
      </c>
    </row>
    <row r="89" spans="1:6" ht="24">
      <c r="A89" s="3113">
        <v>17</v>
      </c>
      <c r="B89" s="3815"/>
      <c r="C89" s="3087" t="s">
        <v>2685</v>
      </c>
      <c r="D89" s="3087" t="s">
        <v>2686</v>
      </c>
      <c r="E89" s="3113">
        <v>0.1</v>
      </c>
      <c r="F89" s="3113">
        <v>15</v>
      </c>
    </row>
    <row r="90" spans="1:6" ht="13.5">
      <c r="A90" s="3113">
        <v>18</v>
      </c>
      <c r="B90" s="3814" t="s">
        <v>2687</v>
      </c>
      <c r="C90" s="3087" t="s">
        <v>2688</v>
      </c>
      <c r="D90" s="3087" t="s">
        <v>2689</v>
      </c>
      <c r="E90" s="3113">
        <v>0.2</v>
      </c>
      <c r="F90" s="3113">
        <v>25</v>
      </c>
    </row>
    <row r="91" spans="1:6" ht="24">
      <c r="A91" s="3113">
        <v>19</v>
      </c>
      <c r="B91" s="3816"/>
      <c r="C91" s="3087" t="s">
        <v>2690</v>
      </c>
      <c r="D91" s="3087" t="s">
        <v>2691</v>
      </c>
      <c r="E91" s="3113">
        <v>0.2</v>
      </c>
      <c r="F91" s="3113">
        <v>25</v>
      </c>
    </row>
    <row r="92" spans="1:6" ht="13.5">
      <c r="A92" s="3113">
        <v>20</v>
      </c>
      <c r="B92" s="3816"/>
      <c r="C92" s="3087" t="s">
        <v>2692</v>
      </c>
      <c r="D92" s="3087" t="s">
        <v>2693</v>
      </c>
      <c r="E92" s="3113">
        <v>0.15</v>
      </c>
      <c r="F92" s="3113">
        <v>20</v>
      </c>
    </row>
    <row r="93" spans="1:6" ht="13.5">
      <c r="A93" s="3113">
        <v>21</v>
      </c>
      <c r="B93" s="3816"/>
      <c r="C93" s="3087" t="s">
        <v>2694</v>
      </c>
      <c r="D93" s="3087" t="s">
        <v>2695</v>
      </c>
      <c r="E93" s="3113">
        <v>0.15</v>
      </c>
      <c r="F93" s="3113">
        <v>20</v>
      </c>
    </row>
    <row r="94" spans="1:6" ht="13.5">
      <c r="A94" s="3113">
        <v>22</v>
      </c>
      <c r="B94" s="3816"/>
      <c r="C94" s="3087" t="s">
        <v>2696</v>
      </c>
      <c r="D94" s="3087" t="s">
        <v>2697</v>
      </c>
      <c r="E94" s="3113">
        <v>0.15</v>
      </c>
      <c r="F94" s="3113">
        <v>20</v>
      </c>
    </row>
    <row r="95" spans="1:6" ht="36">
      <c r="A95" s="3113">
        <v>23</v>
      </c>
      <c r="B95" s="3816"/>
      <c r="C95" s="3087" t="s">
        <v>2698</v>
      </c>
      <c r="D95" s="3087" t="s">
        <v>2699</v>
      </c>
      <c r="E95" s="3113">
        <v>0.15</v>
      </c>
      <c r="F95" s="3113">
        <v>20</v>
      </c>
    </row>
    <row r="96" spans="1:6" ht="13.5">
      <c r="A96" s="3113">
        <v>24</v>
      </c>
      <c r="B96" s="3816"/>
      <c r="C96" s="3087" t="s">
        <v>2700</v>
      </c>
      <c r="D96" s="3087" t="s">
        <v>2701</v>
      </c>
      <c r="E96" s="3113">
        <v>0.1</v>
      </c>
      <c r="F96" s="3113">
        <v>15</v>
      </c>
    </row>
    <row r="97" spans="1:6" ht="13.5">
      <c r="A97" s="3113">
        <v>25</v>
      </c>
      <c r="B97" s="3816"/>
      <c r="C97" s="3087" t="s">
        <v>2702</v>
      </c>
      <c r="D97" s="3087" t="s">
        <v>2703</v>
      </c>
      <c r="E97" s="3113">
        <v>0.1</v>
      </c>
      <c r="F97" s="3113">
        <v>15</v>
      </c>
    </row>
    <row r="98" spans="1:6" ht="24">
      <c r="A98" s="3113">
        <v>26</v>
      </c>
      <c r="B98" s="3816"/>
      <c r="C98" s="3087" t="s">
        <v>2704</v>
      </c>
      <c r="D98" s="3087" t="s">
        <v>2705</v>
      </c>
      <c r="E98" s="3113">
        <v>0.1</v>
      </c>
      <c r="F98" s="3113">
        <v>15</v>
      </c>
    </row>
    <row r="99" spans="1:6" ht="24">
      <c r="A99" s="3113">
        <v>27</v>
      </c>
      <c r="B99" s="3816"/>
      <c r="C99" s="3087" t="s">
        <v>2706</v>
      </c>
      <c r="D99" s="3087" t="s">
        <v>2707</v>
      </c>
      <c r="E99" s="3113">
        <v>0.1</v>
      </c>
      <c r="F99" s="3113">
        <v>15</v>
      </c>
    </row>
    <row r="100" spans="1:6" ht="13.5">
      <c r="A100" s="3113">
        <v>28</v>
      </c>
      <c r="B100" s="3816"/>
      <c r="C100" s="3087" t="s">
        <v>2708</v>
      </c>
      <c r="D100" s="3087" t="s">
        <v>2709</v>
      </c>
      <c r="E100" s="3113">
        <v>0.1</v>
      </c>
      <c r="F100" s="3113">
        <v>15</v>
      </c>
    </row>
    <row r="101" spans="1:6" ht="13.5">
      <c r="A101" s="3113">
        <v>29</v>
      </c>
      <c r="B101" s="3816"/>
      <c r="C101" s="3087" t="s">
        <v>2710</v>
      </c>
      <c r="D101" s="3087" t="s">
        <v>2711</v>
      </c>
      <c r="E101" s="3113">
        <v>0.1</v>
      </c>
      <c r="F101" s="3113">
        <v>15</v>
      </c>
    </row>
    <row r="102" spans="1:6" ht="13.5">
      <c r="A102" s="3113">
        <v>30</v>
      </c>
      <c r="B102" s="3816"/>
      <c r="C102" s="3087" t="s">
        <v>2712</v>
      </c>
      <c r="D102" s="3087" t="s">
        <v>2713</v>
      </c>
      <c r="E102" s="3113">
        <v>0.1</v>
      </c>
      <c r="F102" s="3113">
        <v>15</v>
      </c>
    </row>
    <row r="103" spans="1:6" ht="24">
      <c r="A103" s="3113">
        <v>31</v>
      </c>
      <c r="B103" s="3816"/>
      <c r="C103" s="3087" t="s">
        <v>2714</v>
      </c>
      <c r="D103" s="3087" t="s">
        <v>2715</v>
      </c>
      <c r="E103" s="3113">
        <v>0.1</v>
      </c>
      <c r="F103" s="3113">
        <v>15</v>
      </c>
    </row>
    <row r="104" spans="1:6" ht="24">
      <c r="A104" s="3113">
        <v>32</v>
      </c>
      <c r="B104" s="3816"/>
      <c r="C104" s="3087" t="s">
        <v>2716</v>
      </c>
      <c r="D104" s="3087" t="s">
        <v>2717</v>
      </c>
      <c r="E104" s="3113">
        <v>0.1</v>
      </c>
      <c r="F104" s="3113">
        <v>15</v>
      </c>
    </row>
    <row r="105" spans="1:6" ht="24">
      <c r="A105" s="3113">
        <v>33</v>
      </c>
      <c r="B105" s="3816"/>
      <c r="C105" s="3087" t="s">
        <v>2718</v>
      </c>
      <c r="D105" s="3087" t="s">
        <v>2719</v>
      </c>
      <c r="E105" s="3113">
        <v>0.1</v>
      </c>
      <c r="F105" s="3113">
        <v>15</v>
      </c>
    </row>
    <row r="106" spans="1:6" ht="24">
      <c r="A106" s="3113">
        <v>34</v>
      </c>
      <c r="B106" s="3815"/>
      <c r="C106" s="3087" t="s">
        <v>2720</v>
      </c>
      <c r="D106" s="3087" t="s">
        <v>2721</v>
      </c>
      <c r="E106" s="3113">
        <v>0.1</v>
      </c>
      <c r="F106" s="3113">
        <v>15</v>
      </c>
    </row>
    <row r="107" spans="1:6" ht="24">
      <c r="A107" s="3113">
        <v>35</v>
      </c>
      <c r="B107" s="3814" t="s">
        <v>2722</v>
      </c>
      <c r="C107" s="3113" t="s">
        <v>2723</v>
      </c>
      <c r="D107" s="3087" t="s">
        <v>2724</v>
      </c>
      <c r="E107" s="3113">
        <v>0.15</v>
      </c>
      <c r="F107" s="3113">
        <v>20</v>
      </c>
    </row>
    <row r="108" spans="1:6" ht="13.5">
      <c r="A108" s="3113">
        <v>36</v>
      </c>
      <c r="B108" s="3816"/>
      <c r="C108" s="3113" t="s">
        <v>2725</v>
      </c>
      <c r="D108" s="3087" t="s">
        <v>2726</v>
      </c>
      <c r="E108" s="3113">
        <v>0.15</v>
      </c>
      <c r="F108" s="3113">
        <v>20</v>
      </c>
    </row>
    <row r="109" spans="1:6" ht="13.5">
      <c r="A109" s="3113">
        <v>37</v>
      </c>
      <c r="B109" s="3816"/>
      <c r="C109" s="3113" t="s">
        <v>2727</v>
      </c>
      <c r="D109" s="3087" t="s">
        <v>2728</v>
      </c>
      <c r="E109" s="3113">
        <v>0.15</v>
      </c>
      <c r="F109" s="3113">
        <v>20</v>
      </c>
    </row>
    <row r="110" spans="1:6" ht="13.5">
      <c r="A110" s="3113">
        <v>38</v>
      </c>
      <c r="B110" s="3816"/>
      <c r="C110" s="3113" t="s">
        <v>2729</v>
      </c>
      <c r="D110" s="3087" t="s">
        <v>2730</v>
      </c>
      <c r="E110" s="3113">
        <v>0.1</v>
      </c>
      <c r="F110" s="3113">
        <v>15</v>
      </c>
    </row>
    <row r="111" spans="1:6" ht="24">
      <c r="A111" s="3113">
        <v>39</v>
      </c>
      <c r="B111" s="3816"/>
      <c r="C111" s="3113" t="s">
        <v>2731</v>
      </c>
      <c r="D111" s="3087" t="s">
        <v>2732</v>
      </c>
      <c r="E111" s="3113">
        <v>0.1</v>
      </c>
      <c r="F111" s="3113">
        <v>15</v>
      </c>
    </row>
    <row r="112" spans="1:6" ht="24">
      <c r="A112" s="3113">
        <v>40</v>
      </c>
      <c r="B112" s="3815"/>
      <c r="C112" s="3113" t="s">
        <v>2733</v>
      </c>
      <c r="D112" s="3087" t="s">
        <v>2734</v>
      </c>
      <c r="E112" s="3113">
        <v>0.1</v>
      </c>
      <c r="F112" s="3113">
        <v>15</v>
      </c>
    </row>
    <row r="113" spans="1:6" ht="13.5">
      <c r="A113" s="3113">
        <v>41</v>
      </c>
      <c r="B113" s="3813" t="s">
        <v>2735</v>
      </c>
      <c r="C113" s="3113" t="s">
        <v>2736</v>
      </c>
      <c r="D113" s="3087" t="s">
        <v>2737</v>
      </c>
      <c r="E113" s="3113">
        <v>0.1</v>
      </c>
      <c r="F113" s="3113">
        <v>15</v>
      </c>
    </row>
    <row r="114" spans="1:6" ht="13.5">
      <c r="A114" s="3113">
        <v>42</v>
      </c>
      <c r="B114" s="3813"/>
      <c r="C114" s="3113" t="s">
        <v>2738</v>
      </c>
      <c r="D114" s="3087" t="s">
        <v>2739</v>
      </c>
      <c r="E114" s="3113">
        <v>0.1</v>
      </c>
      <c r="F114" s="3113">
        <v>15</v>
      </c>
    </row>
    <row r="115" spans="1:6" ht="24">
      <c r="A115" s="3113">
        <v>43</v>
      </c>
      <c r="B115" s="3813"/>
      <c r="C115" s="3113" t="s">
        <v>2740</v>
      </c>
      <c r="D115" s="3087" t="s">
        <v>2741</v>
      </c>
      <c r="E115" s="3113">
        <v>0.1</v>
      </c>
      <c r="F115" s="3113">
        <v>15</v>
      </c>
    </row>
    <row r="116" spans="1:6" ht="13.5">
      <c r="A116" s="3113">
        <v>44</v>
      </c>
      <c r="B116" s="3814" t="s">
        <v>2742</v>
      </c>
      <c r="C116" s="3113" t="s">
        <v>2743</v>
      </c>
      <c r="D116" s="3087" t="s">
        <v>2744</v>
      </c>
      <c r="E116" s="3113">
        <v>0.1</v>
      </c>
      <c r="F116" s="3113">
        <v>15</v>
      </c>
    </row>
    <row r="117" spans="1:6" ht="24">
      <c r="A117" s="3113">
        <v>45</v>
      </c>
      <c r="B117" s="3815"/>
      <c r="C117" s="3087" t="s">
        <v>2745</v>
      </c>
      <c r="D117" s="3087" t="s">
        <v>2746</v>
      </c>
      <c r="E117" s="3113">
        <v>0.1</v>
      </c>
      <c r="F117" s="3113">
        <v>15</v>
      </c>
    </row>
    <row r="118" spans="1:6" ht="24">
      <c r="A118" s="3113">
        <v>46</v>
      </c>
      <c r="B118" s="3814" t="s">
        <v>2747</v>
      </c>
      <c r="C118" s="3113" t="s">
        <v>2748</v>
      </c>
      <c r="D118" s="3087" t="s">
        <v>2749</v>
      </c>
      <c r="E118" s="3113">
        <v>0.1</v>
      </c>
      <c r="F118" s="3113">
        <v>15</v>
      </c>
    </row>
    <row r="119" spans="1:6" ht="24">
      <c r="A119" s="3113">
        <v>47</v>
      </c>
      <c r="B119" s="3815"/>
      <c r="C119" s="3113" t="s">
        <v>2750</v>
      </c>
      <c r="D119" s="3087" t="s">
        <v>2751</v>
      </c>
      <c r="E119" s="3113">
        <v>0.1</v>
      </c>
      <c r="F119" s="3113">
        <v>15</v>
      </c>
    </row>
    <row r="120" spans="1:6" ht="13.5">
      <c r="A120" s="3113">
        <v>48</v>
      </c>
      <c r="B120" s="3814" t="s">
        <v>2752</v>
      </c>
      <c r="C120" s="3113" t="s">
        <v>2753</v>
      </c>
      <c r="D120" s="3087" t="s">
        <v>2754</v>
      </c>
      <c r="E120" s="3113">
        <v>0.1</v>
      </c>
      <c r="F120" s="3113">
        <v>15</v>
      </c>
    </row>
    <row r="121" spans="1:6" ht="13.5">
      <c r="A121" s="3113">
        <v>49</v>
      </c>
      <c r="B121" s="3815"/>
      <c r="C121" s="3113" t="s">
        <v>2755</v>
      </c>
      <c r="D121" s="3087" t="s">
        <v>2756</v>
      </c>
      <c r="E121" s="3113">
        <v>0.1</v>
      </c>
      <c r="F121" s="3113">
        <v>15</v>
      </c>
    </row>
    <row r="122" spans="1:6" ht="24">
      <c r="A122" s="3113">
        <v>50</v>
      </c>
      <c r="B122" s="3813" t="s">
        <v>2757</v>
      </c>
      <c r="C122" s="3113" t="s">
        <v>2758</v>
      </c>
      <c r="D122" s="3087" t="s">
        <v>2759</v>
      </c>
      <c r="E122" s="3113">
        <v>0.1</v>
      </c>
      <c r="F122" s="3113">
        <v>15</v>
      </c>
    </row>
    <row r="123" spans="1:6" ht="24">
      <c r="A123" s="3113">
        <v>51</v>
      </c>
      <c r="B123" s="3813"/>
      <c r="C123" s="3113" t="s">
        <v>2760</v>
      </c>
      <c r="D123" s="3087" t="s">
        <v>2761</v>
      </c>
      <c r="E123" s="3113">
        <v>0.1</v>
      </c>
      <c r="F123" s="3113">
        <v>15</v>
      </c>
    </row>
    <row r="124" spans="1:6" ht="24">
      <c r="A124" s="3113">
        <v>52</v>
      </c>
      <c r="B124" s="3813" t="s">
        <v>2762</v>
      </c>
      <c r="C124" s="3113" t="s">
        <v>2763</v>
      </c>
      <c r="D124" s="3087" t="s">
        <v>2764</v>
      </c>
      <c r="E124" s="3113">
        <v>0.1</v>
      </c>
      <c r="F124" s="3113">
        <v>15</v>
      </c>
    </row>
    <row r="125" spans="1:6" ht="24">
      <c r="A125" s="3113">
        <v>53</v>
      </c>
      <c r="B125" s="3813"/>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813" t="s">
        <v>2770</v>
      </c>
      <c r="C127" s="3113" t="s">
        <v>2771</v>
      </c>
      <c r="D127" s="3087" t="s">
        <v>2772</v>
      </c>
      <c r="E127" s="3113">
        <v>0.1</v>
      </c>
      <c r="F127" s="3113">
        <v>15</v>
      </c>
    </row>
    <row r="128" spans="1:6" ht="13.5">
      <c r="A128" s="3113">
        <v>56</v>
      </c>
      <c r="B128" s="3813"/>
      <c r="C128" s="3113" t="s">
        <v>2773</v>
      </c>
      <c r="D128" s="3087" t="s">
        <v>2774</v>
      </c>
      <c r="E128" s="3113">
        <v>0.1</v>
      </c>
      <c r="F128" s="3113">
        <v>15</v>
      </c>
    </row>
    <row r="129" spans="1:6" ht="24">
      <c r="A129" s="3113">
        <v>57</v>
      </c>
      <c r="B129" s="3813"/>
      <c r="C129" s="3113" t="s">
        <v>2775</v>
      </c>
      <c r="D129" s="3087" t="s">
        <v>2776</v>
      </c>
      <c r="E129" s="3113">
        <v>0.1</v>
      </c>
      <c r="F129" s="3113">
        <v>15</v>
      </c>
    </row>
    <row r="130" spans="1:6" ht="24">
      <c r="A130" s="3113">
        <v>58</v>
      </c>
      <c r="B130" s="3813" t="s">
        <v>2777</v>
      </c>
      <c r="C130" s="3113" t="s">
        <v>2778</v>
      </c>
      <c r="D130" s="3087" t="s">
        <v>2779</v>
      </c>
      <c r="E130" s="3113">
        <v>0.1</v>
      </c>
      <c r="F130" s="3113">
        <v>15</v>
      </c>
    </row>
    <row r="131" spans="1:6" ht="13.5">
      <c r="A131" s="3113">
        <v>59</v>
      </c>
      <c r="B131" s="3813"/>
      <c r="C131" s="3113" t="s">
        <v>2780</v>
      </c>
      <c r="D131" s="3087" t="s">
        <v>2781</v>
      </c>
      <c r="E131" s="3113">
        <v>0.1</v>
      </c>
      <c r="F131" s="3113">
        <v>15</v>
      </c>
    </row>
    <row r="132" spans="1:6" ht="13.5">
      <c r="A132" s="3113">
        <v>60</v>
      </c>
      <c r="B132" s="3814" t="s">
        <v>2782</v>
      </c>
      <c r="C132" s="3113" t="s">
        <v>2783</v>
      </c>
      <c r="D132" s="3087" t="s">
        <v>2784</v>
      </c>
      <c r="E132" s="3113">
        <v>0.1</v>
      </c>
      <c r="F132" s="3113">
        <v>15</v>
      </c>
    </row>
    <row r="133" spans="1:6" ht="13.5">
      <c r="A133" s="3113">
        <v>61</v>
      </c>
      <c r="B133" s="3815"/>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813" t="s">
        <v>2790</v>
      </c>
      <c r="C135" s="3113" t="s">
        <v>2791</v>
      </c>
      <c r="D135" s="3087" t="s">
        <v>2792</v>
      </c>
      <c r="E135" s="3113">
        <v>0.1</v>
      </c>
      <c r="F135" s="3113">
        <v>15</v>
      </c>
    </row>
    <row r="136" spans="1:6" ht="13.5">
      <c r="A136" s="3113">
        <v>64</v>
      </c>
      <c r="B136" s="3813"/>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2799</v>
      </c>
      <c r="B1" s="3122"/>
      <c r="C1" s="3122"/>
      <c r="D1" s="3122"/>
      <c r="E1" s="3122"/>
      <c r="F1" s="3122"/>
      <c r="G1" s="3122"/>
      <c r="H1" s="3122"/>
      <c r="I1" s="3122"/>
      <c r="J1" s="3122"/>
      <c r="K1" s="3122"/>
      <c r="L1" s="3122"/>
      <c r="M1" s="3122"/>
      <c r="N1" s="748"/>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49">
        <f>SUMPRODUCT((A95:A184=ROUNDDOWN(基准地价修正!G3,1))*(B94:M94=基准地价修正!G2)*(B95:M184))</f>
        <v>0</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49">
        <f>SUMPRODUCT((A371:A460=ROUNDDOWN(基准地价修正!G3,1))*(B370:M370=基准地价修正!G2)*(B371:M460))</f>
        <v>0</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41079</v>
      </c>
      <c r="C2" s="2" t="s">
        <v>106</v>
      </c>
      <c r="D2" s="199"/>
      <c r="E2" s="199"/>
      <c r="F2" s="199"/>
      <c r="G2" s="199"/>
    </row>
    <row r="3" spans="1:7" s="200" customFormat="1" ht="18" customHeight="1" thickBot="1">
      <c r="A3" s="203" t="s">
        <v>58</v>
      </c>
      <c r="B3" s="204">
        <f ca="1">ROUND(B2*10000/'数据-汇总表'!E3,0)</f>
        <v>8084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516</v>
      </c>
      <c r="D9" s="844">
        <f>'数据-汇总表'!E5</f>
        <v>34383.439999999995</v>
      </c>
      <c r="E9" s="225">
        <f>'数据-取费表'!B27</f>
        <v>150</v>
      </c>
      <c r="F9" s="221"/>
      <c r="G9" s="226"/>
    </row>
    <row r="10" spans="1:7" s="214" customFormat="1" ht="13.5" customHeight="1">
      <c r="A10" s="778" t="s">
        <v>356</v>
      </c>
      <c r="B10" s="224" t="s">
        <v>67</v>
      </c>
      <c r="C10" s="225">
        <f>ROUND(D10*E10/10000,0)</f>
        <v>312</v>
      </c>
      <c r="D10" s="844">
        <f>'数据-汇总表'!E6</f>
        <v>16432.900000000001</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1016</v>
      </c>
      <c r="D19" s="848">
        <f>'数据-汇总表'!E3</f>
        <v>50816.34</v>
      </c>
      <c r="E19" s="211">
        <f>'数据-取费表'!B31</f>
        <v>200</v>
      </c>
      <c r="F19" s="231"/>
      <c r="G19" s="1" t="s">
        <v>436</v>
      </c>
    </row>
    <row r="20" spans="1:7" s="214" customFormat="1" ht="13.5" customHeight="1">
      <c r="A20" s="776" t="s">
        <v>419</v>
      </c>
      <c r="B20" s="210" t="s">
        <v>77</v>
      </c>
      <c r="C20" s="232">
        <f>ROUND((C5+C19)*F20,0)</f>
        <v>433</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799</v>
      </c>
      <c r="D22" s="235">
        <f ca="1">C26</f>
        <v>4.0000000000000002E-4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754</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37</v>
      </c>
      <c r="D24" s="238"/>
      <c r="E24" s="238"/>
      <c r="F24" s="239"/>
      <c r="G24" s="240" t="s">
        <v>82</v>
      </c>
    </row>
    <row r="25" spans="1:7" s="214" customFormat="1" ht="24">
      <c r="A25" s="779" t="s">
        <v>348</v>
      </c>
      <c r="B25" s="215" t="s">
        <v>420</v>
      </c>
      <c r="C25" s="1103">
        <f ca="1">ROUND(IF('数据-取费表'!B22&lt;=1,C20*F22*'数据-取费表'!B23/2,C20*(POWER((1+F22),'数据-取费表'!B23/2)-1)),0)</f>
        <v>8</v>
      </c>
      <c r="D25" s="238"/>
      <c r="E25" s="241"/>
      <c r="F25" s="239"/>
      <c r="G25" s="242" t="s">
        <v>83</v>
      </c>
    </row>
    <row r="26" spans="1:7" s="214" customFormat="1">
      <c r="A26" s="779" t="s">
        <v>350</v>
      </c>
      <c r="B26" s="215" t="s">
        <v>422</v>
      </c>
      <c r="C26" s="238">
        <f ca="1">ROUND(IF('数据-取费表'!B22&lt;=1,F21*F22*'数据-取费表'!B23/2,F21*(POWER((1+F22),'数据-取费表'!B23/2)-1)),4)</f>
        <v>4.0000000000000002E-4</v>
      </c>
      <c r="D26" s="238"/>
      <c r="E26" s="241"/>
      <c r="F26" s="239"/>
      <c r="G26" s="243"/>
    </row>
    <row r="27" spans="1:7" s="214" customFormat="1" ht="24.75">
      <c r="A27" s="776" t="s">
        <v>342</v>
      </c>
      <c r="B27" s="244" t="s">
        <v>85</v>
      </c>
      <c r="C27" s="245">
        <f>C28</f>
        <v>1520</v>
      </c>
      <c r="D27" s="235">
        <f>C29</f>
        <v>1.4E-3</v>
      </c>
      <c r="E27" s="236" t="s">
        <v>99</v>
      </c>
      <c r="F27" s="246">
        <f>'数据-取费表'!Q16</f>
        <v>0.13</v>
      </c>
      <c r="G27" s="247" t="s">
        <v>431</v>
      </c>
    </row>
    <row r="28" spans="1:7" s="214" customFormat="1" ht="13.5" customHeight="1">
      <c r="A28" s="779" t="s">
        <v>349</v>
      </c>
      <c r="B28" s="248" t="s">
        <v>424</v>
      </c>
      <c r="C28" s="249">
        <f>ROUND((C5+C19+C20)*F27*'数据-取费表'!B21/'数据-取费表'!B20,0)</f>
        <v>1520</v>
      </c>
      <c r="D28" s="235"/>
      <c r="E28" s="236"/>
      <c r="F28" s="246"/>
      <c r="G28" s="247"/>
    </row>
    <row r="29" spans="1:7" s="214" customFormat="1" ht="13.5" customHeight="1">
      <c r="A29" s="779" t="s">
        <v>347</v>
      </c>
      <c r="B29" s="248" t="s">
        <v>425</v>
      </c>
      <c r="C29" s="238">
        <f>ROUND(C21*F27*'数据-取费表'!B21/'数据-取费表'!B20,4)</f>
        <v>1.4E-3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26331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11644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10086</v>
      </c>
      <c r="D34" s="217"/>
      <c r="E34" s="220"/>
      <c r="F34" s="257">
        <f>IF('数据-取费表'!B24=0,1,'数据-取费表'!N16)</f>
        <v>0.53</v>
      </c>
      <c r="G34" s="219" t="s">
        <v>89</v>
      </c>
    </row>
    <row r="35" spans="1:7" ht="13.5" customHeight="1">
      <c r="A35" s="779" t="s">
        <v>351</v>
      </c>
      <c r="B35" s="215" t="s">
        <v>33</v>
      </c>
      <c r="C35" s="220">
        <f>ROUND(C34*F35,0)</f>
        <v>504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364</v>
      </c>
      <c r="D36" s="220"/>
      <c r="E36" s="220"/>
      <c r="F36" s="259">
        <f>'数据-取费表'!B34</f>
        <v>0.05</v>
      </c>
      <c r="G36" s="260" t="s">
        <v>35</v>
      </c>
    </row>
    <row r="37" spans="1:7" s="258" customFormat="1" ht="13.5" customHeight="1">
      <c r="A37" s="779" t="s">
        <v>353</v>
      </c>
      <c r="B37" s="215" t="s">
        <v>91</v>
      </c>
      <c r="C37" s="249">
        <f>ROUND(E37*D37*F34/10000,0)</f>
        <v>539</v>
      </c>
      <c r="D37" s="217">
        <f>'数据-汇总表'!E3</f>
        <v>50816.34</v>
      </c>
      <c r="E37" s="249">
        <f>'数据-取费表'!B35</f>
        <v>200</v>
      </c>
      <c r="F37" s="259"/>
      <c r="G37" s="261" t="s">
        <v>92</v>
      </c>
    </row>
    <row r="38" spans="1:7" ht="13.5" customHeight="1">
      <c r="A38" s="779" t="s">
        <v>354</v>
      </c>
      <c r="B38" s="215" t="s">
        <v>36</v>
      </c>
      <c r="C38" s="220">
        <f>ROUND(C34*F38,0)</f>
        <v>151</v>
      </c>
      <c r="D38" s="220"/>
      <c r="E38" s="220"/>
      <c r="F38" s="259">
        <f>'数据-取费表'!B36</f>
        <v>1.4999999999999999E-2</v>
      </c>
      <c r="G38" s="219" t="s">
        <v>90</v>
      </c>
    </row>
    <row r="39" spans="1:7" s="214" customFormat="1" ht="13.5" customHeight="1">
      <c r="A39" s="776" t="s">
        <v>338</v>
      </c>
      <c r="B39" s="210" t="s">
        <v>77</v>
      </c>
      <c r="C39" s="232">
        <f>ROUND(C33*F20,0)</f>
        <v>233</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215</v>
      </c>
      <c r="D41" s="235">
        <f ca="1">C44</f>
        <v>4.0000000000000002E-4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211</v>
      </c>
      <c r="D42" s="238"/>
      <c r="E42" s="238"/>
      <c r="F42" s="239"/>
      <c r="G42" s="3685" t="s">
        <v>94</v>
      </c>
    </row>
    <row r="43" spans="1:7" ht="13.5" customHeight="1">
      <c r="A43" s="779" t="s">
        <v>347</v>
      </c>
      <c r="B43" s="215" t="s">
        <v>426</v>
      </c>
      <c r="C43" s="238">
        <f ca="1">ROUND(IF('数据-取费表'!B22&lt;=1,C39*F22*'数据-取费表'!B21/2,C39*(POWER((1+F22),'数据-取费表'!B21/2)-1)),0)</f>
        <v>4</v>
      </c>
      <c r="D43" s="238"/>
      <c r="E43" s="238"/>
      <c r="F43" s="239"/>
      <c r="G43" s="3686"/>
    </row>
    <row r="44" spans="1:7" ht="13.5" customHeight="1">
      <c r="A44" s="779" t="s">
        <v>348</v>
      </c>
      <c r="B44" s="215" t="s">
        <v>428</v>
      </c>
      <c r="C44" s="238">
        <f ca="1">ROUND(IF('数据-取费表'!B22&lt;=1,C40*F22*'数据-取费表'!B21/2,C40*(POWER((1+F22),'数据-取费表'!B21/2)-1)),4)</f>
        <v>4.0000000000000002E-4</v>
      </c>
      <c r="D44" s="238"/>
      <c r="E44" s="238"/>
      <c r="F44" s="239"/>
      <c r="G44" s="3687"/>
    </row>
    <row r="45" spans="1:7" s="214" customFormat="1" ht="13.5" customHeight="1">
      <c r="A45" s="776" t="s">
        <v>341</v>
      </c>
      <c r="B45" s="244" t="s">
        <v>85</v>
      </c>
      <c r="C45" s="245">
        <f>C46</f>
        <v>1544</v>
      </c>
      <c r="D45" s="235">
        <f>C47</f>
        <v>2.5999999999999999E-3</v>
      </c>
      <c r="E45" s="236" t="s">
        <v>102</v>
      </c>
      <c r="F45" s="246"/>
      <c r="G45" s="247" t="s">
        <v>434</v>
      </c>
    </row>
    <row r="46" spans="1:7" s="214" customFormat="1" ht="13.5" customHeight="1">
      <c r="A46" s="779" t="s">
        <v>349</v>
      </c>
      <c r="B46" s="248" t="s">
        <v>427</v>
      </c>
      <c r="C46" s="249">
        <f>ROUND((C33+C39)*F27,0)</f>
        <v>1544</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14748</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14748</v>
      </c>
      <c r="D51" s="232"/>
      <c r="E51" s="232"/>
      <c r="F51" s="264"/>
      <c r="G51" s="234" t="s">
        <v>37</v>
      </c>
    </row>
    <row r="52" spans="1:7" s="208" customFormat="1" ht="16.5" thickBot="1">
      <c r="A52" s="265" t="s">
        <v>38</v>
      </c>
      <c r="B52" s="266"/>
      <c r="C52" s="267">
        <f ca="1">C31+C51</f>
        <v>41079</v>
      </c>
      <c r="D52" s="266"/>
      <c r="E52" s="266"/>
      <c r="F52" s="266"/>
      <c r="G52" s="268"/>
    </row>
    <row r="55" spans="1:7" ht="15">
      <c r="B55" s="270" t="s">
        <v>39</v>
      </c>
      <c r="C55" s="271"/>
    </row>
    <row r="56" spans="1:7">
      <c r="B56" s="273" t="s">
        <v>40</v>
      </c>
      <c r="C56" s="274">
        <f ca="1">ROUND(C51/C52,3)</f>
        <v>0.35899999999999999</v>
      </c>
    </row>
    <row r="57" spans="1:7">
      <c r="B57" s="273" t="s">
        <v>41</v>
      </c>
      <c r="C57" s="275">
        <f ca="1">1-C56</f>
        <v>0.64100000000000001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7" t="s">
        <v>2842</v>
      </c>
      <c r="B1" s="3827"/>
      <c r="C1" s="3827"/>
      <c r="D1" s="3827"/>
      <c r="E1" s="3827"/>
      <c r="F1" s="3827"/>
      <c r="G1" s="3828"/>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25"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26"/>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9" t="s">
        <v>3184</v>
      </c>
      <c r="B1" s="3829"/>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ht="15">
      <c r="A1" s="3830" t="s">
        <v>3235</v>
      </c>
      <c r="B1" s="3830"/>
      <c r="C1" s="3830"/>
      <c r="D1" s="3830"/>
      <c r="E1" s="3830"/>
      <c r="F1" s="3831"/>
    </row>
    <row r="2" spans="1:6" ht="15">
      <c r="A2" s="3286" t="s">
        <v>3236</v>
      </c>
      <c r="B2" s="3287"/>
      <c r="C2" s="3287"/>
      <c r="D2" s="3287"/>
      <c r="E2" s="3287"/>
      <c r="F2" s="3287"/>
    </row>
    <row r="3" spans="1:6" ht="15">
      <c r="A3" s="3286" t="s">
        <v>3237</v>
      </c>
      <c r="B3" s="3287"/>
      <c r="C3" s="3287"/>
      <c r="D3" s="3287"/>
      <c r="E3" s="3287"/>
      <c r="F3" s="3288" t="s">
        <v>3238</v>
      </c>
    </row>
    <row r="4" spans="1:6">
      <c r="A4" s="3289" t="s">
        <v>670</v>
      </c>
      <c r="B4" s="3289" t="s">
        <v>671</v>
      </c>
      <c r="C4" s="3289" t="s">
        <v>21</v>
      </c>
      <c r="D4" s="3289" t="s">
        <v>672</v>
      </c>
      <c r="E4" s="3289" t="s">
        <v>3</v>
      </c>
      <c r="F4" s="3289" t="s">
        <v>3239</v>
      </c>
    </row>
    <row r="5" spans="1:6">
      <c r="A5" s="3290" t="s">
        <v>673</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2841</v>
      </c>
      <c r="C1" s="3206"/>
      <c r="D1" s="3206"/>
      <c r="E1" s="3206"/>
      <c r="F1" s="3206"/>
      <c r="G1" s="3206"/>
      <c r="H1" s="3206"/>
      <c r="I1" s="3206"/>
      <c r="J1" s="3160"/>
      <c r="K1" s="3206" t="s">
        <v>454</v>
      </c>
      <c r="L1" s="3206"/>
      <c r="M1" s="3206"/>
      <c r="N1" s="3206"/>
      <c r="O1" s="3206"/>
      <c r="P1" s="3206"/>
      <c r="Q1" s="3160"/>
      <c r="R1" s="3832" t="s">
        <v>456</v>
      </c>
      <c r="S1" s="3833"/>
      <c r="T1" s="3833"/>
      <c r="U1" s="3833"/>
      <c r="V1" s="3833"/>
      <c r="W1" s="3833"/>
      <c r="X1" s="3160"/>
      <c r="Y1" s="3832" t="s">
        <v>457</v>
      </c>
      <c r="Z1" s="3833"/>
      <c r="AA1" s="3833"/>
      <c r="AB1" s="3833"/>
      <c r="AC1" s="3833"/>
      <c r="AD1" s="3833"/>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3375</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3374</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3372</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ROUND(IF([3]项目基本情况!B8="出让",SUMPRODUCT(PRODUCT(1+K9:K16)),SUMPRODUCT(PRODUCT(1+K9:K15))),4)</f>
        <v>1.0565</v>
      </c>
      <c r="S9" s="3178">
        <f>ROUND(IF([3]项目基本情况!B8="出让",SUMPRODUCT(PRODUCT(1+L9:L16)),SUMPRODUCT(PRODUCT(1+L9:L15))),4)</f>
        <v>1.0250999999999999</v>
      </c>
      <c r="T9" s="3178">
        <f>ROUND(IF([3]项目基本情况!B8="出让",SUMPRODUCT(PRODUCT(1+M9:M16)),SUMPRODUCT(PRODUCT(1+M9:M15))),4)</f>
        <v>1.0145</v>
      </c>
      <c r="U9" s="3178">
        <f>ROUND(IF([3]项目基本情况!B8="出让",SUMPRODUCT(PRODUCT(1+N9:N16)),SUMPRODUCT(PRODUCT(1+N9:N15))),4)</f>
        <v>1.0618000000000001</v>
      </c>
      <c r="V9" s="3178">
        <f>ROUND(IF([3]项目基本情况!B8="出让",SUMPRODUCT(PRODUCT(1+O9:O16)),SUMPRODUCT(PRODUCT(1+O9:O15))),4)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3366</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ROUND(IF([3]项目基本情况!B8="出让",SUMPRODUCT(PRODUCT(1+K10:K16)),SUMPRODUCT(PRODUCT(1+K10:K15))),4)</f>
        <v>1.05</v>
      </c>
      <c r="S10" s="3178">
        <f>ROUND(IF([3]项目基本情况!B8="出让",SUMPRODUCT(PRODUCT(1+L10:L16)),SUMPRODUCT(PRODUCT(1+L10:L15))),4)</f>
        <v>1.0229999999999999</v>
      </c>
      <c r="T10" s="3178">
        <f>ROUND(IF([3]项目基本情况!B8="出让",SUMPRODUCT(PRODUCT(1+M10:M16)),SUMPRODUCT(PRODUCT(1+M10:M15))),4)</f>
        <v>1.0134000000000001</v>
      </c>
      <c r="U10" s="3178">
        <f>ROUND(IF([3]项目基本情况!B8="出让",SUMPRODUCT(PRODUCT(1+N10:N16)),SUMPRODUCT(PRODUCT(1+N10:N15))),4)</f>
        <v>1.0545</v>
      </c>
      <c r="V10" s="3178">
        <f>ROUND(IF([3]项目基本情况!B8="出让",SUMPRODUCT(PRODUCT(1+O10:O16)),SUMPRODUCT(PRODUCT(1+O10:O15))),4)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3357</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ROUND(IF([3]项目基本情况!B8="出让",SUMPRODUCT(PRODUCT(1+K11:K16)),SUMPRODUCT(PRODUCT(1+K11:K15))),4)</f>
        <v>1.0430999999999999</v>
      </c>
      <c r="S11" s="3178">
        <f>ROUND(IF([3]项目基本情况!B8="出让",SUMPRODUCT(PRODUCT(1+L11:L16)),SUMPRODUCT(PRODUCT(1+L11:L15))),4)</f>
        <v>1.0197000000000001</v>
      </c>
      <c r="T11" s="3178">
        <f>ROUND(IF([3]项目基本情况!B8="出让",SUMPRODUCT(PRODUCT(1+M11:M16)),SUMPRODUCT(PRODUCT(1+M11:M15))),4)</f>
        <v>1.0109999999999999</v>
      </c>
      <c r="U11" s="3178">
        <f>ROUND(IF([3]项目基本情况!B8="出让",SUMPRODUCT(PRODUCT(1+N11:N16)),SUMPRODUCT(PRODUCT(1+N11:N15))),4)</f>
        <v>1.0468999999999999</v>
      </c>
      <c r="V11" s="3178">
        <f>ROUND(IF([3]项目基本情况!B8="出让",SUMPRODUCT(PRODUCT(1+O11:O16)),SUMPRODUCT(PRODUCT(1+O11:O15))),4)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ROUND(IF([3]项目基本情况!B8="出让",SUMPRODUCT(PRODUCT(1+K12:K16)),SUMPRODUCT(PRODUCT(1+K12:K15))),4)</f>
        <v>1.0335000000000001</v>
      </c>
      <c r="S12" s="3178">
        <f>ROUND(IF([3]项目基本情况!B8="出让",SUMPRODUCT(PRODUCT(1+L12:L16)),SUMPRODUCT(PRODUCT(1+L12:L15))),4)</f>
        <v>1.0182</v>
      </c>
      <c r="T12" s="3178">
        <f>ROUND(IF([3]项目基本情况!B8="出让",SUMPRODUCT(PRODUCT(1+M12:M16)),SUMPRODUCT(PRODUCT(1+M12:M15))),4)</f>
        <v>1.0108999999999999</v>
      </c>
      <c r="U12" s="3178">
        <f>ROUND(IF([3]项目基本情况!B8="出让",SUMPRODUCT(PRODUCT(1+N12:N16)),SUMPRODUCT(PRODUCT(1+N12:N15))),4)</f>
        <v>1.0361</v>
      </c>
      <c r="V12" s="3178">
        <f>ROUND(IF([3]项目基本情况!B8="出让",SUMPRODUCT(PRODUCT(1+O12:O16)),SUMPRODUCT(PRODUCT(1+O12:O15))),4)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ROUND(IF([3]项目基本情况!B8="出让",SUMPRODUCT(PRODUCT(1+K13:K16)),SUMPRODUCT(PRODUCT(1+K13:K15))),4)</f>
        <v>1.0244</v>
      </c>
      <c r="S13" s="3178">
        <f>ROUND(IF([3]项目基本情况!B8="出让",SUMPRODUCT(PRODUCT(1+L13:L16)),SUMPRODUCT(PRODUCT(1+L13:L15))),4)</f>
        <v>1.0138</v>
      </c>
      <c r="T13" s="3178">
        <f>ROUND(IF([3]项目基本情况!B8="出让",SUMPRODUCT(PRODUCT(1+M13:M16)),SUMPRODUCT(PRODUCT(1+M13:M15))),4)</f>
        <v>1.0072000000000001</v>
      </c>
      <c r="U13" s="3178">
        <f>ROUND(IF([3]项目基本情况!B8="出让",SUMPRODUCT(PRODUCT(1+N13:N16)),SUMPRODUCT(PRODUCT(1+N13:N15))),4)</f>
        <v>1.0262</v>
      </c>
      <c r="V13" s="3178">
        <f>ROUND(IF([3]项目基本情况!B8="出让",SUMPRODUCT(PRODUCT(1+O13:O16)),SUMPRODUCT(PRODUCT(1+O13:O15))),4)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ROUND(IF([3]项目基本情况!B8="出让",SUMPRODUCT(PRODUCT(1+K14:K16)),SUMPRODUCT(PRODUCT(1+K14:K15))),4)</f>
        <v>1.0139</v>
      </c>
      <c r="S14" s="3178">
        <f>ROUND(IF([3]项目基本情况!B8="出让",SUMPRODUCT(PRODUCT(1+L14:L16)),SUMPRODUCT(PRODUCT(1+L14:L15))),4)</f>
        <v>1.0113000000000001</v>
      </c>
      <c r="T14" s="3178">
        <f>ROUND(IF([3]项目基本情况!B8="出让",SUMPRODUCT(PRODUCT(1+M14:M16)),SUMPRODUCT(PRODUCT(1+M14:M15))),4)</f>
        <v>1.0065</v>
      </c>
      <c r="U14" s="3178">
        <f>ROUND(IF([3]项目基本情况!B8="出让",SUMPRODUCT(PRODUCT(1+N14:N16)),SUMPRODUCT(PRODUCT(1+N14:N15))),4)</f>
        <v>1.0143</v>
      </c>
      <c r="V14" s="3178">
        <f>ROUND(IF([3]项目基本情况!B8="出让",SUMPRODUCT(PRODUCT(1+O14:O16)),SUMPRODUCT(PRODUCT(1+O14:O15))),4)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ROUND(IF([3]项目基本情况!B8="出让",SUMPRODUCT(PRODUCT(1+K15:K16)),SUMPRODUCT(PRODUCT(1+K15:K15))),4)</f>
        <v>1.0092000000000001</v>
      </c>
      <c r="S15" s="3178">
        <f>ROUND(IF([3]项目基本情况!B8="出让",SUMPRODUCT(PRODUCT(1+L15:L16)),SUMPRODUCT(PRODUCT(1+L15:L15))),4)</f>
        <v>1.0072000000000001</v>
      </c>
      <c r="T15" s="3178">
        <f>ROUND(IF([3]项目基本情况!B8="出让",SUMPRODUCT(PRODUCT(1+M15:M16)),SUMPRODUCT(PRODUCT(1+M15:M15))),4)</f>
        <v>1.0041</v>
      </c>
      <c r="U15" s="3178">
        <f>ROUND(IF([3]项目基本情况!B8="出让",SUMPRODUCT(PRODUCT(1+N15:N16)),SUMPRODUCT(PRODUCT(1+N15:N15))),4)</f>
        <v>1.0095000000000001</v>
      </c>
      <c r="V15" s="3178">
        <f>ROUND(IF([3]项目基本情况!B8="出让",SUMPRODUCT(PRODUCT(1+O15:O16)),SUMPRODUCT(PRODUCT(1+O15:O15))),4)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3368</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32" t="s">
        <v>2829</v>
      </c>
      <c r="S21" s="3833"/>
      <c r="T21" s="3833"/>
      <c r="U21" s="3833"/>
      <c r="V21" s="3833"/>
      <c r="W21" s="3833"/>
      <c r="X21" s="3160"/>
      <c r="Y21" s="3832" t="s">
        <v>2830</v>
      </c>
      <c r="Z21" s="3833"/>
      <c r="AA21" s="3833"/>
      <c r="AB21" s="3833"/>
      <c r="AC21" s="3833"/>
      <c r="AD21" s="3833"/>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ROUND(IF([3]项目基本情况!$B$8="出让",SUMPRODUCT(PRODUCT(1+L25:L$36)),SUMPRODUCT(PRODUCT(1+L25:L$35))),4)</f>
        <v>1.0396000000000001</v>
      </c>
      <c r="T25" s="3178">
        <f>ROUND(IF([3]项目基本情况!$B$8="出让",SUMPRODUCT(PRODUCT(1+M25:M$36)),SUMPRODUCT(PRODUCT(1+M25:M$35))),4)</f>
        <v>1.0269999999999999</v>
      </c>
      <c r="U25" s="3178">
        <f>ROUND(IF([3]项目基本情况!$B$8="出让",SUMPRODUCT(PRODUCT(1+N25:N$36)),SUMPRODUCT(PRODUCT(1+N25:N$35))),4)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ROUND(IF([3]项目基本情况!$B$8="出让",SUMPRODUCT(PRODUCT(1+L26:L$36)),SUMPRODUCT(PRODUCT(1+L26:L$35))),4)</f>
        <v>1.0396000000000001</v>
      </c>
      <c r="T26" s="3178">
        <f>ROUND(IF([3]项目基本情况!$B$8="出让",SUMPRODUCT(PRODUCT(1+M26:M$36)),SUMPRODUCT(PRODUCT(1+M26:M$35))),4)</f>
        <v>1.0269999999999999</v>
      </c>
      <c r="U26" s="3178">
        <f>ROUND(IF([3]项目基本情况!$B$8="出让",SUMPRODUCT(PRODUCT(1+N26:N$36)),SUMPRODUCT(PRODUCT(1+N26:N$35))),4)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3373</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ROUND(IF([3]项目基本情况!$B$8="出让",SUMPRODUCT(PRODUCT(1+L27:L$36)),SUMPRODUCT(PRODUCT(1+L27:L$35))),4)</f>
        <v>1.0396000000000001</v>
      </c>
      <c r="T27" s="3187">
        <f>ROUND(IF([3]项目基本情况!$B$8="出让",SUMPRODUCT(PRODUCT(1+M27:M$36)),SUMPRODUCT(PRODUCT(1+M27:M$35))),4)</f>
        <v>1.0269999999999999</v>
      </c>
      <c r="U27" s="3187">
        <f>ROUND(IF([3]项目基本情况!$B$8="出让",SUMPRODUCT(PRODUCT(1+N27:N$36)),SUMPRODUCT(PRODUCT(1+N27:N$35))),4)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3374</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ROUND(IF([3]项目基本情况!$B$8="出让",SUMPRODUCT(PRODUCT(1+L28:L$36)),SUMPRODUCT(PRODUCT(1+L28:L$35))),4)</f>
        <v>1.0344</v>
      </c>
      <c r="T28" s="3178">
        <f>ROUND(IF([3]项目基本情况!$B$8="出让",SUMPRODUCT(PRODUCT(1+M28:M$36)),SUMPRODUCT(PRODUCT(1+M28:M$35))),4)</f>
        <v>1.0224</v>
      </c>
      <c r="U28" s="3178">
        <f>ROUND(IF([3]项目基本情况!$B$8="出让",SUMPRODUCT(PRODUCT(1+N28:N$36)),SUMPRODUCT(PRODUCT(1+N28:N$35))),4)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3372</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ROUND(IF([3]项目基本情况!$B$8="出让",SUMPRODUCT(PRODUCT(1+L29:L$36)),SUMPRODUCT(PRODUCT(1+L29:L$35))),4)</f>
        <v>1.0286999999999999</v>
      </c>
      <c r="T29" s="3178">
        <f>ROUND(IF([3]项目基本情况!$B$8="出让",SUMPRODUCT(PRODUCT(1+M29:M$36)),SUMPRODUCT(PRODUCT(1+M29:M$35))),4)</f>
        <v>1.0164</v>
      </c>
      <c r="U29" s="3178">
        <f>ROUND(IF([3]项目基本情况!$B$8="出让",SUMPRODUCT(PRODUCT(1+N29:N$36)),SUMPRODUCT(PRODUCT(1+N29:N$35))),4)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3367</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ROUND(IF([3]项目基本情况!$B$8="出让",SUMPRODUCT(PRODUCT(1+L30:L$36)),SUMPRODUCT(PRODUCT(1+L30:L$35))),4)</f>
        <v>1.0241</v>
      </c>
      <c r="T30" s="3178">
        <f>ROUND(IF([3]项目基本情况!$B$8="出让",SUMPRODUCT(PRODUCT(1+M30:M$36)),SUMPRODUCT(PRODUCT(1+M30:M$35))),4)</f>
        <v>1.0144</v>
      </c>
      <c r="U30" s="3178">
        <f>ROUND(IF([3]项目基本情况!$B$8="出让",SUMPRODUCT(PRODUCT(1+N30:N$36)),SUMPRODUCT(PRODUCT(1+N30:N$35))),4)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3357</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ROUND(IF([3]项目基本情况!$B$8="出让",SUMPRODUCT(PRODUCT(1+L31:L$36)),SUMPRODUCT(PRODUCT(1+L31:L$35))),4)</f>
        <v>1.0210999999999999</v>
      </c>
      <c r="T31" s="3178">
        <f>ROUND(IF([3]项目基本情况!$B$8="出让",SUMPRODUCT(PRODUCT(1+M31:M$36)),SUMPRODUCT(PRODUCT(1+M31:M$35))),4)</f>
        <v>1.0114000000000001</v>
      </c>
      <c r="U31" s="3178">
        <f>ROUND(IF([3]项目基本情况!$B$8="出让",SUMPRODUCT(PRODUCT(1+N31:N$36)),SUMPRODUCT(PRODUCT(1+N31:N$35))),4)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ROUND(IF([3]项目基本情况!$B$8="出让",SUMPRODUCT(PRODUCT(1+L32:L$36)),SUMPRODUCT(PRODUCT(1+L32:L$35))),4)</f>
        <v>1.0222</v>
      </c>
      <c r="T32" s="3178">
        <f>ROUND(IF([3]项目基本情况!$B$8="出让",SUMPRODUCT(PRODUCT(1+M32:M$36)),SUMPRODUCT(PRODUCT(1+M32:M$35))),4)</f>
        <v>1.0127999999999999</v>
      </c>
      <c r="U32" s="3178">
        <f>ROUND(IF([3]项目基本情况!$B$8="出让",SUMPRODUCT(PRODUCT(1+N32:N$36)),SUMPRODUCT(PRODUCT(1+N32:N$35))),4)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ROUND(IF([3]项目基本情况!$B$8="出让",SUMPRODUCT(PRODUCT(1+L33:L$36)),SUMPRODUCT(PRODUCT(1+L33:L$35))),4)</f>
        <v>1.0161</v>
      </c>
      <c r="T33" s="3178">
        <f>ROUND(IF([3]项目基本情况!$B$8="出让",SUMPRODUCT(PRODUCT(1+M33:M$36)),SUMPRODUCT(PRODUCT(1+M33:M$35))),4)</f>
        <v>1.0082</v>
      </c>
      <c r="U33" s="3178">
        <f>ROUND(IF([3]项目基本情况!$B$8="出让",SUMPRODUCT(PRODUCT(1+N33:N$36)),SUMPRODUCT(PRODUCT(1+N33:N$35))),4)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ROUND(IF([3]项目基本情况!$B$8="出让",SUMPRODUCT(PRODUCT(1+L34:L$36)),SUMPRODUCT(PRODUCT(1+L34:L$35))),4)</f>
        <v>1.0102</v>
      </c>
      <c r="T34" s="3178">
        <f>ROUND(IF([3]项目基本情况!$B$8="出让",SUMPRODUCT(PRODUCT(1+M34:M$36)),SUMPRODUCT(PRODUCT(1+M34:M$35))),4)</f>
        <v>1.0074000000000001</v>
      </c>
      <c r="U34" s="3178">
        <f>ROUND(IF([3]项目基本情况!$B$8="出让",SUMPRODUCT(PRODUCT(1+N34:N$36)),SUMPRODUCT(PRODUCT(1+N34:N$35))),4)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ROUND(IF([3]项目基本情况!$B$8="出让",SUMPRODUCT(PRODUCT(1+L35:L$36)),SUMPRODUCT(PRODUCT(1+L35:L$35))),4)</f>
        <v>1.0055000000000001</v>
      </c>
      <c r="T35" s="3178">
        <f>ROUND(IF([3]项目基本情况!$B$8="出让",SUMPRODUCT(PRODUCT(1+M35:M$36)),SUMPRODUCT(PRODUCT(1+M35:M$35))),4)</f>
        <v>1.0045999999999999</v>
      </c>
      <c r="U35" s="3178">
        <f>ROUND(IF([3]项目基本情况!$B$8="出让",SUMPRODUCT(PRODUCT(1+N35:N$36)),SUMPRODUCT(PRODUCT(1+N35:N$35))),4)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39" t="s">
        <v>452</v>
      </c>
      <c r="C1" s="3839"/>
      <c r="D1" s="3839"/>
      <c r="E1" s="3839"/>
      <c r="F1" s="3839"/>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67" customFormat="1" ht="14.25" thickBot="1">
      <c r="B2" s="2168" t="s">
        <v>458</v>
      </c>
      <c r="C2" s="2168" t="s">
        <v>459</v>
      </c>
      <c r="D2" s="2169" t="s">
        <v>460</v>
      </c>
      <c r="E2" s="2169" t="s">
        <v>461</v>
      </c>
      <c r="F2" s="2168" t="s">
        <v>462</v>
      </c>
      <c r="G2" s="2170"/>
      <c r="I2" s="2168" t="s">
        <v>458</v>
      </c>
      <c r="J2" s="2169" t="s">
        <v>674</v>
      </c>
      <c r="K2" s="2169" t="s">
        <v>308</v>
      </c>
      <c r="L2" s="2168" t="s">
        <v>462</v>
      </c>
      <c r="N2" s="2168" t="s">
        <v>458</v>
      </c>
      <c r="O2" s="2169" t="s">
        <v>674</v>
      </c>
      <c r="P2" s="2169" t="s">
        <v>308</v>
      </c>
      <c r="Q2" s="2168" t="s">
        <v>462</v>
      </c>
      <c r="S2" s="2168" t="s">
        <v>458</v>
      </c>
      <c r="T2" s="2169" t="s">
        <v>674</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2437</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2314</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2313</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2312</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2309</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2308</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35">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35"/>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35"/>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44"/>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40">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35"/>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675</v>
      </c>
      <c r="B27" s="2201">
        <f t="shared" si="232"/>
        <v>419.31181600000002</v>
      </c>
      <c r="C27" s="2201">
        <f t="shared" si="233"/>
        <v>313.95436800000004</v>
      </c>
      <c r="D27" s="2201">
        <f t="shared" si="234"/>
        <v>313.95436800000004</v>
      </c>
      <c r="E27" s="2201">
        <f t="shared" si="235"/>
        <v>596.63028431999999</v>
      </c>
      <c r="F27" s="2201">
        <f t="shared" si="236"/>
        <v>274.74220703999998</v>
      </c>
      <c r="G27" s="3835"/>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44"/>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40">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35"/>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35"/>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36"/>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34">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35"/>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35"/>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36"/>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34">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35"/>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35"/>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36"/>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41">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42"/>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42"/>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43"/>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34">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35"/>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35"/>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36"/>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34">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35">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35">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36">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34">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35">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35">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36">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34">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35">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35">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36">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34">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35">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35">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36">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34">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35">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35">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36">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34">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35">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35">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36">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34">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35">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35">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36">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34">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35">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35">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36">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34">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35">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35">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36">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34">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35">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35">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36">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926</v>
      </c>
      <c r="B2" s="3519" t="s">
        <v>927</v>
      </c>
      <c r="C2" s="3519" t="s">
        <v>928</v>
      </c>
      <c r="D2" s="3519" t="str">
        <f>结果表!D116</f>
        <v>出让国有建设用地使用权价值</v>
      </c>
      <c r="E2" s="3519"/>
      <c r="F2" s="3519" t="str">
        <f>结果表!F116</f>
        <v>在建建筑物价值</v>
      </c>
      <c r="G2" s="3519"/>
      <c r="H2" s="3519" t="str">
        <f>IF(项目基本情况!B9="房地产市场价值","房地产市场价值","房地产价值")</f>
        <v>房地产价值</v>
      </c>
      <c r="I2" s="3519"/>
    </row>
    <row r="3" spans="1:9" ht="15">
      <c r="A3" s="3514"/>
      <c r="B3" s="3514"/>
      <c r="C3" s="3514"/>
      <c r="D3" s="853" t="s">
        <v>923</v>
      </c>
      <c r="E3" s="853" t="s">
        <v>929</v>
      </c>
      <c r="F3" s="853" t="s">
        <v>923</v>
      </c>
      <c r="G3" s="853" t="s">
        <v>924</v>
      </c>
      <c r="H3" s="853" t="s">
        <v>923</v>
      </c>
      <c r="I3" s="853" t="s">
        <v>924</v>
      </c>
    </row>
    <row r="4" spans="1:9" ht="15">
      <c r="A4" s="1502" t="str">
        <f>项目基本情况!S2</f>
        <v>北京市房地产</v>
      </c>
      <c r="B4" s="853">
        <f>项目基本情况!C17</f>
        <v>50816.34</v>
      </c>
      <c r="C4" s="853">
        <f>项目基本情况!C18</f>
        <v>17349.990000000002</v>
      </c>
      <c r="D4" s="853">
        <f ca="1">结果表!D118</f>
        <v>83359</v>
      </c>
      <c r="E4" s="853">
        <f ca="1">结果表!E118</f>
        <v>16404</v>
      </c>
      <c r="F4" s="853">
        <f ca="1">结果表!F118</f>
        <v>14023</v>
      </c>
      <c r="G4" s="853">
        <f ca="1">结果表!G118</f>
        <v>2760</v>
      </c>
      <c r="H4" s="853">
        <f ca="1">结果表!H118</f>
        <v>97382</v>
      </c>
      <c r="I4" s="853">
        <f ca="1">结果表!I118</f>
        <v>19164</v>
      </c>
    </row>
    <row r="5" spans="1:9" ht="30" customHeight="1">
      <c r="A5" s="3514" t="s">
        <v>925</v>
      </c>
      <c r="B5" s="3514"/>
      <c r="C5" s="3514"/>
      <c r="D5" s="3514" t="str">
        <f ca="1">结果表!D119</f>
        <v>捌亿叁仟叁佰伍拾玖万元整</v>
      </c>
      <c r="E5" s="3514"/>
      <c r="F5" s="3514" t="str">
        <f ca="1">结果表!F119</f>
        <v>壹亿肆仟零贰拾叁万元整</v>
      </c>
      <c r="G5" s="3514"/>
      <c r="H5" s="3514" t="str">
        <f ca="1">结果表!H119</f>
        <v>玖亿柒仟叁佰捌拾贰万元整</v>
      </c>
      <c r="I5" s="3514"/>
    </row>
    <row r="6" spans="1:9" ht="15.75">
      <c r="A6" s="3513" t="str">
        <f>结果表!A120</f>
        <v>估价师知悉的法定优先受偿款</v>
      </c>
      <c r="B6" s="3513"/>
      <c r="C6" s="3513"/>
      <c r="D6" s="3513">
        <f>结果表!D120</f>
        <v>0</v>
      </c>
      <c r="E6" s="3513"/>
      <c r="F6" s="3513"/>
      <c r="G6" s="3513"/>
      <c r="H6" s="3513"/>
      <c r="I6" s="3513"/>
    </row>
    <row r="7" spans="1:9" ht="15">
      <c r="A7" s="3514" t="s">
        <v>925</v>
      </c>
      <c r="B7" s="3514"/>
      <c r="C7" s="3514"/>
      <c r="D7" s="3515" t="str">
        <f>结果表!D121</f>
        <v>零元整</v>
      </c>
      <c r="E7" s="3516"/>
      <c r="F7" s="3516"/>
      <c r="G7" s="3516"/>
      <c r="H7" s="3516"/>
      <c r="I7" s="3517"/>
    </row>
    <row r="8" spans="1:9" ht="15.75">
      <c r="A8" s="3513" t="str">
        <f>结果表!A122</f>
        <v>房地产抵押价值</v>
      </c>
      <c r="B8" s="3513"/>
      <c r="C8" s="3513"/>
      <c r="D8" s="3513">
        <f ca="1">结果表!D122</f>
        <v>97382</v>
      </c>
      <c r="E8" s="3513"/>
      <c r="F8" s="3513"/>
      <c r="G8" s="3513"/>
      <c r="H8" s="3513"/>
      <c r="I8" s="3513"/>
    </row>
    <row r="9" spans="1:9" ht="15">
      <c r="A9" s="3514" t="s">
        <v>925</v>
      </c>
      <c r="B9" s="3514"/>
      <c r="C9" s="3514"/>
      <c r="D9" s="3514" t="str">
        <f ca="1">结果表!D123</f>
        <v>玖亿柒仟叁佰捌拾贰万元整</v>
      </c>
      <c r="E9" s="3514"/>
      <c r="F9" s="3514"/>
      <c r="G9" s="3514"/>
      <c r="H9" s="3514"/>
      <c r="I9" s="3514"/>
    </row>
    <row r="10" spans="1:9" ht="15.75">
      <c r="A10" s="3513" t="str">
        <f>结果表!A124</f>
        <v/>
      </c>
      <c r="B10" s="3513"/>
      <c r="C10" s="3513"/>
      <c r="D10" s="3513" t="str">
        <f>结果表!D124</f>
        <v>——</v>
      </c>
      <c r="E10" s="3513"/>
      <c r="F10" s="3513"/>
      <c r="G10" s="3513"/>
      <c r="H10" s="3513"/>
      <c r="I10" s="3513"/>
    </row>
    <row r="11" spans="1:9" ht="15">
      <c r="A11" s="3514" t="s">
        <v>925</v>
      </c>
      <c r="B11" s="3514"/>
      <c r="C11" s="3514"/>
      <c r="D11" s="3514" t="e">
        <f>结果表!D125</f>
        <v>#VALUE!</v>
      </c>
      <c r="E11" s="3514"/>
      <c r="F11" s="3514"/>
      <c r="G11" s="3514"/>
      <c r="H11" s="3514"/>
      <c r="I11" s="3514"/>
    </row>
    <row r="12" spans="1:9" ht="15.75">
      <c r="A12" s="3513" t="str">
        <f>结果表!A126</f>
        <v/>
      </c>
      <c r="B12" s="3513"/>
      <c r="C12" s="3513"/>
      <c r="D12" s="3513" t="str">
        <f>结果表!D126</f>
        <v>——</v>
      </c>
      <c r="E12" s="3513"/>
      <c r="F12" s="3513"/>
      <c r="G12" s="3513"/>
      <c r="H12" s="3513"/>
      <c r="I12" s="3513"/>
    </row>
    <row r="13" spans="1:9" ht="15.75" thickBot="1">
      <c r="A13" s="3511" t="s">
        <v>925</v>
      </c>
      <c r="B13" s="3511"/>
      <c r="C13" s="3511"/>
      <c r="D13" s="3511" t="e">
        <f>结果表!D127</f>
        <v>#VALUE!</v>
      </c>
      <c r="E13" s="3511"/>
      <c r="F13" s="3511"/>
      <c r="G13" s="3511"/>
      <c r="H13" s="3511"/>
      <c r="I13" s="3511"/>
    </row>
    <row r="14" spans="1:9" ht="15" thickTop="1">
      <c r="A14" s="3512" t="s">
        <v>930</v>
      </c>
      <c r="B14" s="3512"/>
      <c r="C14" s="3512"/>
      <c r="D14" s="3512"/>
      <c r="E14" s="3512"/>
      <c r="F14" s="3512"/>
      <c r="G14" s="3512"/>
      <c r="H14" s="3512"/>
      <c r="I14" s="3512"/>
    </row>
    <row r="16" spans="1:9" ht="18.75">
      <c r="A16" s="1503" t="s">
        <v>913</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2310</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7" t="s">
        <v>2082</v>
      </c>
      <c r="D1" s="3748"/>
      <c r="E1" s="3748"/>
      <c r="F1" s="3748"/>
      <c r="G1" s="3748"/>
      <c r="H1" s="3748"/>
      <c r="I1" s="3748"/>
      <c r="J1" s="3748"/>
      <c r="K1" s="3748"/>
      <c r="L1" s="3748"/>
      <c r="M1" s="3748"/>
      <c r="N1" s="3748"/>
      <c r="O1" s="3748"/>
      <c r="P1" s="3748"/>
      <c r="Q1" s="3748"/>
      <c r="R1" s="3748"/>
      <c r="S1" s="3749"/>
      <c r="T1" s="982" t="s">
        <v>2083</v>
      </c>
    </row>
    <row r="2" spans="1:45" s="655" customFormat="1" ht="25.5">
      <c r="A2" s="983"/>
      <c r="B2" s="651" t="s">
        <v>2084</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c r="D17" s="3466"/>
      <c r="E17" s="3466"/>
      <c r="F17" s="3466"/>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50" t="s">
        <v>27</v>
      </c>
      <c r="D22" s="3751"/>
      <c r="E22" s="3751"/>
      <c r="F22" s="3751"/>
      <c r="G22" s="3751"/>
      <c r="H22" s="3751"/>
      <c r="I22" s="3751"/>
      <c r="J22" s="3751"/>
      <c r="K22" s="3751"/>
      <c r="L22" s="3751"/>
      <c r="M22" s="3751"/>
      <c r="N22" s="3751"/>
      <c r="O22" s="3751"/>
      <c r="P22" s="3751"/>
      <c r="Q22" s="3752"/>
      <c r="R22" s="662" t="e">
        <f ca="1">ROUND(S22*10000/B22,0)</f>
        <v>#REF!</v>
      </c>
      <c r="S22" s="21" t="e">
        <f ca="1">SUM(S24:S10000)</f>
        <v>#REF!</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1293</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IF(B25="",0,ROUND($R$24*C25*E25*G25*I25*K25*M25*O25*Q25,0))</f>
        <v>#REF!</v>
      </c>
      <c r="S25" s="316" t="e">
        <f t="shared" si="11"/>
        <v>#REF!</v>
      </c>
    </row>
    <row r="26" spans="1:45">
      <c r="A26" s="150" t="e">
        <f>#REF!</f>
        <v>#REF!</v>
      </c>
      <c r="B26" s="5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t="e">
        <f t="shared" ref="R26:R89" si="20">IF(B26="",0,ROUND($R$24*C26*E26*G26*I26*K26*M26*O26*Q26,0))</f>
        <v>#REF!</v>
      </c>
      <c r="S26" s="316" t="e">
        <f t="shared" si="11"/>
        <v>#REF!</v>
      </c>
    </row>
    <row r="27" spans="1:45">
      <c r="A27" s="150" t="e">
        <f>#REF!</f>
        <v>#REF!</v>
      </c>
      <c r="B27" s="5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t="e">
        <f t="shared" si="20"/>
        <v>#REF!</v>
      </c>
      <c r="S27" s="316" t="e">
        <f t="shared" si="11"/>
        <v>#REF!</v>
      </c>
    </row>
    <row r="28" spans="1:45">
      <c r="A28" s="150"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t="e">
        <f t="shared" si="20"/>
        <v>#REF!</v>
      </c>
      <c r="S28" s="316" t="e">
        <f t="shared" si="11"/>
        <v>#REF!</v>
      </c>
    </row>
    <row r="29" spans="1:45">
      <c r="A29" s="150"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t="e">
        <f t="shared" si="20"/>
        <v>#REF!</v>
      </c>
      <c r="S29" s="316" t="e">
        <f t="shared" si="11"/>
        <v>#REF!</v>
      </c>
    </row>
    <row r="30" spans="1:45">
      <c r="A30" s="150"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t="e">
        <f t="shared" si="20"/>
        <v>#REF!</v>
      </c>
      <c r="S30" s="316" t="e">
        <f t="shared" si="11"/>
        <v>#REF!</v>
      </c>
    </row>
    <row r="31" spans="1:45">
      <c r="A31" s="150"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t="e">
        <f t="shared" si="20"/>
        <v>#REF!</v>
      </c>
      <c r="S31" s="316" t="e">
        <f t="shared" si="11"/>
        <v>#REF!</v>
      </c>
    </row>
    <row r="32" spans="1:45">
      <c r="A32" s="150"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t="e">
        <f t="shared" si="20"/>
        <v>#REF!</v>
      </c>
      <c r="S32" s="316" t="e">
        <f t="shared" si="11"/>
        <v>#REF!</v>
      </c>
    </row>
    <row r="33" spans="1:19">
      <c r="A33" s="150"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t="e">
        <f t="shared" si="20"/>
        <v>#REF!</v>
      </c>
      <c r="S33" s="316" t="e">
        <f t="shared" si="11"/>
        <v>#REF!</v>
      </c>
    </row>
    <row r="34" spans="1:19">
      <c r="A34" s="150"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t="e">
        <f t="shared" si="20"/>
        <v>#REF!</v>
      </c>
      <c r="S34" s="316" t="e">
        <f t="shared" si="11"/>
        <v>#REF!</v>
      </c>
    </row>
    <row r="35" spans="1:19">
      <c r="A35" s="150"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t="e">
        <f t="shared" si="20"/>
        <v>#REF!</v>
      </c>
      <c r="S35" s="316" t="e">
        <f t="shared" si="11"/>
        <v>#REF!</v>
      </c>
    </row>
    <row r="36" spans="1:19">
      <c r="A36" s="150"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t="e">
        <f t="shared" si="20"/>
        <v>#REF!</v>
      </c>
      <c r="S36" s="316" t="e">
        <f t="shared" si="11"/>
        <v>#REF!</v>
      </c>
    </row>
    <row r="37" spans="1:19">
      <c r="A37" s="150"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t="e">
        <f t="shared" si="20"/>
        <v>#REF!</v>
      </c>
      <c r="S37" s="316" t="e">
        <f t="shared" si="11"/>
        <v>#REF!</v>
      </c>
    </row>
    <row r="38" spans="1:19">
      <c r="A38" s="150"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t="e">
        <f t="shared" si="20"/>
        <v>#REF!</v>
      </c>
      <c r="S38" s="316" t="e">
        <f t="shared" si="11"/>
        <v>#REF!</v>
      </c>
    </row>
    <row r="39" spans="1:19">
      <c r="A39" s="150"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t="e">
        <f t="shared" si="20"/>
        <v>#REF!</v>
      </c>
      <c r="S39" s="316" t="e">
        <f t="shared" si="11"/>
        <v>#REF!</v>
      </c>
    </row>
    <row r="40" spans="1:19">
      <c r="A40" s="150"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t="e">
        <f t="shared" si="20"/>
        <v>#REF!</v>
      </c>
      <c r="S40" s="316" t="e">
        <f t="shared" si="11"/>
        <v>#REF!</v>
      </c>
    </row>
    <row r="41" spans="1:19">
      <c r="A41" s="150"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t="e">
        <f t="shared" si="20"/>
        <v>#REF!</v>
      </c>
      <c r="S41" s="316" t="e">
        <f t="shared" si="11"/>
        <v>#REF!</v>
      </c>
    </row>
    <row r="42" spans="1:19">
      <c r="A42" s="150"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t="e">
        <f t="shared" si="20"/>
        <v>#REF!</v>
      </c>
      <c r="S42" s="316" t="e">
        <f t="shared" si="11"/>
        <v>#REF!</v>
      </c>
    </row>
    <row r="43" spans="1:19">
      <c r="A43" s="150"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t="e">
        <f t="shared" si="20"/>
        <v>#REF!</v>
      </c>
      <c r="S43" s="316" t="e">
        <f t="shared" si="11"/>
        <v>#REF!</v>
      </c>
    </row>
    <row r="44" spans="1:19">
      <c r="A44" s="150"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t="e">
        <f t="shared" si="20"/>
        <v>#REF!</v>
      </c>
      <c r="S44" s="316" t="e">
        <f t="shared" si="11"/>
        <v>#REF!</v>
      </c>
    </row>
    <row r="45" spans="1:19">
      <c r="A45" s="150"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t="e">
        <f t="shared" si="20"/>
        <v>#REF!</v>
      </c>
      <c r="S45" s="316" t="e">
        <f t="shared" si="11"/>
        <v>#REF!</v>
      </c>
    </row>
    <row r="46" spans="1:19">
      <c r="A46" s="150"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t="e">
        <f t="shared" si="20"/>
        <v>#REF!</v>
      </c>
      <c r="S46" s="316" t="e">
        <f t="shared" si="11"/>
        <v>#REF!</v>
      </c>
    </row>
    <row r="47" spans="1:19">
      <c r="A47" s="150"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t="e">
        <f t="shared" si="20"/>
        <v>#REF!</v>
      </c>
      <c r="S47" s="316" t="e">
        <f t="shared" si="11"/>
        <v>#REF!</v>
      </c>
    </row>
    <row r="48" spans="1:19">
      <c r="A48" s="150"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t="e">
        <f t="shared" si="20"/>
        <v>#REF!</v>
      </c>
      <c r="S48" s="316" t="e">
        <f t="shared" si="11"/>
        <v>#REF!</v>
      </c>
    </row>
    <row r="49" spans="1:19">
      <c r="A49" s="150"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t="e">
        <f t="shared" si="20"/>
        <v>#REF!</v>
      </c>
      <c r="S49" s="316" t="e">
        <f t="shared" si="11"/>
        <v>#REF!</v>
      </c>
    </row>
    <row r="50" spans="1:19">
      <c r="A50" s="150"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t="e">
        <f t="shared" si="20"/>
        <v>#REF!</v>
      </c>
      <c r="S50" s="316" t="e">
        <f t="shared" si="11"/>
        <v>#REF!</v>
      </c>
    </row>
    <row r="51" spans="1:19">
      <c r="A51" s="150"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t="e">
        <f t="shared" si="20"/>
        <v>#REF!</v>
      </c>
      <c r="S51" s="316" t="e">
        <f t="shared" si="11"/>
        <v>#REF!</v>
      </c>
    </row>
    <row r="52" spans="1:19">
      <c r="A52" s="150"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t="e">
        <f t="shared" si="20"/>
        <v>#REF!</v>
      </c>
      <c r="S52" s="316" t="e">
        <f t="shared" si="11"/>
        <v>#REF!</v>
      </c>
    </row>
    <row r="53" spans="1:19">
      <c r="A53" s="150"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t="e">
        <f t="shared" si="20"/>
        <v>#REF!</v>
      </c>
      <c r="S53" s="316" t="e">
        <f t="shared" si="11"/>
        <v>#REF!</v>
      </c>
    </row>
    <row r="54" spans="1:19">
      <c r="A54" s="150"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t="e">
        <f t="shared" si="20"/>
        <v>#REF!</v>
      </c>
      <c r="S54" s="316" t="e">
        <f t="shared" si="11"/>
        <v>#REF!</v>
      </c>
    </row>
    <row r="55" spans="1:19">
      <c r="A55" s="150"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t="e">
        <f t="shared" si="20"/>
        <v>#REF!</v>
      </c>
      <c r="S55" s="316" t="e">
        <f t="shared" ref="S55:S77" si="21">ROUND(R55*B55/10000,0)</f>
        <v>#REF!</v>
      </c>
    </row>
    <row r="56" spans="1:19">
      <c r="A56" s="150"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t="e">
        <f t="shared" si="20"/>
        <v>#REF!</v>
      </c>
      <c r="S56" s="316" t="e">
        <f t="shared" si="21"/>
        <v>#REF!</v>
      </c>
    </row>
    <row r="57" spans="1:19">
      <c r="A57" s="150"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t="e">
        <f t="shared" si="20"/>
        <v>#REF!</v>
      </c>
      <c r="S57" s="316" t="e">
        <f t="shared" si="21"/>
        <v>#REF!</v>
      </c>
    </row>
    <row r="58" spans="1:19">
      <c r="A58" s="150"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t="e">
        <f t="shared" si="20"/>
        <v>#REF!</v>
      </c>
      <c r="S58" s="316" t="e">
        <f t="shared" si="21"/>
        <v>#REF!</v>
      </c>
    </row>
    <row r="59" spans="1:19">
      <c r="A59" s="150"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t="e">
        <f t="shared" si="20"/>
        <v>#REF!</v>
      </c>
      <c r="S59" s="316" t="e">
        <f t="shared" si="21"/>
        <v>#REF!</v>
      </c>
    </row>
    <row r="60" spans="1:19">
      <c r="A60" s="150"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t="e">
        <f t="shared" si="20"/>
        <v>#REF!</v>
      </c>
      <c r="S60" s="316" t="e">
        <f t="shared" si="21"/>
        <v>#REF!</v>
      </c>
    </row>
    <row r="61" spans="1:19">
      <c r="A61" s="150"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t="e">
        <f t="shared" si="20"/>
        <v>#REF!</v>
      </c>
      <c r="S61" s="316" t="e">
        <f t="shared" si="21"/>
        <v>#REF!</v>
      </c>
    </row>
    <row r="62" spans="1:19">
      <c r="A62" s="150"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t="e">
        <f t="shared" si="20"/>
        <v>#REF!</v>
      </c>
      <c r="S62" s="316" t="e">
        <f t="shared" si="21"/>
        <v>#REF!</v>
      </c>
    </row>
    <row r="63" spans="1:19">
      <c r="A63" s="150"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t="e">
        <f t="shared" si="20"/>
        <v>#REF!</v>
      </c>
      <c r="S63" s="316" t="e">
        <f t="shared" si="21"/>
        <v>#REF!</v>
      </c>
    </row>
    <row r="64" spans="1:19">
      <c r="A64" s="150"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t="e">
        <f t="shared" si="20"/>
        <v>#REF!</v>
      </c>
      <c r="S64" s="316" t="e">
        <f t="shared" si="21"/>
        <v>#REF!</v>
      </c>
    </row>
    <row r="65" spans="1:19">
      <c r="A65" s="150"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t="e">
        <f t="shared" si="20"/>
        <v>#REF!</v>
      </c>
      <c r="S65" s="316" t="e">
        <f t="shared" si="21"/>
        <v>#REF!</v>
      </c>
    </row>
    <row r="66" spans="1:19">
      <c r="A66" s="150"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t="e">
        <f t="shared" si="20"/>
        <v>#REF!</v>
      </c>
      <c r="S66" s="316" t="e">
        <f t="shared" si="21"/>
        <v>#REF!</v>
      </c>
    </row>
    <row r="67" spans="1:19">
      <c r="A67" s="150"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t="e">
        <f t="shared" si="20"/>
        <v>#REF!</v>
      </c>
      <c r="S67" s="316" t="e">
        <f t="shared" si="21"/>
        <v>#REF!</v>
      </c>
    </row>
    <row r="68" spans="1:19">
      <c r="A68" s="150"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t="e">
        <f t="shared" si="20"/>
        <v>#REF!</v>
      </c>
      <c r="S68" s="316" t="e">
        <f t="shared" si="21"/>
        <v>#REF!</v>
      </c>
    </row>
    <row r="69" spans="1:19">
      <c r="A69" s="150"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t="e">
        <f t="shared" si="20"/>
        <v>#REF!</v>
      </c>
      <c r="S69" s="316" t="e">
        <f t="shared" si="21"/>
        <v>#REF!</v>
      </c>
    </row>
    <row r="70" spans="1:19">
      <c r="A70" s="150"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t="e">
        <f t="shared" si="20"/>
        <v>#REF!</v>
      </c>
      <c r="S70" s="316" t="e">
        <f t="shared" si="21"/>
        <v>#REF!</v>
      </c>
    </row>
    <row r="71" spans="1:19">
      <c r="A71" s="150"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t="e">
        <f t="shared" si="20"/>
        <v>#REF!</v>
      </c>
      <c r="S71" s="316" t="e">
        <f t="shared" si="21"/>
        <v>#REF!</v>
      </c>
    </row>
    <row r="72" spans="1:19">
      <c r="A72" s="150"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t="e">
        <f t="shared" si="20"/>
        <v>#REF!</v>
      </c>
      <c r="S72" s="316" t="e">
        <f t="shared" si="21"/>
        <v>#REF!</v>
      </c>
    </row>
    <row r="73" spans="1:19">
      <c r="A73" s="150"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t="e">
        <f t="shared" si="20"/>
        <v>#REF!</v>
      </c>
      <c r="S73" s="316" t="e">
        <f t="shared" si="21"/>
        <v>#REF!</v>
      </c>
    </row>
    <row r="74" spans="1:19">
      <c r="A74" s="150"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t="e">
        <f t="shared" si="20"/>
        <v>#REF!</v>
      </c>
      <c r="S74" s="316" t="e">
        <f t="shared" si="21"/>
        <v>#REF!</v>
      </c>
    </row>
    <row r="75" spans="1:19">
      <c r="A75" s="150"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t="e">
        <f t="shared" si="20"/>
        <v>#REF!</v>
      </c>
      <c r="S75" s="316" t="e">
        <f t="shared" si="21"/>
        <v>#REF!</v>
      </c>
    </row>
    <row r="76" spans="1:19">
      <c r="A76" s="150"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t="e">
        <f t="shared" si="20"/>
        <v>#REF!</v>
      </c>
      <c r="S76" s="316" t="e">
        <f t="shared" si="21"/>
        <v>#REF!</v>
      </c>
    </row>
    <row r="77" spans="1:19">
      <c r="A77" s="150"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t="e">
        <f t="shared" si="20"/>
        <v>#REF!</v>
      </c>
      <c r="S77" s="316" t="e">
        <f t="shared" si="21"/>
        <v>#REF!</v>
      </c>
    </row>
    <row r="78" spans="1:19">
      <c r="A78" s="150"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t="e">
        <f t="shared" si="20"/>
        <v>#REF!</v>
      </c>
      <c r="S78" s="316" t="e">
        <f t="shared" ref="S78:S122" si="22">ROUND(R78*B78/10000,0)</f>
        <v>#REF!</v>
      </c>
    </row>
    <row r="79" spans="1:19">
      <c r="A79" s="150"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t="e">
        <f t="shared" si="20"/>
        <v>#REF!</v>
      </c>
      <c r="S79" s="316" t="e">
        <f t="shared" si="22"/>
        <v>#REF!</v>
      </c>
    </row>
    <row r="80" spans="1:19">
      <c r="A80" s="150"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t="e">
        <f t="shared" si="20"/>
        <v>#REF!</v>
      </c>
      <c r="S80" s="316" t="e">
        <f t="shared" si="22"/>
        <v>#REF!</v>
      </c>
    </row>
    <row r="81" spans="1:19">
      <c r="A81" s="150"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t="e">
        <f t="shared" si="20"/>
        <v>#REF!</v>
      </c>
      <c r="S81" s="316" t="e">
        <f t="shared" si="22"/>
        <v>#REF!</v>
      </c>
    </row>
    <row r="82" spans="1:19">
      <c r="A82" s="150"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t="e">
        <f t="shared" si="20"/>
        <v>#REF!</v>
      </c>
      <c r="S82" s="316" t="e">
        <f t="shared" si="22"/>
        <v>#REF!</v>
      </c>
    </row>
    <row r="83" spans="1:19">
      <c r="A83" s="150" t="e">
        <f>#REF!</f>
        <v>#REF!</v>
      </c>
      <c r="B83" s="54" t="e">
        <f>#REF!</f>
        <v>#REF!</v>
      </c>
      <c r="C83" s="21" t="e">
        <f t="shared" si="12"/>
        <v>#REF!</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t="e">
        <f t="shared" si="20"/>
        <v>#REF!</v>
      </c>
      <c r="S83" s="316" t="e">
        <f t="shared" si="22"/>
        <v>#REF!</v>
      </c>
    </row>
    <row r="84" spans="1:19">
      <c r="A84" s="150" t="e">
        <f>#REF!</f>
        <v>#REF!</v>
      </c>
      <c r="B84" s="54" t="e">
        <f>#REF!</f>
        <v>#REF!</v>
      </c>
      <c r="C84" s="21" t="e">
        <f t="shared" si="12"/>
        <v>#REF!</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t="e">
        <f t="shared" si="20"/>
        <v>#REF!</v>
      </c>
      <c r="S84" s="316" t="e">
        <f t="shared" si="22"/>
        <v>#REF!</v>
      </c>
    </row>
    <row r="85" spans="1:19">
      <c r="A85" s="150" t="e">
        <f>#REF!</f>
        <v>#REF!</v>
      </c>
      <c r="B85" s="54" t="e">
        <f>#REF!</f>
        <v>#REF!</v>
      </c>
      <c r="C85" s="21" t="e">
        <f t="shared" si="12"/>
        <v>#REF!</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t="e">
        <f t="shared" si="20"/>
        <v>#REF!</v>
      </c>
      <c r="S85" s="316" t="e">
        <f t="shared" si="22"/>
        <v>#REF!</v>
      </c>
    </row>
    <row r="86" spans="1:19">
      <c r="A86" s="150" t="e">
        <f>#REF!</f>
        <v>#REF!</v>
      </c>
      <c r="B86" s="54" t="e">
        <f>#REF!</f>
        <v>#REF!</v>
      </c>
      <c r="C86" s="21" t="e">
        <f t="shared" si="12"/>
        <v>#REF!</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t="e">
        <f t="shared" si="20"/>
        <v>#REF!</v>
      </c>
      <c r="S86" s="316" t="e">
        <f t="shared" si="22"/>
        <v>#REF!</v>
      </c>
    </row>
    <row r="87" spans="1:19">
      <c r="A87" s="150" t="e">
        <f>#REF!</f>
        <v>#REF!</v>
      </c>
      <c r="B87" s="54" t="e">
        <f>#REF!</f>
        <v>#REF!</v>
      </c>
      <c r="C87" s="21" t="e">
        <f t="shared" si="12"/>
        <v>#REF!</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t="e">
        <f t="shared" si="20"/>
        <v>#REF!</v>
      </c>
      <c r="S87" s="316" t="e">
        <f t="shared" si="22"/>
        <v>#REF!</v>
      </c>
    </row>
    <row r="88" spans="1:19">
      <c r="A88" s="150" t="e">
        <f>#REF!</f>
        <v>#REF!</v>
      </c>
      <c r="B88" s="54" t="e">
        <f>#REF!</f>
        <v>#REF!</v>
      </c>
      <c r="C88" s="21" t="e">
        <f t="shared" si="12"/>
        <v>#REF!</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t="e">
        <f t="shared" si="20"/>
        <v>#REF!</v>
      </c>
      <c r="S88" s="316" t="e">
        <f t="shared" si="22"/>
        <v>#REF!</v>
      </c>
    </row>
    <row r="89" spans="1:19">
      <c r="A89" s="150" t="e">
        <f>#REF!</f>
        <v>#REF!</v>
      </c>
      <c r="B89" s="54" t="e">
        <f>#REF!</f>
        <v>#REF!</v>
      </c>
      <c r="C89" s="21" t="e">
        <f t="shared" si="12"/>
        <v>#REF!</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t="e">
        <f t="shared" si="20"/>
        <v>#REF!</v>
      </c>
      <c r="S89" s="316" t="e">
        <f t="shared" si="22"/>
        <v>#REF!</v>
      </c>
    </row>
    <row r="90" spans="1:19">
      <c r="A90" s="150" t="e">
        <f>#REF!</f>
        <v>#REF!</v>
      </c>
      <c r="B90" s="54" t="e">
        <f>#REF!</f>
        <v>#REF!</v>
      </c>
      <c r="C90" s="21" t="e">
        <f t="shared" ref="C90:C153" si="23">IF(B90="",1,(LOOKUP(B90,$3:$3,$4:$4)-LOOKUP($B$24,$3:$3,$4:$4)+100)/100)</f>
        <v>#REF!</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t="e">
        <f t="shared" ref="R90:R153" si="31">IF(B90="",0,ROUND($R$24*C90*E90*G90*I90*K90*M90*O90*Q90,0))</f>
        <v>#REF!</v>
      </c>
      <c r="S90" s="316" t="e">
        <f t="shared" si="22"/>
        <v>#REF!</v>
      </c>
    </row>
    <row r="91" spans="1:19">
      <c r="A91" s="150" t="e">
        <f>#REF!</f>
        <v>#REF!</v>
      </c>
      <c r="B91" s="54" t="e">
        <f>#REF!</f>
        <v>#REF!</v>
      </c>
      <c r="C91" s="21" t="e">
        <f t="shared" si="23"/>
        <v>#REF!</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t="e">
        <f t="shared" si="31"/>
        <v>#REF!</v>
      </c>
      <c r="S91" s="316" t="e">
        <f t="shared" si="22"/>
        <v>#REF!</v>
      </c>
    </row>
    <row r="92" spans="1:19">
      <c r="A92" s="150" t="e">
        <f>#REF!</f>
        <v>#REF!</v>
      </c>
      <c r="B92" s="54" t="e">
        <f>#REF!</f>
        <v>#REF!</v>
      </c>
      <c r="C92" s="21" t="e">
        <f t="shared" si="23"/>
        <v>#REF!</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t="e">
        <f t="shared" si="31"/>
        <v>#REF!</v>
      </c>
      <c r="S92" s="316" t="e">
        <f t="shared" si="22"/>
        <v>#REF!</v>
      </c>
    </row>
    <row r="93" spans="1:19">
      <c r="A93" s="150" t="e">
        <f>#REF!</f>
        <v>#REF!</v>
      </c>
      <c r="B93" s="54" t="e">
        <f>#REF!</f>
        <v>#REF!</v>
      </c>
      <c r="C93" s="21" t="e">
        <f t="shared" si="23"/>
        <v>#REF!</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t="e">
        <f t="shared" si="31"/>
        <v>#REF!</v>
      </c>
      <c r="S93" s="316" t="e">
        <f t="shared" si="22"/>
        <v>#REF!</v>
      </c>
    </row>
    <row r="94" spans="1:19">
      <c r="A94" s="150" t="e">
        <f>#REF!</f>
        <v>#REF!</v>
      </c>
      <c r="B94" s="54" t="e">
        <f>#REF!</f>
        <v>#REF!</v>
      </c>
      <c r="C94" s="21" t="e">
        <f t="shared" si="23"/>
        <v>#REF!</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t="e">
        <f t="shared" si="31"/>
        <v>#REF!</v>
      </c>
      <c r="S94" s="316" t="e">
        <f t="shared" si="22"/>
        <v>#REF!</v>
      </c>
    </row>
    <row r="95" spans="1:19">
      <c r="A95" s="150" t="e">
        <f>#REF!</f>
        <v>#REF!</v>
      </c>
      <c r="B95" s="54" t="e">
        <f>#REF!</f>
        <v>#REF!</v>
      </c>
      <c r="C95" s="21" t="e">
        <f t="shared" si="23"/>
        <v>#REF!</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t="e">
        <f t="shared" si="31"/>
        <v>#REF!</v>
      </c>
      <c r="S95" s="316" t="e">
        <f t="shared" si="22"/>
        <v>#REF!</v>
      </c>
    </row>
    <row r="96" spans="1:19">
      <c r="A96" s="150" t="e">
        <f>#REF!</f>
        <v>#REF!</v>
      </c>
      <c r="B96" s="54" t="e">
        <f>#REF!</f>
        <v>#REF!</v>
      </c>
      <c r="C96" s="21" t="e">
        <f t="shared" si="23"/>
        <v>#REF!</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t="e">
        <f t="shared" si="31"/>
        <v>#REF!</v>
      </c>
      <c r="S96" s="316" t="e">
        <f t="shared" si="22"/>
        <v>#REF!</v>
      </c>
    </row>
    <row r="97" spans="1:19">
      <c r="A97" s="150" t="e">
        <f>#REF!</f>
        <v>#REF!</v>
      </c>
      <c r="B97" s="54" t="e">
        <f>#REF!</f>
        <v>#REF!</v>
      </c>
      <c r="C97" s="21" t="e">
        <f t="shared" si="23"/>
        <v>#REF!</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t="e">
        <f t="shared" si="31"/>
        <v>#REF!</v>
      </c>
      <c r="S97" s="316" t="e">
        <f t="shared" si="22"/>
        <v>#REF!</v>
      </c>
    </row>
    <row r="98" spans="1:19">
      <c r="A98" s="150" t="e">
        <f>#REF!</f>
        <v>#REF!</v>
      </c>
      <c r="B98" s="54" t="e">
        <f>#REF!</f>
        <v>#REF!</v>
      </c>
      <c r="C98" s="21" t="e">
        <f t="shared" si="23"/>
        <v>#REF!</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t="e">
        <f t="shared" si="31"/>
        <v>#REF!</v>
      </c>
      <c r="S98" s="316" t="e">
        <f t="shared" si="22"/>
        <v>#REF!</v>
      </c>
    </row>
    <row r="99" spans="1:19">
      <c r="A99" s="150" t="e">
        <f>#REF!</f>
        <v>#REF!</v>
      </c>
      <c r="B99" s="54" t="e">
        <f>#REF!</f>
        <v>#REF!</v>
      </c>
      <c r="C99" s="21" t="e">
        <f t="shared" si="23"/>
        <v>#REF!</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t="e">
        <f t="shared" si="31"/>
        <v>#REF!</v>
      </c>
      <c r="S99" s="316" t="e">
        <f t="shared" si="22"/>
        <v>#REF!</v>
      </c>
    </row>
    <row r="100" spans="1:19">
      <c r="A100" s="150" t="e">
        <f>#REF!</f>
        <v>#REF!</v>
      </c>
      <c r="B100" s="54" t="e">
        <f>#REF!</f>
        <v>#REF!</v>
      </c>
      <c r="C100" s="21" t="e">
        <f t="shared" si="23"/>
        <v>#REF!</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t="e">
        <f t="shared" si="31"/>
        <v>#REF!</v>
      </c>
      <c r="S100" s="316" t="e">
        <f t="shared" si="22"/>
        <v>#REF!</v>
      </c>
    </row>
    <row r="101" spans="1:19">
      <c r="A101" s="150" t="e">
        <f>#REF!</f>
        <v>#REF!</v>
      </c>
      <c r="B101" s="54" t="e">
        <f>#REF!</f>
        <v>#REF!</v>
      </c>
      <c r="C101" s="21" t="e">
        <f t="shared" si="23"/>
        <v>#REF!</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t="e">
        <f t="shared" si="31"/>
        <v>#REF!</v>
      </c>
      <c r="S101" s="316" t="e">
        <f t="shared" si="22"/>
        <v>#REF!</v>
      </c>
    </row>
    <row r="102" spans="1:19">
      <c r="A102" s="150" t="e">
        <f>#REF!</f>
        <v>#REF!</v>
      </c>
      <c r="B102" s="54" t="e">
        <f>#REF!</f>
        <v>#REF!</v>
      </c>
      <c r="C102" s="21" t="e">
        <f t="shared" si="23"/>
        <v>#REF!</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t="e">
        <f t="shared" si="31"/>
        <v>#REF!</v>
      </c>
      <c r="S102" s="316" t="e">
        <f t="shared" si="22"/>
        <v>#REF!</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6" t="s">
        <v>947</v>
      </c>
      <c r="B1" s="3526"/>
      <c r="C1" s="3526"/>
      <c r="D1" s="3526"/>
    </row>
    <row r="2" spans="1:4" ht="18">
      <c r="A2" s="3527" t="s">
        <v>931</v>
      </c>
      <c r="B2" s="3527"/>
      <c r="C2" s="3527"/>
      <c r="D2" s="3527"/>
    </row>
    <row r="3" spans="1:4" ht="18.75">
      <c r="A3" s="1506" t="s">
        <v>932</v>
      </c>
      <c r="B3" s="1506" t="s">
        <v>933</v>
      </c>
      <c r="C3" s="1506" t="s">
        <v>934</v>
      </c>
      <c r="D3" s="1506" t="s">
        <v>935</v>
      </c>
    </row>
    <row r="4" spans="1:4" ht="56.25" customHeight="1">
      <c r="A4" s="1507">
        <f>项目基本情况!B4</f>
        <v>0</v>
      </c>
      <c r="B4" s="1508">
        <f>项目基本情况!C4</f>
        <v>0</v>
      </c>
      <c r="C4" s="1509"/>
      <c r="D4" s="1510" t="s">
        <v>936</v>
      </c>
    </row>
    <row r="5" spans="1:4" ht="56.25" customHeight="1">
      <c r="A5" s="1507">
        <f>项目基本情况!D4</f>
        <v>0</v>
      </c>
      <c r="B5" s="1508">
        <f>项目基本情况!E4</f>
        <v>0</v>
      </c>
      <c r="C5" s="1511"/>
      <c r="D5" s="1510" t="s">
        <v>936</v>
      </c>
    </row>
    <row r="6" spans="1:4" ht="18">
      <c r="A6" s="3527" t="s">
        <v>937</v>
      </c>
      <c r="B6" s="3527"/>
      <c r="C6" s="3527"/>
      <c r="D6" s="3527"/>
    </row>
    <row r="7" spans="1:4" ht="18.75">
      <c r="A7" s="1506" t="s">
        <v>932</v>
      </c>
      <c r="B7" s="1508" t="s">
        <v>938</v>
      </c>
      <c r="C7" s="1506" t="s">
        <v>934</v>
      </c>
      <c r="D7" s="1506" t="s">
        <v>935</v>
      </c>
    </row>
    <row r="8" spans="1:4" ht="56.25" customHeight="1">
      <c r="A8" s="1512" t="s">
        <v>390</v>
      </c>
      <c r="B8" s="1512" t="s">
        <v>0</v>
      </c>
      <c r="C8" s="1509"/>
      <c r="D8" s="1510" t="s">
        <v>936</v>
      </c>
    </row>
    <row r="9" spans="1:4">
      <c r="A9" s="674"/>
      <c r="B9" s="674"/>
      <c r="C9" s="674"/>
      <c r="D9" s="674"/>
    </row>
    <row r="10" spans="1:4" ht="18.75">
      <c r="A10" s="1513" t="s">
        <v>939</v>
      </c>
      <c r="B10" s="674"/>
      <c r="C10" s="674"/>
      <c r="D10" s="674"/>
    </row>
    <row r="11" spans="1:4" ht="30" customHeight="1">
      <c r="A11" s="3528" t="s">
        <v>940</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0" t="str">
        <f>IF(项目基本情况!B8="抵押","4.本次评估估价师所知悉的法定优先受偿款情况说明如下：","——")</f>
        <v>4.本次评估估价师所知悉的法定优先受偿款情况说明如下：</v>
      </c>
      <c r="B14" s="3525"/>
      <c r="C14" s="3525"/>
      <c r="D14" s="3525"/>
    </row>
    <row r="15" spans="1:4" ht="42" customHeight="1">
      <c r="A15" s="3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2" t="s">
        <v>941</v>
      </c>
      <c r="B16" s="3522"/>
      <c r="C16" s="3522"/>
      <c r="D16" s="3522"/>
    </row>
    <row r="17" spans="1:4" ht="144" customHeight="1">
      <c r="A17" s="3522" t="s">
        <v>942</v>
      </c>
      <c r="B17" s="3522"/>
      <c r="C17" s="3522"/>
      <c r="D17" s="3522"/>
    </row>
    <row r="18" spans="1:4" ht="15.75" customHeight="1">
      <c r="A18" s="3520" t="str">
        <f>IF(项目基本情况!B8="抵押",结果表!K120,"——")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943</v>
      </c>
      <c r="B22" s="3524"/>
      <c r="C22" s="3524"/>
      <c r="D22" s="3524"/>
    </row>
    <row r="23" spans="1:4">
      <c r="A23" s="1514"/>
      <c r="B23" s="1486"/>
      <c r="C23" s="1486"/>
      <c r="D23" s="1486"/>
    </row>
    <row r="24" spans="1:4">
      <c r="A24" s="1514"/>
      <c r="B24" s="1486"/>
      <c r="C24" s="1486"/>
      <c r="D24" s="1486"/>
    </row>
    <row r="25" spans="1:4" ht="18.75">
      <c r="A25" s="1515" t="s">
        <v>944</v>
      </c>
    </row>
    <row r="26" spans="1:4" ht="18">
      <c r="A26" s="1484"/>
    </row>
    <row r="27" spans="1:4" ht="18.75">
      <c r="A27" s="1484" t="s">
        <v>945</v>
      </c>
    </row>
    <row r="30" spans="1:4" ht="18.75">
      <c r="D30" s="1515" t="s">
        <v>946</v>
      </c>
    </row>
    <row r="31" spans="1:4" ht="13.5" customHeight="1">
      <c r="C31" s="3521">
        <v>42551</v>
      </c>
      <c r="D31" s="35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948</v>
      </c>
    </row>
    <row r="3" spans="1:7">
      <c r="A3" s="1520" t="s">
        <v>55</v>
      </c>
      <c r="B3" s="1504" t="s">
        <v>949</v>
      </c>
      <c r="G3" s="1521"/>
    </row>
    <row r="4" spans="1:7">
      <c r="G4" s="1521"/>
    </row>
    <row r="5" spans="1:7">
      <c r="A5" s="1523" t="s">
        <v>46</v>
      </c>
      <c r="B5" s="1504" t="s">
        <v>950</v>
      </c>
      <c r="G5" s="1521"/>
    </row>
    <row r="6" spans="1:7">
      <c r="G6" s="1521"/>
    </row>
    <row r="7" spans="1:7">
      <c r="A7" s="1524" t="s">
        <v>108</v>
      </c>
      <c r="B7" s="1504" t="s">
        <v>951</v>
      </c>
      <c r="G7" s="1521"/>
    </row>
    <row r="8" spans="1:7">
      <c r="G8" s="1521"/>
    </row>
    <row r="9" spans="1:7">
      <c r="A9" s="1525" t="s">
        <v>47</v>
      </c>
      <c r="B9" s="1504" t="s">
        <v>952</v>
      </c>
    </row>
    <row r="11" spans="1:7">
      <c r="A11" s="1526" t="s">
        <v>48</v>
      </c>
      <c r="B11" s="1527" t="s">
        <v>45</v>
      </c>
    </row>
    <row r="13" spans="1:7">
      <c r="A13" s="1528" t="s">
        <v>953</v>
      </c>
    </row>
    <row r="15" spans="1:7" ht="13.5">
      <c r="A15" s="3534" t="s">
        <v>954</v>
      </c>
      <c r="B15" s="3529" t="s">
        <v>109</v>
      </c>
      <c r="C15" s="3530"/>
    </row>
    <row r="16" spans="1:7" ht="13.5">
      <c r="A16" s="3535"/>
      <c r="B16" s="3529" t="s">
        <v>42</v>
      </c>
      <c r="C16" s="3530"/>
    </row>
    <row r="17" spans="1:3" ht="13.5">
      <c r="A17" s="3535"/>
      <c r="B17" s="3532" t="s">
        <v>955</v>
      </c>
      <c r="C17" s="1529" t="s">
        <v>954</v>
      </c>
    </row>
    <row r="18" spans="1:3" ht="13.5">
      <c r="A18" s="3535"/>
      <c r="B18" s="3532"/>
      <c r="C18" s="1529" t="s">
        <v>956</v>
      </c>
    </row>
    <row r="19" spans="1:3" ht="13.5">
      <c r="A19" s="3535"/>
      <c r="B19" s="3532"/>
      <c r="C19" s="1529" t="s">
        <v>957</v>
      </c>
    </row>
    <row r="20" spans="1:3" ht="13.5">
      <c r="A20" s="3536"/>
      <c r="B20" s="3531" t="s">
        <v>958</v>
      </c>
      <c r="C20" s="3530"/>
    </row>
    <row r="21" spans="1:3" ht="13.5">
      <c r="A21" s="1530" t="s">
        <v>959</v>
      </c>
      <c r="B21" s="1531"/>
      <c r="C21" s="1532"/>
    </row>
    <row r="22" spans="1:3" ht="13.5">
      <c r="A22" s="3533" t="s">
        <v>960</v>
      </c>
      <c r="B22" s="3531" t="s">
        <v>961</v>
      </c>
      <c r="C22" s="3530"/>
    </row>
    <row r="23" spans="1:3" ht="13.5">
      <c r="A23" s="3533"/>
      <c r="B23" s="3531" t="s">
        <v>962</v>
      </c>
      <c r="C23" s="3530"/>
    </row>
    <row r="24" spans="1:3" ht="13.5">
      <c r="A24" s="3533"/>
      <c r="B24" s="3531" t="s">
        <v>963</v>
      </c>
      <c r="C24" s="3530"/>
    </row>
    <row r="25" spans="1:3" ht="13.5">
      <c r="A25" s="3533"/>
      <c r="B25" s="3532" t="s">
        <v>964</v>
      </c>
      <c r="C25" s="1529" t="s">
        <v>965</v>
      </c>
    </row>
    <row r="26" spans="1:3" ht="13.5">
      <c r="A26" s="3533"/>
      <c r="B26" s="3532"/>
      <c r="C26" s="1529" t="s">
        <v>966</v>
      </c>
    </row>
    <row r="27" spans="1:3" ht="13.5">
      <c r="A27" s="3533"/>
      <c r="B27" s="3532"/>
      <c r="C27" s="1529" t="s">
        <v>967</v>
      </c>
    </row>
    <row r="28" spans="1:3" ht="13.5">
      <c r="A28" s="3533"/>
      <c r="B28" s="3532"/>
      <c r="C28" s="1529" t="s">
        <v>968</v>
      </c>
    </row>
    <row r="29" spans="1:3" ht="13.5">
      <c r="A29" s="3533"/>
      <c r="B29" s="3532"/>
      <c r="C29" s="1529" t="s">
        <v>969</v>
      </c>
    </row>
    <row r="30" spans="1:3" ht="13.5">
      <c r="A30" s="3533"/>
      <c r="B30" s="3532"/>
      <c r="C30" s="1529" t="s">
        <v>970</v>
      </c>
    </row>
    <row r="31" spans="1:3" ht="13.5">
      <c r="A31" s="3533"/>
      <c r="B31" s="3532"/>
      <c r="C31" s="1529" t="s">
        <v>971</v>
      </c>
    </row>
    <row r="32" spans="1:3" ht="13.5">
      <c r="A32" s="3533"/>
      <c r="B32" s="3532"/>
      <c r="C32" s="1529" t="s">
        <v>972</v>
      </c>
    </row>
    <row r="33" spans="1:3" ht="13.5">
      <c r="A33" s="3533"/>
      <c r="B33" s="3532"/>
      <c r="C33" s="1529" t="s">
        <v>973</v>
      </c>
    </row>
    <row r="34" spans="1:3">
      <c r="A34" s="1533" t="s">
        <v>49</v>
      </c>
    </row>
    <row r="37" spans="1:3">
      <c r="A37" s="1533" t="s">
        <v>974</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45218</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2438</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37" t="s">
        <v>2157</v>
      </c>
      <c r="B17" s="3537"/>
      <c r="C17" s="3537"/>
      <c r="D17" s="3537"/>
      <c r="E17" s="3537"/>
      <c r="F17" s="3537"/>
      <c r="G17" s="3537"/>
      <c r="H17" s="3537"/>
    </row>
    <row r="18" spans="1:8" ht="24" customHeight="1">
      <c r="A18" s="3538" t="s">
        <v>2158</v>
      </c>
      <c r="B18" s="3538"/>
      <c r="C18" s="3538"/>
      <c r="D18" s="2338"/>
      <c r="E18" s="3539" t="s">
        <v>2159</v>
      </c>
      <c r="F18" s="3538"/>
      <c r="G18" s="3538"/>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2439</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三期清单</vt:lpstr>
      <vt:lpstr>数据-取费表</vt:lpstr>
      <vt:lpstr>估价对象房地状况</vt:lpstr>
      <vt:lpstr>系统读取表</vt:lpstr>
      <vt:lpstr>结果表</vt:lpstr>
      <vt:lpstr>成本法</vt:lpstr>
      <vt:lpstr>土地比较法-住宅、综合</vt:lpstr>
      <vt:lpstr>假设开发法</vt:lpstr>
      <vt:lpstr>比较法-住宅</vt:lpstr>
      <vt:lpstr>住宅</vt:lpstr>
      <vt:lpstr>成本法 (元)</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2023-10-19T08:43:49Z</dcterms:modified>
</cp:coreProperties>
</file>