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2024询价\9月\陈宁密云询价\最终\"/>
    </mc:Choice>
  </mc:AlternateContent>
  <xr:revisionPtr revIDLastSave="0" documentId="13_ncr:1_{73FDE9BA-0728-4AFC-AAB8-13DB68221992}"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租金比较法-办公" sheetId="34"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5" hidden="1">'租金比较法-办公'!$A$1:$L$50</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'租金比较法-办公'!$A$1:$K$55,'租金比较法-办公'!$A$58:$M$132</definedName>
    <definedName name="八级">区片价!$P$1:$P$44</definedName>
    <definedName name="办公层高">'租金比较法-办公'!$B$119:$M$119</definedName>
    <definedName name="办公朝向">'租金比较法-办公'!$B$91:$M$91</definedName>
    <definedName name="办公道路级别">'租金比较法-办公'!$B$87:$M$87</definedName>
    <definedName name="办公公共部分装修">'租金比较法-办公'!$B$108:$M$108</definedName>
    <definedName name="办公基础设施水平">'租金比较法-办公'!$B$117:$M$117</definedName>
    <definedName name="办公集聚程度">定义!$M$1:$M$6</definedName>
    <definedName name="办公建筑结构">'租金比较法-办公'!$B$106:$M$106</definedName>
    <definedName name="办公建筑类型">'租金比较法-办公'!$B$101:$M$101</definedName>
    <definedName name="办公交易情况">'租金比较法-办公'!$A$62:$M$62</definedName>
    <definedName name="办公楼层">'租金比较法-办公'!$B$89:$M$89</definedName>
    <definedName name="办公内部装修">'租金比较法-办公'!$B$123:$M$123</definedName>
    <definedName name="办公物业管理">'租金比较法-办公'!$B$115:$M$115</definedName>
    <definedName name="办公用途">'租金比较法-办公'!$B$64:$M$64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'租金比较法-办公'!$B$113:$M$113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L23" i="1"/>
  <c r="N23" i="1" s="1"/>
  <c r="L22" i="1"/>
  <c r="N22" i="1" s="1"/>
  <c r="Q19" i="1"/>
  <c r="Q21" i="1" s="1"/>
  <c r="N6" i="1" s="1"/>
  <c r="Y6" i="1" s="1"/>
  <c r="G19" i="6"/>
  <c r="F19" i="6"/>
  <c r="AH6" i="1" s="1"/>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21" i="1" l="1"/>
  <c r="L21" i="1"/>
  <c r="G14" i="73"/>
  <c r="F14" i="73"/>
  <c r="E14" i="73"/>
  <c r="G15" i="73"/>
  <c r="F15" i="73"/>
  <c r="E15" i="73"/>
  <c r="L25" i="1" l="1"/>
  <c r="N25" i="1" s="1"/>
  <c r="L24" i="1"/>
  <c r="N24" i="1" s="1"/>
  <c r="M21" i="1"/>
  <c r="M20" i="1" s="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N28" i="79"/>
  <c r="AA28" i="79"/>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D68" i="71" s="1"/>
  <c r="B68" i="71"/>
  <c r="S68" i="71" s="1"/>
  <c r="F67" i="71"/>
  <c r="F66" i="71" s="1"/>
  <c r="B67" i="71"/>
  <c r="N67" i="71" s="1"/>
  <c r="D65" i="71"/>
  <c r="Q64" i="71"/>
  <c r="P64" i="71"/>
  <c r="O64" i="71"/>
  <c r="N64" i="71"/>
  <c r="Q63" i="71"/>
  <c r="P63" i="71"/>
  <c r="O63" i="71"/>
  <c r="N63" i="71"/>
  <c r="Q62" i="71"/>
  <c r="P62" i="71"/>
  <c r="O62" i="71"/>
  <c r="C63" i="71" s="1"/>
  <c r="N62" i="71"/>
  <c r="Q61" i="71"/>
  <c r="F62" i="71"/>
  <c r="F63" i="71" s="1"/>
  <c r="F64" i="71" s="1"/>
  <c r="V64" i="71" s="1"/>
  <c r="P61" i="71"/>
  <c r="E62" i="71" s="1"/>
  <c r="E63" i="71" s="1"/>
  <c r="O61" i="71"/>
  <c r="C62" i="71" s="1"/>
  <c r="D62" i="71" s="1"/>
  <c r="N61" i="71"/>
  <c r="B62"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C30" i="71" s="1"/>
  <c r="C31" i="71" s="1"/>
  <c r="N29" i="71"/>
  <c r="D29" i="71"/>
  <c r="O28" i="71"/>
  <c r="N28" i="71"/>
  <c r="B28" i="71" s="1"/>
  <c r="B30" i="71"/>
  <c r="B31" i="71" s="1"/>
  <c r="B32" i="71" s="1"/>
  <c r="S32" i="71" s="1"/>
  <c r="E30" i="71"/>
  <c r="E31" i="71" s="1"/>
  <c r="E32" i="71" s="1"/>
  <c r="U32" i="71" s="1"/>
  <c r="B34" i="71"/>
  <c r="E38" i="71"/>
  <c r="E39" i="71" s="1"/>
  <c r="N68" i="71"/>
  <c r="C38" i="71"/>
  <c r="D38" i="71" s="1"/>
  <c r="C28" i="71"/>
  <c r="T28" i="71" s="1"/>
  <c r="C43" i="71"/>
  <c r="C44" i="71" s="1"/>
  <c r="D44" i="71" s="1"/>
  <c r="P28" i="71"/>
  <c r="E28" i="71" s="1"/>
  <c r="E64" i="71"/>
  <c r="U64" i="71" s="1"/>
  <c r="E67" i="71"/>
  <c r="Q28" i="71"/>
  <c r="F28" i="71" s="1"/>
  <c r="F27" i="71" s="1"/>
  <c r="F26" i="71" s="1"/>
  <c r="D58" i="71"/>
  <c r="C71" i="71"/>
  <c r="C70" i="71" s="1"/>
  <c r="D70" i="71" s="1"/>
  <c r="E71" i="71"/>
  <c r="E70" i="71" s="1"/>
  <c r="D72" i="71"/>
  <c r="E75" i="71"/>
  <c r="E74" i="71" s="1"/>
  <c r="C79" i="71"/>
  <c r="D79" i="71" s="1"/>
  <c r="E79" i="71"/>
  <c r="E78" i="71" s="1"/>
  <c r="C83" i="71"/>
  <c r="D83" i="71" s="1"/>
  <c r="C87" i="71"/>
  <c r="C82" i="71"/>
  <c r="D82"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H1" i="69"/>
  <c r="AC25" i="40"/>
  <c r="W29" i="39"/>
  <c r="S21" i="37"/>
  <c r="AA21" i="33"/>
  <c r="S21" i="33"/>
  <c r="J21" i="37"/>
  <c r="W21" i="37" s="1"/>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H26" i="37"/>
  <c r="AB26" i="37" s="1"/>
  <c r="Q25" i="37"/>
  <c r="Z25" i="37"/>
  <c r="J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J34" i="36" s="1"/>
  <c r="W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B99" i="35"/>
  <c r="F35" i="35" s="1"/>
  <c r="B97" i="35"/>
  <c r="H34" i="35" s="1"/>
  <c r="B77" i="35"/>
  <c r="F25" i="35" s="1"/>
  <c r="S25" i="35" s="1"/>
  <c r="B75" i="35"/>
  <c r="J24" i="35" s="1"/>
  <c r="AC24" i="35" s="1"/>
  <c r="B73" i="35"/>
  <c r="J23" i="35" s="1"/>
  <c r="AC23" i="35" s="1"/>
  <c r="H23" i="35"/>
  <c r="U23" i="35" s="1"/>
  <c r="B57" i="35"/>
  <c r="F11" i="35" s="1"/>
  <c r="S11" i="35" s="1"/>
  <c r="B61" i="35"/>
  <c r="B59" i="35"/>
  <c r="F12" i="35" s="1"/>
  <c r="B131" i="34"/>
  <c r="B129" i="34"/>
  <c r="J46" i="34" s="1"/>
  <c r="B127" i="34"/>
  <c r="B99" i="34"/>
  <c r="F32" i="34" s="1"/>
  <c r="B97" i="34"/>
  <c r="J31" i="34" s="1"/>
  <c r="B95" i="34"/>
  <c r="F30" i="34" s="1"/>
  <c r="B93" i="34"/>
  <c r="B75" i="34"/>
  <c r="F14" i="34" s="1"/>
  <c r="S14" i="34" s="1"/>
  <c r="B73" i="34"/>
  <c r="H13" i="34" s="1"/>
  <c r="U13" i="34" s="1"/>
  <c r="B71" i="34"/>
  <c r="F12" i="34" s="1"/>
  <c r="S12" i="34" s="1"/>
  <c r="B130" i="33"/>
  <c r="B128" i="33"/>
  <c r="H45" i="33" s="1"/>
  <c r="U45" i="33" s="1"/>
  <c r="B126" i="33"/>
  <c r="F44" i="33" s="1"/>
  <c r="S44" i="33" s="1"/>
  <c r="B98" i="33"/>
  <c r="B96" i="33"/>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s="1"/>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F44" i="34" s="1"/>
  <c r="AA44" i="34" s="1"/>
  <c r="E126" i="34"/>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s="1"/>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H44" i="21" s="1"/>
  <c r="B98" i="21"/>
  <c r="B96" i="21"/>
  <c r="J30" i="21" s="1"/>
  <c r="B94" i="21"/>
  <c r="J29" i="21"/>
  <c r="AC29" i="21" s="1"/>
  <c r="B92" i="21"/>
  <c r="J28" i="21" s="1"/>
  <c r="B90" i="21"/>
  <c r="F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AA36" i="34" s="1"/>
  <c r="J35" i="34"/>
  <c r="AC35" i="34" s="1"/>
  <c r="U34" i="34"/>
  <c r="H39" i="33"/>
  <c r="AB39" i="33" s="1"/>
  <c r="F26" i="33"/>
  <c r="AA26" i="33" s="1"/>
  <c r="U33" i="33"/>
  <c r="S40" i="33"/>
  <c r="W39" i="33"/>
  <c r="S27" i="35"/>
  <c r="F11" i="40"/>
  <c r="AA11" i="40" s="1"/>
  <c r="H11" i="40"/>
  <c r="AB11" i="40" s="1"/>
  <c r="W8" i="40"/>
  <c r="AB39" i="40"/>
  <c r="S34" i="40"/>
  <c r="W31"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U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36" i="34"/>
  <c r="U36" i="34" s="1"/>
  <c r="F37" i="34"/>
  <c r="AA37" i="34" s="1"/>
  <c r="F28" i="34"/>
  <c r="AA28" i="34" s="1"/>
  <c r="F25" i="34"/>
  <c r="S25" i="34" s="1"/>
  <c r="H17" i="34"/>
  <c r="U17" i="34" s="1"/>
  <c r="F15" i="34"/>
  <c r="AA15" i="34" s="1"/>
  <c r="J15" i="34"/>
  <c r="AC15" i="34" s="1"/>
  <c r="H15" i="34"/>
  <c r="AB15" i="34" s="1"/>
  <c r="J28" i="34"/>
  <c r="W28" i="34"/>
  <c r="F41" i="33"/>
  <c r="S38" i="33"/>
  <c r="E113" i="33"/>
  <c r="F113" i="33" s="1"/>
  <c r="G113" i="33" s="1"/>
  <c r="F32" i="33"/>
  <c r="AA32" i="33" s="1"/>
  <c r="J19" i="33"/>
  <c r="AC19" i="33" s="1"/>
  <c r="J15" i="33"/>
  <c r="AC15" i="33" s="1"/>
  <c r="F11" i="33"/>
  <c r="AA11" i="33" s="1"/>
  <c r="S26" i="33"/>
  <c r="U40" i="33"/>
  <c r="F37" i="40"/>
  <c r="AA37" i="40"/>
  <c r="F36" i="40"/>
  <c r="AA36" i="40" s="1"/>
  <c r="H28" i="40"/>
  <c r="U28" i="40"/>
  <c r="F23" i="40"/>
  <c r="AA23" i="40" s="1"/>
  <c r="F17" i="40"/>
  <c r="AA17" i="40" s="1"/>
  <c r="J17" i="40"/>
  <c r="W17" i="40" s="1"/>
  <c r="F15" i="40"/>
  <c r="S15" i="40" s="1"/>
  <c r="H15" i="40"/>
  <c r="AB15" i="40" s="1"/>
  <c r="F29" i="35"/>
  <c r="S29" i="35" s="1"/>
  <c r="H29" i="35"/>
  <c r="AB29" i="35" s="1"/>
  <c r="H33" i="37"/>
  <c r="F33" i="37"/>
  <c r="AA33" i="37" s="1"/>
  <c r="U34" i="37"/>
  <c r="S34" i="37"/>
  <c r="AA34" i="37"/>
  <c r="J40" i="34"/>
  <c r="AC40" i="34" s="1"/>
  <c r="H38" i="34"/>
  <c r="AB38" i="34" s="1"/>
  <c r="J36" i="34"/>
  <c r="W36" i="34" s="1"/>
  <c r="H25" i="34"/>
  <c r="AB25" i="34" s="1"/>
  <c r="J25" i="34"/>
  <c r="AC25" i="34" s="1"/>
  <c r="J17" i="34"/>
  <c r="W17" i="34" s="1"/>
  <c r="H113" i="33"/>
  <c r="I113" i="33" s="1"/>
  <c r="J113" i="33" s="1"/>
  <c r="K113" i="33" s="1"/>
  <c r="L113" i="33" s="1"/>
  <c r="M113" i="33" s="1"/>
  <c r="H37" i="33"/>
  <c r="AB37" i="33" s="1"/>
  <c r="H15" i="33"/>
  <c r="AB15" i="33" s="1"/>
  <c r="H11" i="33"/>
  <c r="AB11" i="33" s="1"/>
  <c r="F28" i="40"/>
  <c r="AA28" i="40" s="1"/>
  <c r="AA29" i="35"/>
  <c r="S42" i="34"/>
  <c r="AA38" i="34"/>
  <c r="J37" i="34"/>
  <c r="AC37" i="34" s="1"/>
  <c r="J11" i="33"/>
  <c r="W11" i="33" s="1"/>
  <c r="I123" i="21"/>
  <c r="J123" i="21" s="1"/>
  <c r="K123" i="21" s="1"/>
  <c r="L123" i="21" s="1"/>
  <c r="M123" i="21" s="1"/>
  <c r="J42" i="21"/>
  <c r="AC42" i="21" s="1"/>
  <c r="H42" i="21"/>
  <c r="U42" i="21" s="1"/>
  <c r="J44" i="34"/>
  <c r="AC44" i="34" s="1"/>
  <c r="J10" i="35"/>
  <c r="AC10" i="35" s="1"/>
  <c r="J14" i="21"/>
  <c r="W14" i="21" s="1"/>
  <c r="F14" i="21"/>
  <c r="S14" i="21" s="1"/>
  <c r="U14" i="21"/>
  <c r="F28" i="21"/>
  <c r="AA28" i="21" s="1"/>
  <c r="J44" i="21"/>
  <c r="AC44" i="21" s="1"/>
  <c r="U44" i="21"/>
  <c r="F44" i="21"/>
  <c r="AA44"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31" i="21"/>
  <c r="S31" i="21" s="1"/>
  <c r="F45" i="21"/>
  <c r="AA45" i="21" s="1"/>
  <c r="F27" i="33"/>
  <c r="AA27" i="33" s="1"/>
  <c r="J13" i="33"/>
  <c r="H13" i="33"/>
  <c r="U13" i="33" s="1"/>
  <c r="F13" i="33"/>
  <c r="S13" i="33" s="1"/>
  <c r="J29" i="33"/>
  <c r="H29" i="33"/>
  <c r="U29" i="33"/>
  <c r="J31" i="33"/>
  <c r="W31" i="33" s="1"/>
  <c r="H31" i="33"/>
  <c r="F31" i="33"/>
  <c r="J45" i="33"/>
  <c r="W45" i="33" s="1"/>
  <c r="F45" i="33"/>
  <c r="J14" i="34"/>
  <c r="W14" i="34" s="1"/>
  <c r="H14" i="34"/>
  <c r="H30" i="34"/>
  <c r="U30" i="34" s="1"/>
  <c r="H32" i="34"/>
  <c r="U32" i="34" s="1"/>
  <c r="J32" i="34"/>
  <c r="W32" i="34" s="1"/>
  <c r="H46" i="34"/>
  <c r="U46" i="34" s="1"/>
  <c r="F46" i="34"/>
  <c r="H11" i="35"/>
  <c r="AB11" i="35" s="1"/>
  <c r="J11" i="35"/>
  <c r="W11" i="35" s="1"/>
  <c r="J26" i="36"/>
  <c r="W26" i="36" s="1"/>
  <c r="H28" i="36"/>
  <c r="U28" i="36" s="1"/>
  <c r="H32" i="36"/>
  <c r="J11" i="36"/>
  <c r="AC11" i="36" s="1"/>
  <c r="H11" i="36"/>
  <c r="U11" i="36" s="1"/>
  <c r="F11" i="36"/>
  <c r="J13" i="36"/>
  <c r="F13" i="36"/>
  <c r="S13" i="36" s="1"/>
  <c r="E89" i="37"/>
  <c r="F89" i="37" s="1"/>
  <c r="G89" i="37" s="1"/>
  <c r="H89" i="37" s="1"/>
  <c r="I89" i="37" s="1"/>
  <c r="J89" i="37"/>
  <c r="K89" i="37" s="1"/>
  <c r="L89" i="37" s="1"/>
  <c r="M89" i="37" s="1"/>
  <c r="J29" i="37"/>
  <c r="W29" i="37" s="1"/>
  <c r="F29" i="37"/>
  <c r="S29" i="37" s="1"/>
  <c r="F105" i="37"/>
  <c r="G105" i="37" s="1"/>
  <c r="H36" i="37"/>
  <c r="AB36" i="37" s="1"/>
  <c r="J37" i="37"/>
  <c r="H37" i="37"/>
  <c r="U37" i="37" s="1"/>
  <c r="H40" i="37"/>
  <c r="U40" i="37" s="1"/>
  <c r="J40" i="37"/>
  <c r="F40" i="37"/>
  <c r="AA40" i="37" s="1"/>
  <c r="W12" i="40"/>
  <c r="H14" i="33"/>
  <c r="U14" i="33" s="1"/>
  <c r="F14" i="33"/>
  <c r="S14" i="33" s="1"/>
  <c r="J14" i="33"/>
  <c r="H30" i="33"/>
  <c r="AB30" i="33" s="1"/>
  <c r="F30" i="33"/>
  <c r="J30" i="33"/>
  <c r="H44" i="33"/>
  <c r="J44" i="33"/>
  <c r="AC44" i="33"/>
  <c r="J46" i="33"/>
  <c r="AC46" i="33" s="1"/>
  <c r="F46" i="33"/>
  <c r="AA46" i="33" s="1"/>
  <c r="H46" i="33"/>
  <c r="J13" i="34"/>
  <c r="W13" i="34"/>
  <c r="F13" i="34"/>
  <c r="AA13" i="34" s="1"/>
  <c r="J29" i="34"/>
  <c r="F29" i="34"/>
  <c r="S29" i="34"/>
  <c r="H29" i="34"/>
  <c r="AB29" i="34" s="1"/>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H25" i="35"/>
  <c r="AB25" i="35" s="1"/>
  <c r="J35" i="35"/>
  <c r="AC35" i="35" s="1"/>
  <c r="AA35" i="35"/>
  <c r="H35" i="35"/>
  <c r="J25" i="36"/>
  <c r="W25" i="36" s="1"/>
  <c r="F25" i="36"/>
  <c r="S25" i="36" s="1"/>
  <c r="H25" i="36"/>
  <c r="AB25" i="36" s="1"/>
  <c r="H13" i="37"/>
  <c r="AB13" i="37" s="1"/>
  <c r="F13" i="37"/>
  <c r="S13" i="37" s="1"/>
  <c r="J13" i="37"/>
  <c r="W13" i="37" s="1"/>
  <c r="F28" i="37"/>
  <c r="AA28" i="37" s="1"/>
  <c r="J28" i="37"/>
  <c r="AC28" i="37" s="1"/>
  <c r="H28" i="37"/>
  <c r="H38" i="37"/>
  <c r="AB38" i="37"/>
  <c r="J38" i="37"/>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H13" i="40"/>
  <c r="U13" i="40"/>
  <c r="J13" i="40"/>
  <c r="W13" i="40" s="1"/>
  <c r="F13" i="40"/>
  <c r="AA13" i="40"/>
  <c r="F14" i="37"/>
  <c r="S14" i="37" s="1"/>
  <c r="F27" i="37"/>
  <c r="AA27" i="37" s="1"/>
  <c r="F13" i="39"/>
  <c r="J13" i="39"/>
  <c r="W13" i="39" s="1"/>
  <c r="H13" i="39"/>
  <c r="H14" i="40"/>
  <c r="J14" i="40"/>
  <c r="W14" i="40" s="1"/>
  <c r="F14" i="40"/>
  <c r="S14" i="40" s="1"/>
  <c r="J14" i="37"/>
  <c r="J27" i="37"/>
  <c r="AC27" i="37"/>
  <c r="AA44" i="33"/>
  <c r="J36" i="37"/>
  <c r="AC36" i="37"/>
  <c r="J10" i="36"/>
  <c r="AC10" i="36" s="1"/>
  <c r="AA14" i="37"/>
  <c r="W31" i="34"/>
  <c r="AB46" i="34"/>
  <c r="AA14" i="34"/>
  <c r="BA586" i="3"/>
  <c r="BA585" i="3"/>
  <c r="F17" i="21"/>
  <c r="AA17" i="21" s="1"/>
  <c r="H17" i="21"/>
  <c r="AB17" i="21" s="1"/>
  <c r="F15" i="21"/>
  <c r="S15" i="21" s="1"/>
  <c r="J41" i="39"/>
  <c r="W41" i="39" s="1"/>
  <c r="W44" i="39"/>
  <c r="U36" i="39"/>
  <c r="S35" i="39"/>
  <c r="G544" i="3"/>
  <c r="G536" i="3"/>
  <c r="G535" i="3"/>
  <c r="G528" i="3"/>
  <c r="G527" i="3"/>
  <c r="G514" i="3"/>
  <c r="G508" i="3"/>
  <c r="G500" i="3"/>
  <c r="G584" i="3"/>
  <c r="G580" i="3"/>
  <c r="G576" i="3"/>
  <c r="G572" i="3"/>
  <c r="G568" i="3"/>
  <c r="G564" i="3"/>
  <c r="G560" i="3"/>
  <c r="G554" i="3"/>
  <c r="G550" i="3"/>
  <c r="BL584" i="3"/>
  <c r="BL580" i="3"/>
  <c r="BL576" i="3"/>
  <c r="BL572" i="3"/>
  <c r="BL564" i="3"/>
  <c r="BL560" i="3"/>
  <c r="BL554" i="3"/>
  <c r="BL542" i="3"/>
  <c r="BL526" i="3"/>
  <c r="BL506" i="3"/>
  <c r="BL582" i="3"/>
  <c r="BL578" i="3"/>
  <c r="BL574" i="3"/>
  <c r="BL570" i="3"/>
  <c r="BL566" i="3"/>
  <c r="BL562" i="3"/>
  <c r="BL556" i="3"/>
  <c r="BL552" i="3"/>
  <c r="BL544" i="3"/>
  <c r="BL532" i="3"/>
  <c r="G529" i="3"/>
  <c r="BL524" i="3"/>
  <c r="BL504" i="3"/>
  <c r="G493" i="3"/>
  <c r="BA584" i="3"/>
  <c r="AZ584" i="3" s="1"/>
  <c r="BA582" i="3"/>
  <c r="BA580" i="3"/>
  <c r="BA578" i="3"/>
  <c r="BA576" i="3"/>
  <c r="BA574" i="3"/>
  <c r="AZ574" i="3" s="1"/>
  <c r="BA572" i="3"/>
  <c r="AZ572" i="3" s="1"/>
  <c r="BA570" i="3"/>
  <c r="BA568" i="3"/>
  <c r="BA564" i="3"/>
  <c r="BA562" i="3"/>
  <c r="BA560" i="3"/>
  <c r="BA558" i="3"/>
  <c r="BA556" i="3"/>
  <c r="AZ556" i="3"/>
  <c r="BA554" i="3"/>
  <c r="BA552" i="3"/>
  <c r="AZ552" i="3"/>
  <c r="BA538" i="3"/>
  <c r="BA534" i="3"/>
  <c r="BA530" i="3"/>
  <c r="BA522" i="3"/>
  <c r="BA514" i="3"/>
  <c r="BA587" i="3"/>
  <c r="BA583" i="3"/>
  <c r="BA581" i="3"/>
  <c r="BA579" i="3"/>
  <c r="BA577" i="3"/>
  <c r="BA575" i="3"/>
  <c r="BA573" i="3"/>
  <c r="BA571" i="3"/>
  <c r="BA569" i="3"/>
  <c r="BA565" i="3"/>
  <c r="AZ565" i="3" s="1"/>
  <c r="BA563" i="3"/>
  <c r="BA561" i="3"/>
  <c r="BA559" i="3"/>
  <c r="BA555" i="3"/>
  <c r="BA553" i="3"/>
  <c r="BA549" i="3"/>
  <c r="BA541" i="3"/>
  <c r="BA533" i="3"/>
  <c r="BA525" i="3"/>
  <c r="BA515" i="3"/>
  <c r="BA505"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AZ573" i="3" s="1"/>
  <c r="BQ571" i="3"/>
  <c r="BL571" i="3" s="1"/>
  <c r="BQ569" i="3"/>
  <c r="BQ567" i="3"/>
  <c r="BQ565" i="3"/>
  <c r="BL565" i="3" s="1"/>
  <c r="BQ563" i="3"/>
  <c r="BL563" i="3" s="1"/>
  <c r="BQ561" i="3"/>
  <c r="BL561" i="3" s="1"/>
  <c r="BQ559" i="3"/>
  <c r="BL559" i="3" s="1"/>
  <c r="G559" i="3"/>
  <c r="G555" i="3"/>
  <c r="G553" i="3"/>
  <c r="G545" i="3"/>
  <c r="G543" i="3"/>
  <c r="G537" i="3"/>
  <c r="BQ555" i="3"/>
  <c r="BL555" i="3" s="1"/>
  <c r="BQ553" i="3"/>
  <c r="BL553" i="3" s="1"/>
  <c r="AZ553" i="3"/>
  <c r="BQ551" i="3"/>
  <c r="BQ549" i="3"/>
  <c r="BQ547" i="3"/>
  <c r="BQ545" i="3"/>
  <c r="BQ543" i="3"/>
  <c r="BQ541" i="3"/>
  <c r="BQ539" i="3"/>
  <c r="BQ537" i="3"/>
  <c r="BL537" i="3"/>
  <c r="BQ535" i="3"/>
  <c r="BQ533" i="3"/>
  <c r="BQ531" i="3"/>
  <c r="BL531" i="3" s="1"/>
  <c r="BQ529" i="3"/>
  <c r="BQ527" i="3"/>
  <c r="BQ525" i="3"/>
  <c r="BQ523" i="3"/>
  <c r="BA521" i="3"/>
  <c r="AC521" i="3"/>
  <c r="G521" i="3" s="1"/>
  <c r="BQ521" i="3"/>
  <c r="BL521" i="3"/>
  <c r="G517" i="3"/>
  <c r="G515" i="3"/>
  <c r="G513" i="3"/>
  <c r="BQ519" i="3"/>
  <c r="BL519" i="3" s="1"/>
  <c r="BQ517" i="3"/>
  <c r="BQ515" i="3"/>
  <c r="BQ513" i="3"/>
  <c r="BQ511" i="3"/>
  <c r="AC509" i="3"/>
  <c r="AC5" i="3" s="1"/>
  <c r="BQ509" i="3"/>
  <c r="G507" i="3"/>
  <c r="G501" i="3"/>
  <c r="G499" i="3"/>
  <c r="BQ507" i="3"/>
  <c r="BQ505" i="3"/>
  <c r="BQ503" i="3"/>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S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S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W43" i="33" s="1"/>
  <c r="S28" i="31"/>
  <c r="S27" i="31"/>
  <c r="S26" i="31"/>
  <c r="W23" i="35"/>
  <c r="U26" i="37"/>
  <c r="W47" i="34"/>
  <c r="AA13" i="33"/>
  <c r="AC45" i="33"/>
  <c r="W44" i="33"/>
  <c r="U11" i="33"/>
  <c r="U19" i="21"/>
  <c r="W44" i="21"/>
  <c r="AB38" i="21"/>
  <c r="F43" i="33"/>
  <c r="AA43" i="33" s="1"/>
  <c r="W16" i="35"/>
  <c r="H37" i="21"/>
  <c r="U37" i="21" s="1"/>
  <c r="S42" i="21"/>
  <c r="F36" i="35"/>
  <c r="S36" i="35" s="1"/>
  <c r="J9" i="37"/>
  <c r="W9" i="37" s="1"/>
  <c r="H9" i="37"/>
  <c r="U9" i="37" s="1"/>
  <c r="F9" i="37"/>
  <c r="S9" i="37" s="1"/>
  <c r="J12" i="37"/>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H19" i="40"/>
  <c r="U19" i="40" s="1"/>
  <c r="F88" i="40"/>
  <c r="G88" i="40" s="1"/>
  <c r="F19" i="40"/>
  <c r="S19" i="40" s="1"/>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AZ168" i="3" s="1"/>
  <c r="G169" i="3"/>
  <c r="BA171" i="3"/>
  <c r="AZ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67" i="3"/>
  <c r="G534" i="3"/>
  <c r="G530"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AZ154" i="3"/>
  <c r="BA16" i="3"/>
  <c r="AZ16" i="3" s="1"/>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AZ358" i="3" s="1"/>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AZ392" i="3" s="1"/>
  <c r="G393" i="3"/>
  <c r="AZ291" i="3"/>
  <c r="BO5" i="3"/>
  <c r="BM5" i="3"/>
  <c r="BF5" i="3"/>
  <c r="G548" i="3"/>
  <c r="G538" i="3"/>
  <c r="G520" i="3"/>
  <c r="BS5" i="3"/>
  <c r="BP5" i="3"/>
  <c r="BN5" i="3"/>
  <c r="G29" i="6" s="1"/>
  <c r="BI5" i="3"/>
  <c r="BG5" i="3"/>
  <c r="BE5" i="3"/>
  <c r="G17" i="3"/>
  <c r="BA17" i="3"/>
  <c r="BT5" i="3"/>
  <c r="BA15" i="3"/>
  <c r="BR5" i="3"/>
  <c r="G509" i="3"/>
  <c r="BL493" i="3"/>
  <c r="U36" i="40"/>
  <c r="F83" i="43"/>
  <c r="H85" i="43" s="1"/>
  <c r="G85" i="43" s="1"/>
  <c r="F50" i="43"/>
  <c r="H54" i="43" s="1"/>
  <c r="F72" i="43"/>
  <c r="H75" i="43" s="1"/>
  <c r="U17" i="39"/>
  <c r="S14" i="35"/>
  <c r="U43" i="21"/>
  <c r="U35" i="21"/>
  <c r="AC35" i="21"/>
  <c r="G8" i="1"/>
  <c r="G10" i="1"/>
  <c r="AZ563" i="3"/>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27" i="40"/>
  <c r="AB27" i="40" s="1"/>
  <c r="J27" i="40"/>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40" i="34"/>
  <c r="S40" i="34" s="1"/>
  <c r="H44" i="34"/>
  <c r="U44" i="34" s="1"/>
  <c r="AC38" i="39"/>
  <c r="F39" i="39"/>
  <c r="S39" i="39" s="1"/>
  <c r="J39" i="39"/>
  <c r="AC39" i="39" s="1"/>
  <c r="E96" i="39"/>
  <c r="F96" i="39" s="1"/>
  <c r="G96" i="39" s="1"/>
  <c r="C40" i="11"/>
  <c r="F23" i="39"/>
  <c r="AA23" i="39" s="1"/>
  <c r="H27" i="36"/>
  <c r="U27" i="36" s="1"/>
  <c r="F27" i="36"/>
  <c r="AA27" i="36" s="1"/>
  <c r="H33" i="34"/>
  <c r="AB33" i="34" s="1"/>
  <c r="F32" i="37"/>
  <c r="AA32" i="37" s="1"/>
  <c r="H96" i="37"/>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AC39" i="40"/>
  <c r="W39" i="40"/>
  <c r="W12" i="33"/>
  <c r="AC12" i="33"/>
  <c r="BL14" i="3"/>
  <c r="U30" i="33"/>
  <c r="AC13" i="34"/>
  <c r="AA47" i="34"/>
  <c r="S19" i="39"/>
  <c r="F12" i="33"/>
  <c r="H12" i="39"/>
  <c r="U12" i="39" s="1"/>
  <c r="F39" i="40"/>
  <c r="BA14" i="3"/>
  <c r="AZ254" i="3"/>
  <c r="AZ14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AA27" i="40"/>
  <c r="U21"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AC35" i="37"/>
  <c r="S30" i="37"/>
  <c r="AC15" i="37"/>
  <c r="J17" i="37"/>
  <c r="W17" i="37" s="1"/>
  <c r="G73" i="37"/>
  <c r="F17" i="37"/>
  <c r="AA17" i="37" s="1"/>
  <c r="F19" i="37"/>
  <c r="S19" i="37" s="1"/>
  <c r="F79" i="37"/>
  <c r="F23" i="37"/>
  <c r="S23" i="37" s="1"/>
  <c r="U23" i="37"/>
  <c r="U15" i="37"/>
  <c r="AC13" i="37"/>
  <c r="AA13" i="37"/>
  <c r="H10" i="37"/>
  <c r="AB10" i="37" s="1"/>
  <c r="F63" i="37"/>
  <c r="F11" i="37"/>
  <c r="S11" i="37" s="1"/>
  <c r="W25" i="34"/>
  <c r="AC42" i="34"/>
  <c r="AA25" i="34"/>
  <c r="U28" i="34"/>
  <c r="AA29" i="34"/>
  <c r="U15" i="34"/>
  <c r="S13" i="34"/>
  <c r="H10" i="34"/>
  <c r="AB10" i="34" s="1"/>
  <c r="F11" i="34"/>
  <c r="S11"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7" i="33"/>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B47" i="34"/>
  <c r="U25" i="34"/>
  <c r="AC14" i="34"/>
  <c r="AC32" i="34"/>
  <c r="AC29" i="34"/>
  <c r="W29" i="34"/>
  <c r="W46" i="34"/>
  <c r="AC46" i="34"/>
  <c r="S32" i="34"/>
  <c r="AA32" i="34"/>
  <c r="W40" i="34"/>
  <c r="S8" i="34"/>
  <c r="S46" i="34"/>
  <c r="AA46" i="34"/>
  <c r="U14" i="34"/>
  <c r="AB14" i="34"/>
  <c r="W35"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S45" i="21"/>
  <c r="F33" i="21"/>
  <c r="AA33" i="21" s="1"/>
  <c r="J33" i="21"/>
  <c r="AC33" i="21" s="1"/>
  <c r="H33" i="21"/>
  <c r="AB33" i="21" s="1"/>
  <c r="F37" i="21"/>
  <c r="AA37" i="21" s="1"/>
  <c r="AA26" i="21"/>
  <c r="AB14" i="21"/>
  <c r="U40" i="21"/>
  <c r="U13" i="21"/>
  <c r="AB13" i="21"/>
  <c r="S35" i="21"/>
  <c r="J37" i="21"/>
  <c r="W37" i="21" s="1"/>
  <c r="H15" i="21"/>
  <c r="U15" i="21"/>
  <c r="J17" i="21"/>
  <c r="AC17" i="21" s="1"/>
  <c r="AC19" i="21"/>
  <c r="W39" i="21"/>
  <c r="AC14"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W13" i="21"/>
  <c r="W42" i="21"/>
  <c r="AC45" i="21"/>
  <c r="F10" i="21"/>
  <c r="AA10" i="21" s="1"/>
  <c r="K145" i="21"/>
  <c r="W25" i="21"/>
  <c r="S17" i="21"/>
  <c r="AA15"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28" i="67"/>
  <c r="F32" i="67"/>
  <c r="F60" i="67" s="1"/>
  <c r="F28" i="15"/>
  <c r="AA39" i="40"/>
  <c r="S39" i="40"/>
  <c r="S12" i="33"/>
  <c r="AA12" i="33"/>
  <c r="J32" i="39"/>
  <c r="AC32" i="39" s="1"/>
  <c r="H32" i="39"/>
  <c r="AB32" i="39" s="1"/>
  <c r="AA32" i="39"/>
  <c r="S32" i="39"/>
  <c r="AB21" i="39"/>
  <c r="U21" i="39"/>
  <c r="AA21" i="39"/>
  <c r="S21" i="39"/>
  <c r="S17" i="37"/>
  <c r="J19" i="37"/>
  <c r="W19" i="37" s="1"/>
  <c r="AA19" i="37"/>
  <c r="AA23" i="37"/>
  <c r="J23" i="37"/>
  <c r="AC23" i="37" s="1"/>
  <c r="G79" i="37"/>
  <c r="J10" i="37"/>
  <c r="W10" i="37" s="1"/>
  <c r="G63" i="37"/>
  <c r="H63" i="37" s="1"/>
  <c r="I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J27" i="33"/>
  <c r="AC27" i="33" s="1"/>
  <c r="U25" i="33"/>
  <c r="AB25" i="33"/>
  <c r="G87" i="33"/>
  <c r="H87" i="33" s="1"/>
  <c r="I87" i="33" s="1"/>
  <c r="J87" i="33" s="1"/>
  <c r="K87" i="33" s="1"/>
  <c r="L87" i="33" s="1"/>
  <c r="M87" i="33" s="1"/>
  <c r="J25" i="33"/>
  <c r="AC25" i="33" s="1"/>
  <c r="AB23" i="33"/>
  <c r="U23" i="33"/>
  <c r="F23" i="33"/>
  <c r="G85" i="33"/>
  <c r="H19" i="33"/>
  <c r="AB19" i="33" s="1"/>
  <c r="H17" i="33"/>
  <c r="U17" i="33" s="1"/>
  <c r="F17" i="33"/>
  <c r="S17" i="33" s="1"/>
  <c r="W17" i="33"/>
  <c r="AC17" i="33"/>
  <c r="S37" i="21"/>
  <c r="AB15" i="21"/>
  <c r="J23" i="21"/>
  <c r="AC23" i="21" s="1"/>
  <c r="H23" i="21"/>
  <c r="AB23" i="21" s="1"/>
  <c r="S13" i="21"/>
  <c r="AP7" i="1"/>
  <c r="AB45" i="21"/>
  <c r="AA32" i="21"/>
  <c r="S32" i="21"/>
  <c r="AB32" i="21"/>
  <c r="U32" i="21"/>
  <c r="W32" i="39"/>
  <c r="J63" i="37"/>
  <c r="K63" i="37" s="1"/>
  <c r="L63" i="37" s="1"/>
  <c r="M63" i="37" s="1"/>
  <c r="J11" i="37"/>
  <c r="AC11" i="37" s="1"/>
  <c r="J11" i="34"/>
  <c r="W11" i="34" s="1"/>
  <c r="AB36" i="33"/>
  <c r="U19" i="33"/>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M23" i="15"/>
  <c r="E7" i="76"/>
  <c r="E10" i="76"/>
  <c r="F8" i="15"/>
  <c r="F6" i="15"/>
  <c r="B8" i="76"/>
  <c r="F26" i="15"/>
  <c r="E13" i="76"/>
  <c r="M22" i="15"/>
  <c r="AO13" i="1"/>
  <c r="F38" i="15"/>
  <c r="F40" i="15"/>
  <c r="E9" i="76"/>
  <c r="F20" i="31"/>
  <c r="F9" i="15"/>
  <c r="L47" i="15"/>
  <c r="M26" i="15"/>
  <c r="B9" i="76"/>
  <c r="M24" i="15"/>
  <c r="E12" i="76"/>
  <c r="J15" i="15"/>
  <c r="E2" i="69"/>
  <c r="M9" i="15"/>
  <c r="M6" i="15"/>
  <c r="L48" i="67"/>
  <c r="F4" i="73"/>
  <c r="D34" i="9"/>
  <c r="F16" i="15"/>
  <c r="M28" i="15"/>
  <c r="F43" i="67"/>
  <c r="F7" i="67"/>
  <c r="F40" i="67"/>
  <c r="M26" i="67"/>
  <c r="M22" i="67"/>
  <c r="M28" i="67"/>
  <c r="F6" i="67"/>
  <c r="B11" i="76"/>
  <c r="F42" i="67"/>
  <c r="F43" i="15"/>
  <c r="B13" i="76"/>
  <c r="B10" i="76"/>
  <c r="F7" i="15"/>
  <c r="B12" i="76"/>
  <c r="F37" i="15"/>
  <c r="F3" i="73"/>
  <c r="B7" i="76"/>
  <c r="L48" i="15"/>
  <c r="F13" i="15"/>
  <c r="F36" i="15"/>
  <c r="F42" i="15"/>
  <c r="E8" i="76"/>
  <c r="D35" i="9"/>
  <c r="E2" i="68"/>
  <c r="M29" i="15"/>
  <c r="M8" i="15"/>
  <c r="F7" i="73"/>
  <c r="C76" i="15"/>
  <c r="E11" i="76"/>
  <c r="F6" i="73"/>
  <c r="M29" i="67"/>
  <c r="AA27" i="21" l="1"/>
  <c r="S27" i="21"/>
  <c r="AC30" i="21"/>
  <c r="W30" i="21"/>
  <c r="AA17" i="33"/>
  <c r="U32" i="39"/>
  <c r="W9" i="21"/>
  <c r="S25" i="33"/>
  <c r="AC32" i="33"/>
  <c r="AB41" i="33"/>
  <c r="D68" i="9"/>
  <c r="F30" i="69"/>
  <c r="F48" i="69" s="1"/>
  <c r="F31" i="12"/>
  <c r="S14" i="36"/>
  <c r="AB19" i="40"/>
  <c r="AB12" i="39"/>
  <c r="W28" i="37"/>
  <c r="U33" i="34"/>
  <c r="U27" i="40"/>
  <c r="AZ373" i="3"/>
  <c r="AA11" i="39"/>
  <c r="AC31" i="33"/>
  <c r="AC43" i="33"/>
  <c r="AA37" i="37"/>
  <c r="AA39" i="33"/>
  <c r="AZ575" i="3"/>
  <c r="AZ554" i="3"/>
  <c r="AZ560" i="3"/>
  <c r="AZ570" i="3"/>
  <c r="AA14" i="40"/>
  <c r="F28" i="33"/>
  <c r="H46" i="21"/>
  <c r="H40" i="34"/>
  <c r="U40" i="34" s="1"/>
  <c r="AB32" i="33"/>
  <c r="B72" i="43"/>
  <c r="C15" i="39"/>
  <c r="J36" i="35"/>
  <c r="AC36" i="35" s="1"/>
  <c r="H36" i="35"/>
  <c r="W27" i="35"/>
  <c r="AB30" i="37"/>
  <c r="U30" i="37"/>
  <c r="AZ522" i="3"/>
  <c r="S41" i="33"/>
  <c r="AA41" i="33"/>
  <c r="J27" i="21"/>
  <c r="H27" i="21"/>
  <c r="F30" i="21"/>
  <c r="H30" i="21"/>
  <c r="AB35" i="33"/>
  <c r="U35" i="33"/>
  <c r="H23" i="36"/>
  <c r="F23" i="36"/>
  <c r="F32" i="36"/>
  <c r="J32" i="36"/>
  <c r="W32" i="36" s="1"/>
  <c r="S9" i="40"/>
  <c r="AA9" i="40"/>
  <c r="M18" i="15"/>
  <c r="M18" i="67"/>
  <c r="F30" i="11"/>
  <c r="C48" i="11" s="1"/>
  <c r="AC25" i="39"/>
  <c r="S43" i="33"/>
  <c r="AB17" i="37"/>
  <c r="AA34" i="33"/>
  <c r="AZ14" i="3"/>
  <c r="K85" i="43"/>
  <c r="D85" i="43" s="1"/>
  <c r="M85" i="43"/>
  <c r="N85" i="43" s="1"/>
  <c r="AZ391" i="3"/>
  <c r="AZ329" i="3"/>
  <c r="AZ313" i="3"/>
  <c r="AZ327" i="3"/>
  <c r="AA25" i="21"/>
  <c r="H31" i="21"/>
  <c r="J31" i="21"/>
  <c r="F80" i="34"/>
  <c r="G80" i="34" s="1"/>
  <c r="F17" i="34"/>
  <c r="AA17" i="34" s="1"/>
  <c r="W23" i="21"/>
  <c r="AC17" i="37"/>
  <c r="U23" i="21"/>
  <c r="W25" i="33"/>
  <c r="F54" i="9"/>
  <c r="F32" i="15"/>
  <c r="F60" i="15" s="1"/>
  <c r="F52" i="9"/>
  <c r="F30" i="68"/>
  <c r="F48" i="68" s="1"/>
  <c r="S20" i="36"/>
  <c r="U13" i="37"/>
  <c r="AZ369" i="3"/>
  <c r="AZ355" i="3"/>
  <c r="AZ342" i="3"/>
  <c r="AZ394" i="3"/>
  <c r="AZ378" i="3"/>
  <c r="I7" i="34"/>
  <c r="E7" i="34"/>
  <c r="G7" i="34"/>
  <c r="S21" i="40"/>
  <c r="AZ559" i="3"/>
  <c r="AZ583" i="3"/>
  <c r="AZ576" i="3"/>
  <c r="AA14" i="33"/>
  <c r="AC11" i="35"/>
  <c r="J28" i="33"/>
  <c r="F46" i="21"/>
  <c r="S28" i="34"/>
  <c r="W40" i="39"/>
  <c r="E82" i="34"/>
  <c r="J23" i="36"/>
  <c r="H37" i="34"/>
  <c r="U37" i="34" s="1"/>
  <c r="S38" i="39"/>
  <c r="G585" i="3"/>
  <c r="H38" i="40"/>
  <c r="AB38" i="40" s="1"/>
  <c r="G570" i="3"/>
  <c r="BL568" i="3"/>
  <c r="AZ568" i="3" s="1"/>
  <c r="BA567" i="3"/>
  <c r="BA566" i="3"/>
  <c r="BA548" i="3"/>
  <c r="BA547" i="3"/>
  <c r="G547" i="3"/>
  <c r="BL546" i="3"/>
  <c r="BA546" i="3"/>
  <c r="BA545" i="3"/>
  <c r="BA544" i="3"/>
  <c r="AZ544" i="3" s="1"/>
  <c r="BA543" i="3"/>
  <c r="BA542" i="3"/>
  <c r="BL540" i="3"/>
  <c r="AZ540" i="3" s="1"/>
  <c r="BA540" i="3"/>
  <c r="BA539" i="3"/>
  <c r="G539" i="3"/>
  <c r="BL538" i="3"/>
  <c r="AZ538" i="3" s="1"/>
  <c r="BA537" i="3"/>
  <c r="BL536" i="3"/>
  <c r="BA536" i="3"/>
  <c r="BA535" i="3"/>
  <c r="BL534" i="3"/>
  <c r="AZ534" i="3" s="1"/>
  <c r="BL533" i="3"/>
  <c r="BA532" i="3"/>
  <c r="BA531" i="3"/>
  <c r="AZ531" i="3" s="1"/>
  <c r="G531" i="3"/>
  <c r="BL530" i="3"/>
  <c r="AZ530" i="3" s="1"/>
  <c r="BL529" i="3"/>
  <c r="BA529" i="3"/>
  <c r="BL528" i="3"/>
  <c r="BA528" i="3"/>
  <c r="BA527" i="3"/>
  <c r="BA526" i="3"/>
  <c r="BL525" i="3"/>
  <c r="BA524" i="3"/>
  <c r="BA523" i="3"/>
  <c r="G523" i="3"/>
  <c r="BL522" i="3"/>
  <c r="H5" i="3"/>
  <c r="BL520" i="3"/>
  <c r="BA520" i="3"/>
  <c r="BA519" i="3"/>
  <c r="AZ519" i="3" s="1"/>
  <c r="G519" i="3"/>
  <c r="BL518" i="3"/>
  <c r="BA518" i="3"/>
  <c r="G518" i="3"/>
  <c r="BL517" i="3"/>
  <c r="BA517" i="3"/>
  <c r="BL516" i="3"/>
  <c r="BA516" i="3"/>
  <c r="G516" i="3"/>
  <c r="BL514" i="3"/>
  <c r="AZ514" i="3" s="1"/>
  <c r="BA513" i="3"/>
  <c r="BL512" i="3"/>
  <c r="BA512" i="3"/>
  <c r="BA511" i="3"/>
  <c r="G511" i="3"/>
  <c r="BL510" i="3"/>
  <c r="BA510" i="3"/>
  <c r="G510" i="3"/>
  <c r="BL509" i="3"/>
  <c r="BA509" i="3"/>
  <c r="BL508" i="3"/>
  <c r="BA508" i="3"/>
  <c r="AZ508" i="3" s="1"/>
  <c r="BA507" i="3"/>
  <c r="BA506" i="3"/>
  <c r="BL505" i="3"/>
  <c r="BA504" i="3"/>
  <c r="AZ504" i="3" s="1"/>
  <c r="BA503" i="3"/>
  <c r="G503" i="3"/>
  <c r="BL502" i="3"/>
  <c r="BA502" i="3"/>
  <c r="G502" i="3"/>
  <c r="BL501" i="3"/>
  <c r="BA501" i="3"/>
  <c r="BL500" i="3"/>
  <c r="BA500" i="3"/>
  <c r="AZ500" i="3" s="1"/>
  <c r="BA499" i="3"/>
  <c r="BL498" i="3"/>
  <c r="BJ5" i="3"/>
  <c r="BB5" i="3"/>
  <c r="BL497" i="3"/>
  <c r="AZ497" i="3" s="1"/>
  <c r="G497" i="3"/>
  <c r="BL496" i="3"/>
  <c r="BA496" i="3"/>
  <c r="G496" i="3"/>
  <c r="BA495" i="3"/>
  <c r="G495" i="3"/>
  <c r="BL494" i="3"/>
  <c r="BA494" i="3"/>
  <c r="G494" i="3"/>
  <c r="BK5" i="3"/>
  <c r="BA493" i="3"/>
  <c r="AZ493" i="3" s="1"/>
  <c r="BH5" i="3"/>
  <c r="BA13" i="3"/>
  <c r="A15" i="62"/>
  <c r="B61" i="72" s="1"/>
  <c r="G126" i="3"/>
  <c r="BA132" i="3"/>
  <c r="AZ132" i="3" s="1"/>
  <c r="G135" i="3"/>
  <c r="BA145" i="3"/>
  <c r="BA156" i="3"/>
  <c r="AZ156" i="3" s="1"/>
  <c r="BL161" i="3"/>
  <c r="BL169" i="3"/>
  <c r="F9" i="1"/>
  <c r="G9" i="1" s="1"/>
  <c r="G44" i="43"/>
  <c r="BL399" i="3"/>
  <c r="G402" i="3"/>
  <c r="G406" i="3"/>
  <c r="BA422" i="3"/>
  <c r="BL427" i="3"/>
  <c r="G430" i="3"/>
  <c r="BL433" i="3"/>
  <c r="BL434" i="3"/>
  <c r="G437" i="3"/>
  <c r="BL440" i="3"/>
  <c r="BA443" i="3"/>
  <c r="BL451" i="3"/>
  <c r="BA452" i="3"/>
  <c r="BA458" i="3"/>
  <c r="AZ458" i="3" s="1"/>
  <c r="G464" i="3"/>
  <c r="BA464" i="3"/>
  <c r="BA469" i="3"/>
  <c r="AZ469" i="3" s="1"/>
  <c r="BL472" i="3"/>
  <c r="BL479" i="3"/>
  <c r="BA487" i="3"/>
  <c r="BL488" i="3"/>
  <c r="BA319" i="3"/>
  <c r="AZ319" i="3" s="1"/>
  <c r="BL350" i="3"/>
  <c r="BA353" i="3"/>
  <c r="AZ353" i="3" s="1"/>
  <c r="BL353" i="3"/>
  <c r="BL367" i="3"/>
  <c r="BL383" i="3"/>
  <c r="AZ383" i="3" s="1"/>
  <c r="G209" i="3"/>
  <c r="BA209" i="3"/>
  <c r="BL219" i="3"/>
  <c r="G246" i="3"/>
  <c r="BA246" i="3"/>
  <c r="BA252" i="3"/>
  <c r="AZ252" i="3" s="1"/>
  <c r="G256" i="3"/>
  <c r="BA256" i="3"/>
  <c r="AZ256" i="3" s="1"/>
  <c r="BL256" i="3"/>
  <c r="G260" i="3"/>
  <c r="BA265" i="3"/>
  <c r="BL269" i="3"/>
  <c r="BL272" i="3"/>
  <c r="BL273" i="3"/>
  <c r="G284" i="3"/>
  <c r="BA284" i="3"/>
  <c r="G302" i="3"/>
  <c r="BA302" i="3"/>
  <c r="G566" i="3"/>
  <c r="G552" i="3"/>
  <c r="G551" i="3"/>
  <c r="G542" i="3"/>
  <c r="A24" i="51"/>
  <c r="B18" i="72" s="1"/>
  <c r="BA402" i="3"/>
  <c r="BA406" i="3"/>
  <c r="BL409" i="3"/>
  <c r="BA410" i="3"/>
  <c r="BA413" i="3"/>
  <c r="BA420" i="3"/>
  <c r="BA431" i="3"/>
  <c r="BL431" i="3"/>
  <c r="G433" i="3"/>
  <c r="G441" i="3"/>
  <c r="BA441" i="3"/>
  <c r="BL443" i="3"/>
  <c r="G445" i="3"/>
  <c r="BL445" i="3"/>
  <c r="BL446" i="3"/>
  <c r="BA451" i="3"/>
  <c r="BL455" i="3"/>
  <c r="BA456" i="3"/>
  <c r="BA462" i="3"/>
  <c r="AZ462" i="3" s="1"/>
  <c r="BA463" i="3"/>
  <c r="BL465" i="3"/>
  <c r="G467" i="3"/>
  <c r="BL467" i="3"/>
  <c r="BL468" i="3"/>
  <c r="BL470" i="3"/>
  <c r="G472" i="3"/>
  <c r="BA473" i="3"/>
  <c r="AZ473" i="3" s="1"/>
  <c r="G478" i="3"/>
  <c r="BA485" i="3"/>
  <c r="BL487" i="3"/>
  <c r="G488" i="3"/>
  <c r="G489" i="3"/>
  <c r="G311" i="3"/>
  <c r="BL314" i="3"/>
  <c r="AZ314" i="3" s="1"/>
  <c r="G315" i="3"/>
  <c r="BA331" i="3"/>
  <c r="AZ331" i="3" s="1"/>
  <c r="BA349" i="3"/>
  <c r="AZ349" i="3" s="1"/>
  <c r="BL359" i="3"/>
  <c r="AZ359" i="3" s="1"/>
  <c r="BA368" i="3"/>
  <c r="AZ368" i="3" s="1"/>
  <c r="BL368" i="3"/>
  <c r="BA374" i="3"/>
  <c r="AZ374" i="3" s="1"/>
  <c r="G397" i="3"/>
  <c r="BL208" i="3"/>
  <c r="G212" i="3"/>
  <c r="BA216" i="3"/>
  <c r="AZ216" i="3" s="1"/>
  <c r="G218" i="3"/>
  <c r="BL222" i="3"/>
  <c r="BL223" i="3"/>
  <c r="G224" i="3"/>
  <c r="G231" i="3"/>
  <c r="G236" i="3"/>
  <c r="G241" i="3"/>
  <c r="BA241" i="3"/>
  <c r="AZ241" i="3" s="1"/>
  <c r="BL241" i="3"/>
  <c r="BA245" i="3"/>
  <c r="BA250" i="3"/>
  <c r="G253" i="3"/>
  <c r="BA255" i="3"/>
  <c r="BL259" i="3"/>
  <c r="G263" i="3"/>
  <c r="BL264" i="3"/>
  <c r="G267" i="3"/>
  <c r="G268" i="3"/>
  <c r="BA268" i="3"/>
  <c r="BL278" i="3"/>
  <c r="BA283" i="3"/>
  <c r="G286" i="3"/>
  <c r="BA288" i="3"/>
  <c r="BL290" i="3"/>
  <c r="BA401" i="3"/>
  <c r="BL402" i="3"/>
  <c r="BA404" i="3"/>
  <c r="BA405" i="3"/>
  <c r="BL406" i="3"/>
  <c r="G408" i="3"/>
  <c r="BL412" i="3"/>
  <c r="G414" i="3"/>
  <c r="BL419" i="3"/>
  <c r="G421" i="3"/>
  <c r="BA424" i="3"/>
  <c r="G426" i="3"/>
  <c r="G431" i="3"/>
  <c r="BL447" i="3"/>
  <c r="G449" i="3"/>
  <c r="BL449" i="3"/>
  <c r="BL450" i="3"/>
  <c r="BL452" i="3"/>
  <c r="G454" i="3"/>
  <c r="G460" i="3"/>
  <c r="G465" i="3"/>
  <c r="G470" i="3"/>
  <c r="G477" i="3"/>
  <c r="G492" i="3"/>
  <c r="G349" i="3"/>
  <c r="G358" i="3"/>
  <c r="G362" i="3"/>
  <c r="BL365" i="3"/>
  <c r="AZ365" i="3" s="1"/>
  <c r="G366" i="3"/>
  <c r="G374" i="3"/>
  <c r="BL381" i="3"/>
  <c r="AZ381" i="3" s="1"/>
  <c r="G382" i="3"/>
  <c r="BL386" i="3"/>
  <c r="G387" i="3"/>
  <c r="BA388" i="3"/>
  <c r="AZ388" i="3" s="1"/>
  <c r="BL395" i="3"/>
  <c r="G210" i="3"/>
  <c r="BL211" i="3"/>
  <c r="G217" i="3"/>
  <c r="BA218" i="3"/>
  <c r="AZ218" i="3" s="1"/>
  <c r="BL218" i="3"/>
  <c r="BL227" i="3"/>
  <c r="BL228" i="3"/>
  <c r="BA231" i="3"/>
  <c r="BA240" i="3"/>
  <c r="G243" i="3"/>
  <c r="BA244" i="3"/>
  <c r="BL244" i="3"/>
  <c r="G247" i="3"/>
  <c r="G251" i="3"/>
  <c r="G257" i="3"/>
  <c r="BA258" i="3"/>
  <c r="BL262" i="3"/>
  <c r="BL267" i="3"/>
  <c r="G271" i="3"/>
  <c r="G281" i="3"/>
  <c r="BA282" i="3"/>
  <c r="AZ282" i="3" s="1"/>
  <c r="BL282" i="3"/>
  <c r="G285" i="3"/>
  <c r="G295" i="3"/>
  <c r="G299" i="3"/>
  <c r="BL300" i="3"/>
  <c r="BA120" i="3"/>
  <c r="AZ120" i="3" s="1"/>
  <c r="BA133" i="3"/>
  <c r="BL135" i="3"/>
  <c r="AZ135" i="3" s="1"/>
  <c r="BA148" i="3"/>
  <c r="AZ148" i="3" s="1"/>
  <c r="G155" i="3"/>
  <c r="BA157" i="3"/>
  <c r="BA201" i="3"/>
  <c r="D31" i="71"/>
  <c r="C32" i="71"/>
  <c r="C60" i="71"/>
  <c r="D59" i="71"/>
  <c r="BL158" i="3"/>
  <c r="G159" i="3"/>
  <c r="BL162" i="3"/>
  <c r="BA169" i="3"/>
  <c r="AZ169" i="3" s="1"/>
  <c r="G171" i="3"/>
  <c r="BL175" i="3"/>
  <c r="AZ175" i="3" s="1"/>
  <c r="BA177" i="3"/>
  <c r="G180" i="3"/>
  <c r="G184" i="3"/>
  <c r="BL195" i="3"/>
  <c r="AZ195" i="3" s="1"/>
  <c r="BA196" i="3"/>
  <c r="AZ196" i="3" s="1"/>
  <c r="BL205" i="3"/>
  <c r="BA207" i="3"/>
  <c r="BA25" i="3"/>
  <c r="G32" i="3"/>
  <c r="G35" i="3"/>
  <c r="BA40" i="3"/>
  <c r="BA55" i="3"/>
  <c r="G61" i="3"/>
  <c r="BA65" i="3"/>
  <c r="AZ65" i="3" s="1"/>
  <c r="BL65" i="3"/>
  <c r="BL66" i="3"/>
  <c r="BA72" i="3"/>
  <c r="AZ72" i="3" s="1"/>
  <c r="BL72" i="3"/>
  <c r="G74" i="3"/>
  <c r="G79" i="3"/>
  <c r="BL91" i="3"/>
  <c r="G93" i="3"/>
  <c r="BA97" i="3"/>
  <c r="BL101" i="3"/>
  <c r="BL102" i="3"/>
  <c r="AC18" i="35"/>
  <c r="W18" i="36"/>
  <c r="B77" i="43"/>
  <c r="AA18" i="35"/>
  <c r="D43" i="71"/>
  <c r="Q68" i="71"/>
  <c r="C39" i="71"/>
  <c r="C40" i="71" s="1"/>
  <c r="B47" i="71"/>
  <c r="B48" i="71" s="1"/>
  <c r="S48" i="71" s="1"/>
  <c r="C23" i="71"/>
  <c r="B22" i="71"/>
  <c r="B21" i="71" s="1"/>
  <c r="B20" i="71" s="1"/>
  <c r="BA176" i="3"/>
  <c r="AZ176" i="3" s="1"/>
  <c r="BA184" i="3"/>
  <c r="AZ184" i="3" s="1"/>
  <c r="BL186" i="3"/>
  <c r="BA190" i="3"/>
  <c r="BA36" i="3"/>
  <c r="BL38" i="3"/>
  <c r="BA39" i="3"/>
  <c r="BA43" i="3"/>
  <c r="BA47" i="3"/>
  <c r="AZ47" i="3" s="1"/>
  <c r="BL52" i="3"/>
  <c r="BA53" i="3"/>
  <c r="BA54" i="3"/>
  <c r="BL64" i="3"/>
  <c r="BA70" i="3"/>
  <c r="AZ70" i="3" s="1"/>
  <c r="BL70" i="3"/>
  <c r="BL71" i="3"/>
  <c r="BL76" i="3"/>
  <c r="BL82" i="3"/>
  <c r="AZ82" i="3" s="1"/>
  <c r="BA88" i="3"/>
  <c r="BA89" i="3"/>
  <c r="BA95" i="3"/>
  <c r="BL110" i="3"/>
  <c r="BL111" i="3"/>
  <c r="D71" i="71"/>
  <c r="AA28" i="71"/>
  <c r="D80" i="71"/>
  <c r="Y37" i="71"/>
  <c r="Z37" i="71" s="1"/>
  <c r="B63" i="71"/>
  <c r="B64" i="71" s="1"/>
  <c r="S64" i="71" s="1"/>
  <c r="B75" i="71"/>
  <c r="B74" i="71" s="1"/>
  <c r="BA293" i="3"/>
  <c r="BL293" i="3"/>
  <c r="BL294" i="3"/>
  <c r="BA297" i="3"/>
  <c r="BL297" i="3"/>
  <c r="BA301" i="3"/>
  <c r="BL127" i="3"/>
  <c r="AZ127" i="3" s="1"/>
  <c r="BA130" i="3"/>
  <c r="BL130" i="3"/>
  <c r="BA134" i="3"/>
  <c r="G138" i="3"/>
  <c r="BL138" i="3"/>
  <c r="BA140" i="3"/>
  <c r="AZ140" i="3" s="1"/>
  <c r="BA142" i="3"/>
  <c r="G146" i="3"/>
  <c r="G147" i="3"/>
  <c r="BA160" i="3"/>
  <c r="AZ160" i="3" s="1"/>
  <c r="BA162" i="3"/>
  <c r="BL166" i="3"/>
  <c r="G170" i="3"/>
  <c r="BL173" i="3"/>
  <c r="G174" i="3"/>
  <c r="G178" i="3"/>
  <c r="BL181" i="3"/>
  <c r="G182" i="3"/>
  <c r="G186" i="3"/>
  <c r="G192" i="3"/>
  <c r="G199" i="3"/>
  <c r="BA22" i="3"/>
  <c r="G25" i="3"/>
  <c r="BA30" i="3"/>
  <c r="G42" i="3"/>
  <c r="BL44" i="3"/>
  <c r="G45" i="3"/>
  <c r="G51" i="3"/>
  <c r="G52" i="3"/>
  <c r="BA52" i="3"/>
  <c r="BA62" i="3"/>
  <c r="AZ62" i="3" s="1"/>
  <c r="BL62" i="3"/>
  <c r="BL63" i="3"/>
  <c r="BL69" i="3"/>
  <c r="G70" i="3"/>
  <c r="BL83" i="3"/>
  <c r="G86" i="3"/>
  <c r="BA87" i="3"/>
  <c r="BA92" i="3"/>
  <c r="BA94" i="3"/>
  <c r="AZ94" i="3" s="1"/>
  <c r="BL94" i="3"/>
  <c r="G96" i="3"/>
  <c r="G106" i="3"/>
  <c r="BL106" i="3"/>
  <c r="BA108" i="3"/>
  <c r="G110" i="3"/>
  <c r="C21" i="68"/>
  <c r="AC21" i="33"/>
  <c r="U29" i="39"/>
  <c r="S18" i="36"/>
  <c r="T44" i="71"/>
  <c r="C78" i="71"/>
  <c r="D78" i="71" s="1"/>
  <c r="Q67" i="71"/>
  <c r="E40" i="71"/>
  <c r="U40" i="71" s="1"/>
  <c r="X26" i="71"/>
  <c r="F75" i="71"/>
  <c r="F74" i="71" s="1"/>
  <c r="J43" i="34"/>
  <c r="W43" i="34" s="1"/>
  <c r="H43" i="34"/>
  <c r="AB43" i="34" s="1"/>
  <c r="F43" i="34"/>
  <c r="AA43" i="34" s="1"/>
  <c r="W41" i="34"/>
  <c r="J39" i="34"/>
  <c r="W39" i="34" s="1"/>
  <c r="F39" i="34"/>
  <c r="AA39" i="34" s="1"/>
  <c r="H39" i="34"/>
  <c r="AB39" i="34" s="1"/>
  <c r="F86" i="34"/>
  <c r="G86" i="34" s="1"/>
  <c r="J23" i="34"/>
  <c r="F23" i="34"/>
  <c r="AA23" i="34" s="1"/>
  <c r="H23" i="34"/>
  <c r="U23" i="34" s="1"/>
  <c r="S37" i="34"/>
  <c r="W44" i="34"/>
  <c r="U38" i="34"/>
  <c r="AC38" i="34"/>
  <c r="S44" i="34"/>
  <c r="AA33" i="34"/>
  <c r="S30" i="34"/>
  <c r="AA30" i="34"/>
  <c r="AB32" i="34"/>
  <c r="J30" i="34"/>
  <c r="AB30" i="34"/>
  <c r="U27" i="34"/>
  <c r="AA31" i="34"/>
  <c r="U21" i="34"/>
  <c r="AB17" i="34"/>
  <c r="S17" i="34"/>
  <c r="W15" i="34"/>
  <c r="AB8" i="34"/>
  <c r="AB45" i="34"/>
  <c r="AA45" i="34"/>
  <c r="U43" i="34"/>
  <c r="AB41" i="34"/>
  <c r="AB40" i="34"/>
  <c r="AA40" i="34"/>
  <c r="AC36" i="34"/>
  <c r="S36" i="34"/>
  <c r="AB36" i="34"/>
  <c r="AB35" i="34"/>
  <c r="S35" i="34"/>
  <c r="W33" i="34"/>
  <c r="W8" i="34"/>
  <c r="H69" i="43"/>
  <c r="C40" i="68"/>
  <c r="BD5" i="3"/>
  <c r="J1" i="73"/>
  <c r="B69" i="43"/>
  <c r="C29" i="39"/>
  <c r="C25" i="39"/>
  <c r="B79" i="43"/>
  <c r="B57" i="43"/>
  <c r="AC38" i="37"/>
  <c r="W38" i="37"/>
  <c r="BL567" i="3"/>
  <c r="AZ566" i="3"/>
  <c r="BL551" i="3"/>
  <c r="AZ546" i="3"/>
  <c r="BL545" i="3"/>
  <c r="AZ542" i="3"/>
  <c r="BL541" i="3"/>
  <c r="AZ541" i="3" s="1"/>
  <c r="AZ537" i="3"/>
  <c r="AZ536" i="3"/>
  <c r="AZ533" i="3"/>
  <c r="AZ532" i="3"/>
  <c r="AZ529" i="3"/>
  <c r="AZ528" i="3"/>
  <c r="AZ526" i="3"/>
  <c r="AZ525" i="3"/>
  <c r="AZ524" i="3"/>
  <c r="AZ520" i="3"/>
  <c r="AZ518" i="3"/>
  <c r="AZ516" i="3"/>
  <c r="BL513" i="3"/>
  <c r="AZ513" i="3" s="1"/>
  <c r="AZ512" i="3"/>
  <c r="AZ509" i="3"/>
  <c r="AZ506" i="3"/>
  <c r="AZ505" i="3"/>
  <c r="AZ501" i="3"/>
  <c r="AZ499" i="3"/>
  <c r="AZ496" i="3"/>
  <c r="W27" i="33"/>
  <c r="W23" i="37"/>
  <c r="AB9" i="21"/>
  <c r="W17" i="21"/>
  <c r="AZ379" i="3"/>
  <c r="AA15" i="37"/>
  <c r="S15" i="37"/>
  <c r="AB46" i="33"/>
  <c r="U46" i="33"/>
  <c r="AC37" i="37"/>
  <c r="W37" i="37"/>
  <c r="AA11" i="36"/>
  <c r="S11" i="36"/>
  <c r="AB32" i="36"/>
  <c r="U32" i="36"/>
  <c r="D6" i="52"/>
  <c r="AA23" i="21"/>
  <c r="AA19" i="33"/>
  <c r="AC15" i="21"/>
  <c r="W11" i="39"/>
  <c r="AC11" i="39"/>
  <c r="AZ521" i="3"/>
  <c r="AZ558" i="3"/>
  <c r="AC40" i="37"/>
  <c r="W40" i="37"/>
  <c r="AA45" i="33"/>
  <c r="S45" i="33"/>
  <c r="W28" i="21"/>
  <c r="AC28" i="21"/>
  <c r="AC27" i="40"/>
  <c r="W27" i="40"/>
  <c r="W12" i="37"/>
  <c r="AC12" i="37"/>
  <c r="AB14" i="40"/>
  <c r="U14" i="40"/>
  <c r="J12" i="36"/>
  <c r="H12" i="36"/>
  <c r="F12" i="36"/>
  <c r="AC25" i="37"/>
  <c r="W25" i="37"/>
  <c r="J39" i="37"/>
  <c r="H39" i="37"/>
  <c r="BA551" i="3"/>
  <c r="AZ551" i="3" s="1"/>
  <c r="BA550" i="3"/>
  <c r="BL548" i="3"/>
  <c r="AZ548" i="3" s="1"/>
  <c r="AC17" i="34"/>
  <c r="AZ345" i="3"/>
  <c r="AZ334" i="3"/>
  <c r="AZ372" i="3"/>
  <c r="AZ337" i="3"/>
  <c r="AZ376" i="3"/>
  <c r="AZ309" i="3"/>
  <c r="AZ549" i="3"/>
  <c r="BL503" i="3"/>
  <c r="AZ503" i="3" s="1"/>
  <c r="BL515" i="3"/>
  <c r="AZ515" i="3" s="1"/>
  <c r="BL523" i="3"/>
  <c r="AZ523" i="3" s="1"/>
  <c r="BL527" i="3"/>
  <c r="AZ527" i="3" s="1"/>
  <c r="BL547" i="3"/>
  <c r="AZ547" i="3" s="1"/>
  <c r="AZ561" i="3"/>
  <c r="BL569" i="3"/>
  <c r="AZ569" i="3" s="1"/>
  <c r="AZ571" i="3"/>
  <c r="AZ579" i="3"/>
  <c r="BA498" i="3"/>
  <c r="AZ498" i="3" s="1"/>
  <c r="H28" i="21"/>
  <c r="W40" i="33"/>
  <c r="U34" i="21"/>
  <c r="BC5" i="3"/>
  <c r="AZ387" i="3"/>
  <c r="AZ362" i="3"/>
  <c r="AZ338" i="3"/>
  <c r="AZ390" i="3"/>
  <c r="AZ371" i="3"/>
  <c r="AZ351" i="3"/>
  <c r="AZ336" i="3"/>
  <c r="AZ305" i="3"/>
  <c r="AZ360" i="3"/>
  <c r="F12" i="37"/>
  <c r="S12" i="37" s="1"/>
  <c r="BL511" i="3"/>
  <c r="AZ511" i="3" s="1"/>
  <c r="BL539" i="3"/>
  <c r="AZ539" i="3" s="1"/>
  <c r="BL543" i="3"/>
  <c r="AZ543" i="3" s="1"/>
  <c r="AZ564" i="3"/>
  <c r="AZ580" i="3"/>
  <c r="AB45" i="33"/>
  <c r="AC11" i="40"/>
  <c r="H35" i="39"/>
  <c r="J35" i="39"/>
  <c r="AC35" i="39" s="1"/>
  <c r="F29" i="6"/>
  <c r="AZ318" i="3"/>
  <c r="AZ306" i="3"/>
  <c r="BL535" i="3"/>
  <c r="AZ535" i="3" s="1"/>
  <c r="AZ577" i="3"/>
  <c r="AZ582" i="3"/>
  <c r="F39" i="37"/>
  <c r="S39" i="37" s="1"/>
  <c r="B97" i="43"/>
  <c r="B75" i="43"/>
  <c r="W41" i="33"/>
  <c r="AC28" i="36"/>
  <c r="W28" i="36"/>
  <c r="U34" i="40"/>
  <c r="U9" i="40"/>
  <c r="W33" i="33"/>
  <c r="BL587" i="3"/>
  <c r="AZ587" i="3" s="1"/>
  <c r="BL586" i="3"/>
  <c r="AZ586" i="3" s="1"/>
  <c r="AC31" i="35"/>
  <c r="H34" i="36"/>
  <c r="H25" i="37"/>
  <c r="F9" i="34"/>
  <c r="AA9" i="34" s="1"/>
  <c r="J9" i="34"/>
  <c r="J12" i="34"/>
  <c r="H12" i="34"/>
  <c r="BL550" i="3"/>
  <c r="AZ443" i="3"/>
  <c r="F31" i="39"/>
  <c r="U38" i="40"/>
  <c r="BL585" i="3"/>
  <c r="AZ585" i="3" s="1"/>
  <c r="H9" i="34"/>
  <c r="AZ402" i="3"/>
  <c r="AZ406" i="3"/>
  <c r="AZ451" i="3"/>
  <c r="G574" i="3"/>
  <c r="BL15" i="3"/>
  <c r="AZ15" i="3" s="1"/>
  <c r="BA398" i="3"/>
  <c r="BA399" i="3"/>
  <c r="AZ399" i="3" s="1"/>
  <c r="BL401" i="3"/>
  <c r="AZ401" i="3" s="1"/>
  <c r="BL404" i="3"/>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BA457" i="3"/>
  <c r="BA459" i="3"/>
  <c r="BA460" i="3"/>
  <c r="BA461" i="3"/>
  <c r="BL464" i="3"/>
  <c r="AZ464" i="3" s="1"/>
  <c r="BL466" i="3"/>
  <c r="AZ466" i="3" s="1"/>
  <c r="G468" i="3"/>
  <c r="G469" i="3"/>
  <c r="BL476" i="3"/>
  <c r="BL477" i="3"/>
  <c r="BL478" i="3"/>
  <c r="G479" i="3"/>
  <c r="G480" i="3"/>
  <c r="BL480" i="3"/>
  <c r="G482" i="3"/>
  <c r="BA483" i="3"/>
  <c r="BL483" i="3"/>
  <c r="BA486" i="3"/>
  <c r="BL489" i="3"/>
  <c r="BL491" i="3"/>
  <c r="BL492" i="3"/>
  <c r="G307" i="3"/>
  <c r="BA315" i="3"/>
  <c r="AZ315" i="3" s="1"/>
  <c r="BA333" i="3"/>
  <c r="BL346" i="3"/>
  <c r="AZ346" i="3" s="1"/>
  <c r="BA384" i="3"/>
  <c r="AZ384" i="3" s="1"/>
  <c r="BA395" i="3"/>
  <c r="AZ395" i="3" s="1"/>
  <c r="BA208" i="3"/>
  <c r="AZ208" i="3" s="1"/>
  <c r="BA211" i="3"/>
  <c r="AZ211" i="3" s="1"/>
  <c r="BL213" i="3"/>
  <c r="BL215" i="3"/>
  <c r="G220" i="3"/>
  <c r="BL220" i="3"/>
  <c r="BL221" i="3"/>
  <c r="G222" i="3"/>
  <c r="BA230" i="3"/>
  <c r="AZ230" i="3" s="1"/>
  <c r="BA236" i="3"/>
  <c r="AZ404" i="3"/>
  <c r="AZ405" i="3"/>
  <c r="AZ419" i="3"/>
  <c r="AZ476" i="3"/>
  <c r="AZ480" i="3"/>
  <c r="BA482" i="3"/>
  <c r="BA303" i="3"/>
  <c r="AZ303" i="3" s="1"/>
  <c r="BA307" i="3"/>
  <c r="AZ307" i="3" s="1"/>
  <c r="BA332" i="3"/>
  <c r="BL332" i="3"/>
  <c r="G364" i="3"/>
  <c r="BA367" i="3"/>
  <c r="AZ367" i="3" s="1"/>
  <c r="BA370" i="3"/>
  <c r="AZ370" i="3" s="1"/>
  <c r="BA386" i="3"/>
  <c r="AZ386" i="3" s="1"/>
  <c r="BA223" i="3"/>
  <c r="AZ223" i="3" s="1"/>
  <c r="BL234" i="3"/>
  <c r="G558" i="3"/>
  <c r="G398" i="3"/>
  <c r="G399" i="3"/>
  <c r="BL400" i="3"/>
  <c r="AZ400" i="3" s="1"/>
  <c r="BL408" i="3"/>
  <c r="BL411" i="3"/>
  <c r="BL413" i="3"/>
  <c r="AZ413" i="3" s="1"/>
  <c r="G415" i="3"/>
  <c r="G416" i="3"/>
  <c r="BL417" i="3"/>
  <c r="BL418" i="3"/>
  <c r="BL420" i="3"/>
  <c r="G422"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A221" i="3"/>
  <c r="BL224" i="3"/>
  <c r="G225" i="3"/>
  <c r="BL225" i="3"/>
  <c r="BL226" i="3"/>
  <c r="G227" i="3"/>
  <c r="BL232" i="3"/>
  <c r="BL237" i="3"/>
  <c r="BL398" i="3"/>
  <c r="BL403" i="3"/>
  <c r="AZ403" i="3" s="1"/>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BA446" i="3"/>
  <c r="BA450" i="3"/>
  <c r="BA453" i="3"/>
  <c r="BA455" i="3"/>
  <c r="AZ455" i="3" s="1"/>
  <c r="BL457" i="3"/>
  <c r="BL460" i="3"/>
  <c r="BL461" i="3"/>
  <c r="BL463" i="3"/>
  <c r="BA471" i="3"/>
  <c r="AZ471" i="3" s="1"/>
  <c r="BL217" i="3"/>
  <c r="AZ217" i="3" s="1"/>
  <c r="BA219" i="3"/>
  <c r="AZ219" i="3" s="1"/>
  <c r="BA228" i="3"/>
  <c r="AZ228" i="3" s="1"/>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BL167" i="3"/>
  <c r="AZ167" i="3" s="1"/>
  <c r="G175" i="3"/>
  <c r="G176" i="3"/>
  <c r="BL178" i="3"/>
  <c r="AZ178" i="3" s="1"/>
  <c r="BA180" i="3"/>
  <c r="AZ180" i="3" s="1"/>
  <c r="BL182" i="3"/>
  <c r="G183" i="3"/>
  <c r="BA185" i="3"/>
  <c r="G190" i="3"/>
  <c r="BL193" i="3"/>
  <c r="G194" i="3"/>
  <c r="BL194" i="3"/>
  <c r="AZ194" i="3" s="1"/>
  <c r="BA198" i="3"/>
  <c r="AZ198" i="3" s="1"/>
  <c r="AZ25" i="3"/>
  <c r="BL3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205" i="3"/>
  <c r="AZ205" i="3" s="1"/>
  <c r="BA19" i="3"/>
  <c r="AZ270" i="3"/>
  <c r="AZ284" i="3"/>
  <c r="BL170" i="3"/>
  <c r="BA173" i="3"/>
  <c r="AZ173" i="3" s="1"/>
  <c r="BA174" i="3"/>
  <c r="BL179" i="3"/>
  <c r="AZ179" i="3" s="1"/>
  <c r="BA181" i="3"/>
  <c r="AZ181" i="3" s="1"/>
  <c r="BA182" i="3"/>
  <c r="BL185" i="3"/>
  <c r="BL191" i="3"/>
  <c r="AZ191" i="3" s="1"/>
  <c r="BA193" i="3"/>
  <c r="BL24" i="3"/>
  <c r="C55" i="71"/>
  <c r="D54" i="71"/>
  <c r="BA238" i="3"/>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G154" i="3"/>
  <c r="G156" i="3"/>
  <c r="BL157" i="3"/>
  <c r="AZ157" i="3" s="1"/>
  <c r="BL159" i="3"/>
  <c r="AZ159" i="3" s="1"/>
  <c r="G160" i="3"/>
  <c r="BL177" i="3"/>
  <c r="AZ177" i="3" s="1"/>
  <c r="G179" i="3"/>
  <c r="BL183" i="3"/>
  <c r="AZ183" i="3" s="1"/>
  <c r="BA186" i="3"/>
  <c r="AZ186" i="3" s="1"/>
  <c r="BL23" i="3"/>
  <c r="BL35" i="3"/>
  <c r="AZ52" i="3"/>
  <c r="AB21" i="37"/>
  <c r="U21" i="37"/>
  <c r="P65" i="71"/>
  <c r="P66" i="71"/>
  <c r="AB25" i="71"/>
  <c r="AB28" i="71"/>
  <c r="AB26" i="71"/>
  <c r="T40" i="71"/>
  <c r="D40" i="71"/>
  <c r="C47" i="71"/>
  <c r="D47" i="71" s="1"/>
  <c r="D46" i="71"/>
  <c r="C64" i="71"/>
  <c r="D63" i="71"/>
  <c r="T76" i="71"/>
  <c r="D76" i="71"/>
  <c r="C75" i="71"/>
  <c r="Y27" i="71"/>
  <c r="Z27" i="71" s="1"/>
  <c r="Y26" i="71"/>
  <c r="Z26" i="71" s="1"/>
  <c r="AA3" i="7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AZ41" i="3" s="1"/>
  <c r="BA42" i="3"/>
  <c r="G46" i="3"/>
  <c r="G47" i="3"/>
  <c r="BL48" i="3"/>
  <c r="BL54" i="3"/>
  <c r="BL55" i="3"/>
  <c r="AZ55" i="3" s="1"/>
  <c r="G57" i="3"/>
  <c r="G58" i="3"/>
  <c r="BA59" i="3"/>
  <c r="BL61" i="3"/>
  <c r="G64" i="3"/>
  <c r="BA64" i="3"/>
  <c r="AZ64" i="3" s="1"/>
  <c r="G67" i="3"/>
  <c r="BL68" i="3"/>
  <c r="BA69" i="3"/>
  <c r="AZ69" i="3" s="1"/>
  <c r="G72" i="3"/>
  <c r="BL73" i="3"/>
  <c r="BA74" i="3"/>
  <c r="AZ74" i="3" s="1"/>
  <c r="BA75" i="3"/>
  <c r="AZ75" i="3" s="1"/>
  <c r="G81" i="3"/>
  <c r="G85" i="3"/>
  <c r="BL85" i="3"/>
  <c r="BA86" i="3"/>
  <c r="BL97" i="3"/>
  <c r="AZ97" i="3" s="1"/>
  <c r="G103" i="3"/>
  <c r="BA103" i="3"/>
  <c r="AZ103" i="3" s="1"/>
  <c r="BA104" i="3"/>
  <c r="BA106" i="3"/>
  <c r="BL108" i="3"/>
  <c r="AZ108" i="3" s="1"/>
  <c r="W21" i="21"/>
  <c r="U21" i="33"/>
  <c r="AB21" i="33"/>
  <c r="C86" i="71"/>
  <c r="D86" i="71" s="1"/>
  <c r="D87" i="71"/>
  <c r="B66" i="71"/>
  <c r="Y29" i="71"/>
  <c r="Z29" i="71" s="1"/>
  <c r="B35" i="71"/>
  <c r="B36" i="71" s="1"/>
  <c r="S36" i="71" s="1"/>
  <c r="B27" i="71"/>
  <c r="B26" i="71" s="1"/>
  <c r="S28" i="71"/>
  <c r="AB34" i="71"/>
  <c r="AB33" i="71"/>
  <c r="AB35" i="71"/>
  <c r="AA38" i="71"/>
  <c r="AA37" i="71"/>
  <c r="AA27" i="71"/>
  <c r="E59" i="71"/>
  <c r="E60" i="71" s="1"/>
  <c r="U60" i="71" s="1"/>
  <c r="S80" i="71"/>
  <c r="B79" i="71"/>
  <c r="B78" i="71" s="1"/>
  <c r="BA27" i="3"/>
  <c r="BL30" i="3"/>
  <c r="BL31" i="3"/>
  <c r="BL40" i="3"/>
  <c r="BL41" i="3"/>
  <c r="BL45" i="3"/>
  <c r="BA48" i="3"/>
  <c r="BA49" i="3"/>
  <c r="BA51" i="3"/>
  <c r="BL56" i="3"/>
  <c r="BA58" i="3"/>
  <c r="BL59" i="3"/>
  <c r="BL60" i="3"/>
  <c r="BA61" i="3"/>
  <c r="AZ61" i="3" s="1"/>
  <c r="BA68" i="3"/>
  <c r="BA73" i="3"/>
  <c r="BA80" i="3"/>
  <c r="G84" i="3"/>
  <c r="BL84" i="3"/>
  <c r="BA90" i="3"/>
  <c r="BA109" i="3"/>
  <c r="F3" i="35"/>
  <c r="T32" i="71"/>
  <c r="D32" i="71"/>
  <c r="C51" i="71"/>
  <c r="X33" i="71"/>
  <c r="X34" i="71"/>
  <c r="X36" i="71"/>
  <c r="X35" i="71"/>
  <c r="AB37" i="71"/>
  <c r="F38" i="71"/>
  <c r="F39" i="71" s="1"/>
  <c r="F40" i="71" s="1"/>
  <c r="V40" i="71"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AB27" i="71"/>
  <c r="Y25" i="71"/>
  <c r="Z25" i="71" s="1"/>
  <c r="AA35" i="71"/>
  <c r="AB32" i="71"/>
  <c r="Y30" i="71"/>
  <c r="Z30" i="71" s="1"/>
  <c r="C34" i="71"/>
  <c r="Y28" i="71"/>
  <c r="Z28" i="71" s="1"/>
  <c r="Y35" i="71"/>
  <c r="Z35" i="71" s="1"/>
  <c r="C67" i="71"/>
  <c r="T68" i="71"/>
  <c r="O68" i="71"/>
  <c r="X25" i="71"/>
  <c r="V24" i="71"/>
  <c r="E23" i="71"/>
  <c r="E22" i="71" s="1"/>
  <c r="E21" i="71" s="1"/>
  <c r="E20" i="71" s="1"/>
  <c r="V20" i="71" s="1"/>
  <c r="X28" i="71"/>
  <c r="X32" i="71"/>
  <c r="BL88" i="3"/>
  <c r="AZ88" i="3" s="1"/>
  <c r="G90" i="3"/>
  <c r="BL90" i="3"/>
  <c r="BL92" i="3"/>
  <c r="AZ92" i="3" s="1"/>
  <c r="G101" i="3"/>
  <c r="BA101" i="3"/>
  <c r="AZ101" i="3" s="1"/>
  <c r="G108" i="3"/>
  <c r="G109" i="3"/>
  <c r="BL112" i="3"/>
  <c r="U25" i="40"/>
  <c r="S21" i="34"/>
  <c r="B68" i="43"/>
  <c r="B88" i="43"/>
  <c r="D39" i="71"/>
  <c r="C27" i="71"/>
  <c r="U68" i="71"/>
  <c r="D30" i="71"/>
  <c r="X31" i="71"/>
  <c r="F35" i="71"/>
  <c r="F36" i="71" s="1"/>
  <c r="V36" i="71" s="1"/>
  <c r="AA34" i="71"/>
  <c r="B51" i="71"/>
  <c r="B52" i="71" s="1"/>
  <c r="S52" i="71" s="1"/>
  <c r="E51" i="71"/>
  <c r="E52" i="71" s="1"/>
  <c r="U52" i="71" s="1"/>
  <c r="BA111" i="3"/>
  <c r="AZ111" i="3" s="1"/>
  <c r="AC21" i="37"/>
  <c r="D28" i="71"/>
  <c r="U28" i="71" s="1"/>
  <c r="AA30" i="71"/>
  <c r="F31" i="71"/>
  <c r="F32" i="71" s="1"/>
  <c r="V32" i="71" s="1"/>
  <c r="AB31" i="71"/>
  <c r="AB36" i="71"/>
  <c r="AA36" i="71"/>
  <c r="Y38" i="71"/>
  <c r="Z3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F71" i="67"/>
  <c r="C27" i="15"/>
  <c r="F65" i="15"/>
  <c r="B13" i="70"/>
  <c r="M7" i="67"/>
  <c r="F50" i="67"/>
  <c r="F68" i="67"/>
  <c r="F68" i="15"/>
  <c r="C36" i="68"/>
  <c r="D9" i="69"/>
  <c r="C36" i="69"/>
  <c r="D9" i="68"/>
  <c r="F38" i="67"/>
  <c r="M24" i="67"/>
  <c r="M23" i="67"/>
  <c r="M9" i="67"/>
  <c r="C16" i="15"/>
  <c r="F26" i="67"/>
  <c r="F8" i="67"/>
  <c r="C76" i="67"/>
  <c r="M8" i="67"/>
  <c r="F36" i="67"/>
  <c r="J15" i="67"/>
  <c r="M6" i="67"/>
  <c r="F13" i="67"/>
  <c r="D4" i="73"/>
  <c r="D5" i="73"/>
  <c r="D6" i="73"/>
  <c r="F9" i="67"/>
  <c r="L47" i="67"/>
  <c r="F37" i="67"/>
  <c r="F16" i="67"/>
  <c r="D3" i="73"/>
  <c r="D7" i="73"/>
  <c r="F65" i="67" l="1"/>
  <c r="N59" i="67"/>
  <c r="L58" i="67"/>
  <c r="M59" i="67"/>
  <c r="L59" i="67"/>
  <c r="F64" i="67"/>
  <c r="Q71" i="67"/>
  <c r="C6" i="67"/>
  <c r="F51" i="67"/>
  <c r="C27" i="67"/>
  <c r="F66" i="67"/>
  <c r="M88" i="43"/>
  <c r="N88" i="43" s="1"/>
  <c r="K88" i="43"/>
  <c r="J88" i="43" s="1"/>
  <c r="D88" i="43" s="1"/>
  <c r="M86" i="43"/>
  <c r="N86" i="43" s="1"/>
  <c r="K86" i="43"/>
  <c r="AZ461" i="3"/>
  <c r="AZ454" i="3"/>
  <c r="AZ425" i="3"/>
  <c r="AZ162" i="3"/>
  <c r="C22" i="71"/>
  <c r="D23" i="71"/>
  <c r="AZ487" i="3"/>
  <c r="F82" i="34"/>
  <c r="G82" i="34" s="1"/>
  <c r="J19" i="34"/>
  <c r="H19" i="34"/>
  <c r="W28" i="33"/>
  <c r="AC28" i="33"/>
  <c r="AB31" i="21"/>
  <c r="U31" i="21"/>
  <c r="AB27" i="21"/>
  <c r="U27" i="21"/>
  <c r="AA28" i="33"/>
  <c r="S28" i="33"/>
  <c r="J6" i="67"/>
  <c r="K89" i="43"/>
  <c r="M89" i="43"/>
  <c r="N89" i="43" s="1"/>
  <c r="K83" i="43"/>
  <c r="M83" i="43"/>
  <c r="N83" i="43" s="1"/>
  <c r="D60" i="71"/>
  <c r="T60" i="71"/>
  <c r="AA32" i="36"/>
  <c r="S32" i="36"/>
  <c r="W27" i="21"/>
  <c r="AC27" i="21"/>
  <c r="AB36" i="35"/>
  <c r="U36" i="35"/>
  <c r="M90" i="43"/>
  <c r="N90" i="43" s="1"/>
  <c r="K90" i="43"/>
  <c r="AB23" i="34"/>
  <c r="AZ130" i="3"/>
  <c r="AZ297" i="3"/>
  <c r="AZ244" i="3"/>
  <c r="AZ502" i="3"/>
  <c r="AZ510" i="3"/>
  <c r="AC23" i="36"/>
  <c r="W23" i="36"/>
  <c r="AA23" i="36"/>
  <c r="S23" i="36"/>
  <c r="AB30" i="21"/>
  <c r="U30" i="21"/>
  <c r="F15" i="71"/>
  <c r="F14" i="71" s="1"/>
  <c r="F13" i="71" s="1"/>
  <c r="F12" i="71" s="1"/>
  <c r="F11" i="71" s="1"/>
  <c r="F10" i="71" s="1"/>
  <c r="F9" i="71" s="1"/>
  <c r="F8" i="71" s="1"/>
  <c r="F7" i="71" s="1"/>
  <c r="F6" i="71" s="1"/>
  <c r="F5" i="71" s="1"/>
  <c r="M23" i="43"/>
  <c r="M84" i="43"/>
  <c r="N84" i="43" s="1"/>
  <c r="K84" i="43"/>
  <c r="K87" i="43"/>
  <c r="M87" i="43"/>
  <c r="N87" i="43" s="1"/>
  <c r="G26" i="43"/>
  <c r="AZ121" i="3"/>
  <c r="AZ118" i="3"/>
  <c r="AZ428" i="3"/>
  <c r="AZ411" i="3"/>
  <c r="AZ491" i="3"/>
  <c r="B19" i="71"/>
  <c r="B18" i="71" s="1"/>
  <c r="B17" i="71" s="1"/>
  <c r="B16" i="71" s="1"/>
  <c r="S20" i="71"/>
  <c r="AZ494" i="3"/>
  <c r="F19" i="34"/>
  <c r="AA46" i="21"/>
  <c r="S46" i="21"/>
  <c r="AC31" i="21"/>
  <c r="W31" i="21"/>
  <c r="U23" i="36"/>
  <c r="AB23" i="36"/>
  <c r="S30" i="21"/>
  <c r="AA30" i="21"/>
  <c r="U46" i="21"/>
  <c r="AB46" i="21"/>
  <c r="AC43" i="34"/>
  <c r="S43" i="34"/>
  <c r="AC39" i="34"/>
  <c r="U39" i="34"/>
  <c r="W23" i="34"/>
  <c r="AC23" i="34"/>
  <c r="S23" i="34"/>
  <c r="J26" i="43"/>
  <c r="H16" i="1"/>
  <c r="P6" i="1"/>
  <c r="C13" i="12" s="1"/>
  <c r="Q16" i="1"/>
  <c r="F27" i="69" s="1"/>
  <c r="F45" i="69" s="1"/>
  <c r="N370" i="46"/>
  <c r="F26" i="43"/>
  <c r="E26" i="43"/>
  <c r="K16" i="1"/>
  <c r="J7" i="36"/>
  <c r="C26" i="71"/>
  <c r="D26" i="71" s="1"/>
  <c r="D27" i="71"/>
  <c r="AZ58" i="3"/>
  <c r="N65" i="71"/>
  <c r="N66" i="71"/>
  <c r="AZ86" i="3"/>
  <c r="C56" i="71"/>
  <c r="D55" i="71"/>
  <c r="AZ435" i="3"/>
  <c r="AB9" i="34"/>
  <c r="U9" i="34"/>
  <c r="AC9" i="34"/>
  <c r="W9" i="34"/>
  <c r="U25" i="37"/>
  <c r="AB25" i="37"/>
  <c r="AC39" i="37"/>
  <c r="W39" i="37"/>
  <c r="U12" i="36"/>
  <c r="AB12" i="36"/>
  <c r="J7" i="37"/>
  <c r="AC7" i="37" s="1"/>
  <c r="G5" i="3"/>
  <c r="B3" i="3" s="1"/>
  <c r="E276" i="3" s="1"/>
  <c r="D34" i="71"/>
  <c r="C35" i="71"/>
  <c r="AZ263" i="3"/>
  <c r="AZ229" i="3"/>
  <c r="AZ460" i="3"/>
  <c r="AZ415" i="3"/>
  <c r="AZ398" i="3"/>
  <c r="U34" i="36"/>
  <c r="AB34" i="36"/>
  <c r="AB35" i="39"/>
  <c r="U35" i="39"/>
  <c r="AZ550" i="3"/>
  <c r="W12" i="36"/>
  <c r="AC12" i="36"/>
  <c r="D67" i="71"/>
  <c r="C66" i="71"/>
  <c r="O67" i="71"/>
  <c r="AZ197" i="3"/>
  <c r="C52" i="71"/>
  <c r="D51" i="71"/>
  <c r="AZ51" i="3"/>
  <c r="AZ59" i="3"/>
  <c r="D75" i="71"/>
  <c r="C74" i="71"/>
  <c r="D74" i="71" s="1"/>
  <c r="AZ271" i="3"/>
  <c r="AZ238" i="3"/>
  <c r="AZ182" i="3"/>
  <c r="AZ19" i="3"/>
  <c r="AZ249" i="3"/>
  <c r="AZ453" i="3"/>
  <c r="AZ429" i="3"/>
  <c r="AZ210" i="3"/>
  <c r="AZ332" i="3"/>
  <c r="AZ459" i="3"/>
  <c r="AZ421" i="3"/>
  <c r="AZ414" i="3"/>
  <c r="AB12" i="34"/>
  <c r="U12" i="34"/>
  <c r="AZ49" i="3"/>
  <c r="AZ31" i="3"/>
  <c r="AZ483" i="3"/>
  <c r="AZ457" i="3"/>
  <c r="AZ418" i="3"/>
  <c r="AA31" i="39"/>
  <c r="S31" i="39"/>
  <c r="W12" i="34"/>
  <c r="AC12" i="34"/>
  <c r="AB28" i="21"/>
  <c r="U28" i="21"/>
  <c r="U39" i="37"/>
  <c r="AB39" i="37"/>
  <c r="AA12" i="36"/>
  <c r="S12" i="36"/>
  <c r="K1" i="73"/>
  <c r="E470" i="3"/>
  <c r="E422" i="3"/>
  <c r="E58" i="3"/>
  <c r="E446" i="3"/>
  <c r="E39" i="3"/>
  <c r="E259" i="3"/>
  <c r="E459" i="3"/>
  <c r="E488" i="3"/>
  <c r="E504" i="3"/>
  <c r="E98" i="3"/>
  <c r="E352" i="3"/>
  <c r="E306" i="3"/>
  <c r="E438" i="3"/>
  <c r="E288" i="3"/>
  <c r="E208" i="3"/>
  <c r="E257" i="3"/>
  <c r="E145" i="3"/>
  <c r="E379" i="3"/>
  <c r="E403" i="3"/>
  <c r="E546" i="3"/>
  <c r="AM6" i="3"/>
  <c r="E29" i="3"/>
  <c r="O6" i="3"/>
  <c r="E574" i="3"/>
  <c r="E506" i="3"/>
  <c r="E418" i="3"/>
  <c r="E565" i="3"/>
  <c r="E213" i="3"/>
  <c r="E402" i="3"/>
  <c r="AN6" i="3"/>
  <c r="E128" i="3"/>
  <c r="E262" i="3"/>
  <c r="E424" i="3"/>
  <c r="E344" i="3"/>
  <c r="E256" i="3"/>
  <c r="E274" i="3"/>
  <c r="E164" i="3"/>
  <c r="E576" i="3"/>
  <c r="E444" i="3"/>
  <c r="E404" i="3"/>
  <c r="E30" i="3"/>
  <c r="E480" i="3"/>
  <c r="E516" i="3"/>
  <c r="E569" i="3"/>
  <c r="V6" i="3"/>
  <c r="E407" i="3"/>
  <c r="E395" i="3"/>
  <c r="E260" i="3"/>
  <c r="E578" i="3"/>
  <c r="E518" i="3"/>
  <c r="E314" i="3"/>
  <c r="E511" i="3"/>
  <c r="E527" i="3"/>
  <c r="E457" i="3"/>
  <c r="E150" i="3"/>
  <c r="E279" i="3"/>
  <c r="E271" i="3"/>
  <c r="E107" i="3"/>
  <c r="AS6" i="3"/>
  <c r="E476" i="3"/>
  <c r="E384" i="3"/>
  <c r="E44" i="3"/>
  <c r="E388" i="3"/>
  <c r="E555" i="3"/>
  <c r="E561" i="3"/>
  <c r="E538" i="3"/>
  <c r="E528" i="3"/>
  <c r="E183" i="3"/>
  <c r="E350" i="3"/>
  <c r="E586" i="3"/>
  <c r="E181" i="3"/>
  <c r="E545" i="3"/>
  <c r="E472" i="3"/>
  <c r="E406" i="3"/>
  <c r="E146" i="3"/>
  <c r="E171" i="3"/>
  <c r="E89" i="3"/>
  <c r="E204" i="3"/>
  <c r="E557" i="3"/>
  <c r="E531" i="3"/>
  <c r="E211" i="3"/>
  <c r="E377" i="3"/>
  <c r="E217" i="3"/>
  <c r="E526" i="3"/>
  <c r="AJ6" i="3"/>
  <c r="E509" i="3"/>
  <c r="E247" i="3"/>
  <c r="E201" i="3"/>
  <c r="E570" i="3"/>
  <c r="M6" i="3"/>
  <c r="E335" i="3"/>
  <c r="E215" i="3"/>
  <c r="E278" i="3"/>
  <c r="E563" i="3"/>
  <c r="E535" i="3"/>
  <c r="E161" i="3"/>
  <c r="E263" i="3"/>
  <c r="E423" i="3"/>
  <c r="E246" i="3"/>
  <c r="X6" i="3"/>
  <c r="E148" i="3"/>
  <c r="E119" i="3"/>
  <c r="E275" i="3"/>
  <c r="E242" i="3"/>
  <c r="AA26" i="37"/>
  <c r="S26" i="37"/>
  <c r="BA5" i="3"/>
  <c r="E27" i="6" s="1"/>
  <c r="K26" i="6" s="1"/>
  <c r="M26" i="6" s="1"/>
  <c r="I26" i="6" s="1"/>
  <c r="S26" i="6" s="1"/>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E69" i="39"/>
  <c r="F59" i="67"/>
  <c r="H7" i="37"/>
  <c r="AB7" i="37" s="1"/>
  <c r="T42" i="37" s="1"/>
  <c r="G42" i="37" s="1"/>
  <c r="S10" i="39"/>
  <c r="AA10" i="39"/>
  <c r="H7" i="33"/>
  <c r="J7" i="33"/>
  <c r="D65" i="40"/>
  <c r="E63" i="40"/>
  <c r="F48" i="35"/>
  <c r="S7" i="36"/>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C10" i="15" s="1"/>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G1" i="73"/>
  <c r="AE6" i="1"/>
  <c r="F41" i="67"/>
  <c r="D89" i="43" l="1"/>
  <c r="J89" i="43"/>
  <c r="D86" i="43"/>
  <c r="J86" i="43"/>
  <c r="E118" i="3"/>
  <c r="E487" i="3"/>
  <c r="E296" i="3"/>
  <c r="E200" i="3"/>
  <c r="E385" i="3"/>
  <c r="E191" i="3"/>
  <c r="E445" i="3"/>
  <c r="E69" i="3"/>
  <c r="E387" i="3"/>
  <c r="E514" i="3"/>
  <c r="E431" i="3"/>
  <c r="E322" i="3"/>
  <c r="E109"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584" i="3"/>
  <c r="E62" i="3"/>
  <c r="E142" i="3"/>
  <c r="E240" i="3"/>
  <c r="E483" i="3"/>
  <c r="E132" i="3"/>
  <c r="E100" i="3"/>
  <c r="AI6" i="3"/>
  <c r="E135" i="3"/>
  <c r="E172" i="3"/>
  <c r="E189" i="3"/>
  <c r="AB6" i="3"/>
  <c r="E311" i="3"/>
  <c r="E579" i="3"/>
  <c r="E268" i="3"/>
  <c r="E572"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E471" i="3"/>
  <c r="E313" i="3"/>
  <c r="E82" i="3"/>
  <c r="E154" i="3"/>
  <c r="E66" i="3"/>
  <c r="E297" i="3"/>
  <c r="D87" i="43"/>
  <c r="J87" i="43"/>
  <c r="J83" i="43"/>
  <c r="D83" i="43"/>
  <c r="AB19" i="34"/>
  <c r="U19" i="34"/>
  <c r="S19" i="34"/>
  <c r="AA19" i="34"/>
  <c r="D84" i="43"/>
  <c r="J84" i="43"/>
  <c r="D90" i="43"/>
  <c r="J90" i="43"/>
  <c r="AC19" i="34"/>
  <c r="W19" i="34"/>
  <c r="D22" i="71"/>
  <c r="C21" i="71"/>
  <c r="T49" i="34"/>
  <c r="G49" i="34" s="1"/>
  <c r="E536" i="3"/>
  <c r="E502" i="3"/>
  <c r="E197" i="3"/>
  <c r="E543" i="3"/>
  <c r="E108" i="3"/>
  <c r="E38" i="3"/>
  <c r="E340" i="3"/>
  <c r="E460" i="3"/>
  <c r="E500" i="3"/>
  <c r="E283" i="3"/>
  <c r="E35" i="3"/>
  <c r="AH6" i="3"/>
  <c r="L6" i="3"/>
  <c r="E392" i="3"/>
  <c r="E365" i="3"/>
  <c r="E24" i="3"/>
  <c r="E48" i="3"/>
  <c r="E373"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H6" i="3" s="1"/>
  <c r="E465" i="3"/>
  <c r="E454" i="3"/>
  <c r="E214" i="3"/>
  <c r="E227" i="3"/>
  <c r="E327" i="3"/>
  <c r="E400" i="3"/>
  <c r="E489" i="3"/>
  <c r="E174" i="3"/>
  <c r="E105" i="3"/>
  <c r="E401" i="3"/>
  <c r="E473" i="3"/>
  <c r="E112" i="3"/>
  <c r="E141" i="3"/>
  <c r="E244" i="3"/>
  <c r="E149"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34" i="3"/>
  <c r="E467" i="3"/>
  <c r="D26" i="43"/>
  <c r="C25" i="43" s="1"/>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80" i="3"/>
  <c r="E41" i="3"/>
  <c r="T6" i="3"/>
  <c r="E86" i="3"/>
  <c r="E494" i="3"/>
  <c r="E371" i="3"/>
  <c r="AP6"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190" i="3"/>
  <c r="E556" i="3"/>
  <c r="E308" i="3"/>
  <c r="E482" i="3"/>
  <c r="E381" i="3"/>
  <c r="E349" i="3"/>
  <c r="E539"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329" i="3"/>
  <c r="E356" i="3"/>
  <c r="E512" i="3"/>
  <c r="AF6" i="3"/>
  <c r="E391" i="3"/>
  <c r="E33" i="3"/>
  <c r="E37" i="3"/>
  <c r="E188" i="3"/>
  <c r="E326" i="3"/>
  <c r="E232" i="3"/>
  <c r="E324" i="3"/>
  <c r="E412" i="3"/>
  <c r="E225" i="3"/>
  <c r="E26" i="3"/>
  <c r="E13" i="3"/>
  <c r="E451" i="3"/>
  <c r="E456" i="3"/>
  <c r="E525" i="3"/>
  <c r="E205" i="3"/>
  <c r="E113" i="3"/>
  <c r="E206" i="3"/>
  <c r="E383" i="3"/>
  <c r="E96" i="3"/>
  <c r="E42" i="3"/>
  <c r="E281" i="3"/>
  <c r="E513" i="3"/>
  <c r="E81" i="3"/>
  <c r="E184" i="3"/>
  <c r="E23" i="3"/>
  <c r="E160" i="3"/>
  <c r="E59" i="3"/>
  <c r="E258" i="3"/>
  <c r="E491" i="3"/>
  <c r="E430" i="3"/>
  <c r="E286" i="3"/>
  <c r="E16" i="3"/>
  <c r="E158" i="3"/>
  <c r="E49" i="3"/>
  <c r="E220" i="3"/>
  <c r="E428" i="3"/>
  <c r="E115" i="3"/>
  <c r="E420" i="3"/>
  <c r="E497" i="3"/>
  <c r="E408" i="3"/>
  <c r="E405" i="3"/>
  <c r="E173" i="3"/>
  <c r="E22" i="3"/>
  <c r="E102" i="3"/>
  <c r="E34" i="3"/>
  <c r="E235" i="3"/>
  <c r="E18" i="3"/>
  <c r="AL6" i="3"/>
  <c r="AC6" i="3" s="1"/>
  <c r="E198" i="3"/>
  <c r="E309" i="3"/>
  <c r="E68" i="3"/>
  <c r="E144" i="3"/>
  <c r="E492" i="3"/>
  <c r="E103" i="3"/>
  <c r="E76" i="3"/>
  <c r="E192" i="3"/>
  <c r="E435" i="3"/>
  <c r="E541" i="3"/>
  <c r="E199" i="3"/>
  <c r="E3" i="6"/>
  <c r="E223" i="3"/>
  <c r="E83" i="3"/>
  <c r="E370" i="3"/>
  <c r="E342" i="3"/>
  <c r="E78" i="3"/>
  <c r="E243" i="3"/>
  <c r="E104" i="3"/>
  <c r="E452" i="3"/>
  <c r="E360" i="3"/>
  <c r="E469" i="3"/>
  <c r="E534" i="3"/>
  <c r="E140" i="3"/>
  <c r="E287" i="3"/>
  <c r="E251" i="3"/>
  <c r="E522" i="3"/>
  <c r="E129" i="3"/>
  <c r="E75" i="3"/>
  <c r="E332" i="3"/>
  <c r="E21" i="3"/>
  <c r="E264" i="3"/>
  <c r="E355" i="3"/>
  <c r="E84" i="3"/>
  <c r="E300" i="3"/>
  <c r="E425" i="3"/>
  <c r="E363" i="3"/>
  <c r="E56" i="3"/>
  <c r="I3" i="6"/>
  <c r="R6" i="3"/>
  <c r="E510" i="3"/>
  <c r="E249" i="3"/>
  <c r="E46" i="3"/>
  <c r="E484" i="3"/>
  <c r="E544" i="3"/>
  <c r="E292" i="3"/>
  <c r="E152" i="3"/>
  <c r="E479" i="3"/>
  <c r="E517" i="3"/>
  <c r="E255" i="3"/>
  <c r="E466" i="3"/>
  <c r="E499" i="3"/>
  <c r="E212" i="3"/>
  <c r="C36" i="71"/>
  <c r="D35" i="71"/>
  <c r="D56" i="71"/>
  <c r="T56" i="71"/>
  <c r="E63" i="3"/>
  <c r="E233" i="3"/>
  <c r="E67" i="3"/>
  <c r="E310" i="3"/>
  <c r="E267" i="3"/>
  <c r="E64" i="3"/>
  <c r="E409" i="3"/>
  <c r="E389" i="3"/>
  <c r="E241" i="3"/>
  <c r="E95" i="3"/>
  <c r="E417" i="3"/>
  <c r="E554" i="3"/>
  <c r="E449" i="3"/>
  <c r="E442" i="3"/>
  <c r="E575" i="3"/>
  <c r="O65" i="71"/>
  <c r="D66" i="71"/>
  <c r="O66"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5" i="15"/>
  <c r="C38" i="15" s="1"/>
  <c r="F41" i="15"/>
  <c r="M27" i="67"/>
  <c r="M27" i="15"/>
  <c r="B14" i="74" l="1"/>
  <c r="B1" i="74" s="1"/>
  <c r="D21" i="71"/>
  <c r="C20" i="71"/>
  <c r="E83" i="43"/>
  <c r="B81" i="43" s="1"/>
  <c r="C28" i="43" s="1"/>
  <c r="R50" i="34"/>
  <c r="F22" i="68"/>
  <c r="F41" i="68" s="1"/>
  <c r="F22" i="69"/>
  <c r="F41" i="69" s="1"/>
  <c r="F24" i="67"/>
  <c r="C24" i="67" s="1"/>
  <c r="F24" i="15"/>
  <c r="C24" i="15" s="1"/>
  <c r="F25" i="12"/>
  <c r="C26" i="12" s="1"/>
  <c r="D25" i="12" s="1"/>
  <c r="I53" i="34"/>
  <c r="J53" i="34" s="1"/>
  <c r="F22" i="11"/>
  <c r="C24" i="11" s="1"/>
  <c r="D116" i="43"/>
  <c r="E49" i="34"/>
  <c r="E53" i="34" s="1"/>
  <c r="F53" i="34" s="1"/>
  <c r="D36" i="71"/>
  <c r="T36"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4" i="67"/>
  <c r="C17" i="15"/>
  <c r="C19" i="71" l="1"/>
  <c r="T20" i="71"/>
  <c r="D20" i="71"/>
  <c r="U20" i="71" s="1"/>
  <c r="T13" i="43"/>
  <c r="V13" i="43" s="1"/>
  <c r="T16" i="43"/>
  <c r="V16" i="43" s="1"/>
  <c r="T8" i="43"/>
  <c r="V8" i="43" s="1"/>
  <c r="T6" i="43"/>
  <c r="V6" i="43" s="1"/>
  <c r="C37" i="43"/>
  <c r="C38" i="43"/>
  <c r="T11" i="43"/>
  <c r="V11" i="43" s="1"/>
  <c r="T14" i="43"/>
  <c r="V14" i="43" s="1"/>
  <c r="T4" i="43"/>
  <c r="V4" i="43" s="1"/>
  <c r="T5" i="43"/>
  <c r="V5" i="43" s="1"/>
  <c r="C41" i="43"/>
  <c r="T9" i="43"/>
  <c r="V9" i="43" s="1"/>
  <c r="T12" i="43"/>
  <c r="V12" i="43" s="1"/>
  <c r="T3" i="43"/>
  <c r="V3" i="43" s="1"/>
  <c r="C33" i="43"/>
  <c r="C39" i="43"/>
  <c r="T15" i="43"/>
  <c r="V15" i="43" s="1"/>
  <c r="T7" i="43"/>
  <c r="V7" i="43" s="1"/>
  <c r="T10" i="43"/>
  <c r="V10" i="43" s="1"/>
  <c r="T2" i="43"/>
  <c r="V2" i="43" s="1"/>
  <c r="C40" i="43"/>
  <c r="C42" i="43"/>
  <c r="C26" i="68"/>
  <c r="D22" i="68" s="1"/>
  <c r="C44" i="69"/>
  <c r="D41" i="69" s="1"/>
  <c r="C26" i="69"/>
  <c r="D22" i="69" s="1"/>
  <c r="C44" i="11"/>
  <c r="D41" i="11" s="1"/>
  <c r="C23" i="11"/>
  <c r="C26" i="11"/>
  <c r="D22" i="11" s="1"/>
  <c r="E54" i="34"/>
  <c r="F54" i="34" s="1"/>
  <c r="I54" i="34"/>
  <c r="J54" i="34" s="1"/>
  <c r="C25" i="11"/>
  <c r="C22" i="11" s="1"/>
  <c r="D30" i="6"/>
  <c r="H22" i="6"/>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40" i="43" l="1"/>
  <c r="I40" i="43" s="1"/>
  <c r="E40" i="43"/>
  <c r="G37" i="43"/>
  <c r="I37" i="43" s="1"/>
  <c r="E37" i="43"/>
  <c r="E39" i="43"/>
  <c r="G39" i="43"/>
  <c r="I39" i="43" s="1"/>
  <c r="E33" i="43"/>
  <c r="C34" i="43"/>
  <c r="E34" i="43" s="1"/>
  <c r="E41" i="43"/>
  <c r="G41" i="43"/>
  <c r="I41" i="43" s="1"/>
  <c r="E42" i="43"/>
  <c r="G42" i="43"/>
  <c r="I42" i="43" s="1"/>
  <c r="G38" i="43"/>
  <c r="I38" i="43" s="1"/>
  <c r="E38" i="43"/>
  <c r="C18" i="71"/>
  <c r="D19" i="71"/>
  <c r="C31" i="1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1" i="43" l="1"/>
  <c r="C17" i="71"/>
  <c r="D18" i="71"/>
  <c r="C30"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16" i="71"/>
  <c r="D17" i="71"/>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B6" i="76"/>
  <c r="F35" i="67"/>
  <c r="M21" i="67"/>
  <c r="F35" i="15"/>
  <c r="B2" i="76" l="1"/>
  <c r="B3" i="76" s="1"/>
  <c r="C15" i="71"/>
  <c r="T16" i="71"/>
  <c r="D16" i="71"/>
  <c r="U16" i="71" s="1"/>
  <c r="B3" i="43"/>
  <c r="C6" i="68"/>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68" l="1"/>
  <c r="C5"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23" i="68"/>
  <c r="C20"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8" i="68" l="1"/>
  <c r="C27" i="68" s="1"/>
  <c r="C25" i="68"/>
  <c r="C22" i="68" s="1"/>
  <c r="C31" i="68" s="1"/>
  <c r="C52"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11" i="71" l="1"/>
  <c r="T12" i="71"/>
  <c r="D12" i="71"/>
  <c r="U12" i="71" s="1"/>
  <c r="B2"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11" i="1"/>
  <c r="AO9" i="1"/>
  <c r="AO7" i="1"/>
  <c r="AO8" i="1"/>
  <c r="AO12" i="1"/>
  <c r="AO10" i="1"/>
  <c r="C102" i="9" l="1"/>
  <c r="C21" i="9"/>
  <c r="B3" i="68"/>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 i="71"/>
  <c r="C9" i="71"/>
  <c r="D102" i="9"/>
  <c r="D21" i="9"/>
  <c r="G19" i="9"/>
  <c r="G21" i="9" s="1"/>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D103" i="9"/>
  <c r="G20" i="9"/>
  <c r="C32" i="9" s="1"/>
  <c r="C35" i="9" s="1"/>
  <c r="C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105" i="9" s="1"/>
  <c r="D6" i="71" l="1"/>
  <c r="C5" i="71"/>
  <c r="D5" i="71" s="1"/>
  <c r="M24" i="43" s="1"/>
  <c r="F118" i="9"/>
  <c r="F4" i="52" s="1"/>
  <c r="B51" i="72" s="1"/>
  <c r="H118" i="9"/>
  <c r="H119" i="9" s="1"/>
  <c r="H5" i="52" s="1"/>
  <c r="H102" i="9"/>
  <c r="E118" i="9"/>
  <c r="I4" i="52"/>
  <c r="H4" i="52" l="1"/>
  <c r="D14" i="74"/>
  <c r="C104" i="9"/>
  <c r="F119" i="9"/>
  <c r="F5" i="52" s="1"/>
  <c r="B53" i="72" s="1"/>
  <c r="H101" i="9"/>
  <c r="D45" i="9" s="1"/>
  <c r="D118" i="9"/>
  <c r="E4" i="52"/>
  <c r="B48" i="72" s="1"/>
  <c r="D7" i="53"/>
  <c r="B21" i="72" s="1"/>
  <c r="H107" i="9"/>
  <c r="D5" i="53" l="1"/>
  <c r="F14" i="74"/>
  <c r="B5" i="74"/>
  <c r="E14" i="74"/>
  <c r="M48" i="9"/>
  <c r="D122" i="9"/>
  <c r="G14" i="74" s="1"/>
  <c r="B6" i="74" s="1"/>
  <c r="D6" i="74" s="1"/>
  <c r="D13" i="53"/>
  <c r="H108" i="9"/>
  <c r="M49" i="9"/>
  <c r="D53" i="9"/>
  <c r="C78" i="9"/>
  <c r="C73" i="9" s="1"/>
  <c r="C93" i="9"/>
  <c r="C86" i="9" s="1"/>
  <c r="C64" i="9"/>
  <c r="C63" i="9" s="1"/>
  <c r="C67" i="9" s="1"/>
  <c r="D55" i="9"/>
  <c r="M53" i="9" s="1"/>
  <c r="D52" i="9"/>
  <c r="C85" i="9"/>
  <c r="C72" i="9"/>
  <c r="D6" i="53"/>
  <c r="B22" i="72" s="1"/>
  <c r="B20" i="72"/>
  <c r="D4" i="52"/>
  <c r="B47" i="72" s="1"/>
  <c r="D119" i="9"/>
  <c r="D5" i="52" s="1"/>
  <c r="B49" i="72" s="1"/>
  <c r="D5" i="74" l="1"/>
  <c r="C5" i="74"/>
  <c r="C79" i="9"/>
  <c r="C80" i="9" s="1"/>
  <c r="E80" i="9" s="1"/>
  <c r="E81" i="9" s="1"/>
  <c r="C95" i="9"/>
  <c r="C68" i="9"/>
  <c r="D54" i="9" s="1"/>
  <c r="D59" i="9"/>
  <c r="M55" i="9" s="1"/>
  <c r="L68" i="9"/>
  <c r="M68" i="9" s="1"/>
  <c r="L63" i="9"/>
  <c r="M63" i="9" s="1"/>
  <c r="L65" i="9"/>
  <c r="M65" i="9" s="1"/>
  <c r="L66" i="9"/>
  <c r="M66" i="9" s="1"/>
  <c r="L67" i="9"/>
  <c r="M67" i="9" s="1"/>
  <c r="L64" i="9"/>
  <c r="M64" i="9" s="1"/>
  <c r="C96" i="9"/>
  <c r="E96" i="9" s="1"/>
  <c r="E97" i="9" s="1"/>
  <c r="C6" i="74"/>
  <c r="D15" i="53"/>
  <c r="B31" i="72" s="1"/>
  <c r="B30" i="72"/>
  <c r="D14" i="53"/>
  <c r="B32" i="72" s="1"/>
  <c r="D8" i="52"/>
  <c r="D123" i="9"/>
  <c r="D9" i="52" s="1"/>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<sst xmlns="http://schemas.openxmlformats.org/spreadsheetml/2006/main" count="7907" uniqueCount="3461">
  <si>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</si>
  <si>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</si>
  <si>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</si>
  <si>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</si>
  <si>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</si>
  <si>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</si>
  <si>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</si>
  <si>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</si>
  <si>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</si>
  <si>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</si>
  <si>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</si>
  <si>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</si>
  <si>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</si>
  <si>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</si>
  <si>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</si>
  <si>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</si>
  <si>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</si>
  <si>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</si>
  <si>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</si>
  <si>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</si>
  <si>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</si>
  <si>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</si>
  <si>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</si>
  <si>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</si>
  <si>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</si>
  <si>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</si>
  <si>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</si>
  <si>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</si>
  <si>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</si>
  <si>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</si>
  <si>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</si>
  <si>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</si>
  <si>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</si>
  <si>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</si>
  <si>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</si>
  <si>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</si>
  <si>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</si>
  <si>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</si>
  <si>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</si>
  <si>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</si>
  <si>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</si>
  <si>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</si>
  <si>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</si>
  <si>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</si>
  <si>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</si>
  <si>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</si>
  <si>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</si>
  <si>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</si>
  <si>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</si>
  <si>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</si>
  <si>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</si>
  <si>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</si>
  <si>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</si>
  <si>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</si>
  <si>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</si>
  <si>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</si>
  <si>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</si>
  <si>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</si>
  <si>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</si>
  <si>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</si>
  <si>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</si>
  <si>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</si>
  <si>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</si>
  <si>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</si>
  <si>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</si>
  <si>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</si>
  <si>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</si>
  <si>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</si>
  <si>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</si>
  <si>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</si>
  <si>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</si>
  <si>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</si>
  <si>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</si>
  <si>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</si>
  <si>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</si>
  <si>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</si>
  <si>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</si>
  <si>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</si>
  <si>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</si>
  <si>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</si>
  <si>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</si>
  <si>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</si>
  <si>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</si>
  <si>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</si>
  <si>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</si>
  <si>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</si>
  <si>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</si>
  <si>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</si>
  <si>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</si>
  <si>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</si>
  <si>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</si>
  <si>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</si>
  <si>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</si>
  <si>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</si>
  <si>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</si>
  <si>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</si>
  <si>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</si>
  <si>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</si>
  <si>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</si>
  <si>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</si>
  <si>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</si>
  <si>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</si>
  <si>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</si>
  <si>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</si>
  <si>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</si>
  <si>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</si>
  <si>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</si>
  <si>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</si>
  <si>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</si>
  <si>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</si>
  <si>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</si>
  <si>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</si>
  <si>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</si>
  <si>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</si>
  <si>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</si>
  <si>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</si>
  <si>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</si>
  <si>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</si>
  <si>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</si>
  <si>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</si>
  <si>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</si>
  <si>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</si>
  <si>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</si>
  <si>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</si>
  <si>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</si>
  <si>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</si>
  <si>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</si>
  <si>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</si>
  <si>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</si>
  <si>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</si>
  <si>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</si>
  <si>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</si>
  <si>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</si>
  <si>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</si>
  <si>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</si>
  <si>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</si>
  <si>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</si>
  <si>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</si>
  <si>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</si>
  <si>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</si>
  <si>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</si>
  <si>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</si>
  <si>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</si>
  <si>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</si>
  <si>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</si>
  <si>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</si>
  <si>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</si>
  <si>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</si>
  <si>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</si>
  <si>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</si>
  <si>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</si>
  <si>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</si>
  <si>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</si>
  <si>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</si>
  <si>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</si>
  <si>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</si>
  <si>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</si>
  <si>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</si>
  <si>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</si>
  <si>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</si>
  <si>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</si>
  <si>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</si>
  <si>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</si>
  <si>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</si>
  <si>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</si>
  <si>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</si>
  <si>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</si>
  <si>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</si>
  <si>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</si>
  <si>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</si>
  <si>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</si>
  <si>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</si>
  <si>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</si>
  <si>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</si>
  <si>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</si>
  <si>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</si>
  <si>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</si>
  <si>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</si>
  <si>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</si>
  <si>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</si>
  <si>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</si>
  <si>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</si>
  <si>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</si>
  <si>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</si>
  <si>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</si>
  <si>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</si>
  <si>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</si>
  <si>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</si>
  <si>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</si>
  <si>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</si>
  <si>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</si>
  <si>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</si>
  <si>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</si>
  <si>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</si>
  <si>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</si>
  <si>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</si>
  <si>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</si>
  <si>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</si>
  <si>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</si>
  <si>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</si>
  <si>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</si>
  <si>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</si>
  <si>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</si>
  <si>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</si>
  <si>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</si>
  <si>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</si>
  <si>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</si>
  <si>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</si>
  <si>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</si>
  <si>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</si>
  <si>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</si>
  <si>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</si>
  <si>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</si>
  <si>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</si>
  <si>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</si>
  <si>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</si>
  <si>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</si>
  <si>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</si>
  <si>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</si>
  <si>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</si>
  <si>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</si>
  <si>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</si>
  <si>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</si>
  <si>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</si>
  <si>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</si>
  <si>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</si>
  <si>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</si>
  <si>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</si>
  <si>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</si>
  <si>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</si>
  <si>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</si>
  <si>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</si>
  <si>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</si>
  <si>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</si>
  <si>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</si>
  <si>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</si>
  <si>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</si>
  <si>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</si>
  <si>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</si>
  <si>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</si>
  <si>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</si>
  <si>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</si>
  <si>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</si>
  <si>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</si>
  <si>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</si>
  <si>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</si>
  <si>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</si>
  <si>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</si>
  <si>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</si>
  <si>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</si>
  <si>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</si>
  <si>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</si>
  <si>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</si>
  <si>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</si>
  <si>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</si>
  <si>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</si>
  <si>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</si>
  <si>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</si>
  <si>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</si>
  <si>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</si>
  <si>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</si>
  <si>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</si>
  <si>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</si>
  <si>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</si>
  <si>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</si>
  <si>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</si>
  <si>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</si>
  <si>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</si>
  <si>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</si>
  <si>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</si>
  <si>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</si>
  <si>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</si>
  <si>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</si>
  <si>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</si>
  <si>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</si>
  <si>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</si>
  <si>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</si>
  <si>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</si>
  <si>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</si>
  <si>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</si>
  <si>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</si>
  <si>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</si>
  <si>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</si>
  <si>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</si>
  <si>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</si>
  <si>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</si>
  <si>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</si>
  <si>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</si>
  <si>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</si>
  <si>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</si>
  <si>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</si>
  <si>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</si>
  <si>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</si>
  <si>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</si>
  <si>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</si>
  <si>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</si>
  <si>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</si>
  <si>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</si>
  <si>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</si>
  <si>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</si>
  <si>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</si>
  <si>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</si>
  <si>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</si>
  <si>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</si>
  <si>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</si>
  <si>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</si>
  <si>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</si>
  <si>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</si>
  <si>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</si>
  <si>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</si>
  <si>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</si>
  <si>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</si>
  <si>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</si>
  <si>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</si>
  <si>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</si>
  <si>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</si>
  <si>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</si>
  <si>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</si>
  <si>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</si>
  <si>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</si>
  <si>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</si>
  <si>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</si>
  <si>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</si>
  <si>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</si>
  <si>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</si>
  <si>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</si>
  <si>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</si>
  <si>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</si>
  <si>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</si>
  <si>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</si>
  <si>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</si>
  <si>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</si>
  <si>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</si>
  <si>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</si>
  <si>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</si>
  <si>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</si>
  <si>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</si>
  <si>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</si>
  <si>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</si>
  <si>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</si>
  <si>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</si>
  <si>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</si>
  <si>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</si>
  <si>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</si>
  <si>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</si>
  <si>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</si>
  <si>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</si>
  <si>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</si>
  <si>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</si>
  <si>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</si>
  <si>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</si>
  <si>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</si>
  <si>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</si>
  <si>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</si>
  <si>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</si>
  <si>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</si>
  <si>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</si>
  <si>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</si>
  <si>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</si>
  <si>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</si>
  <si>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</si>
  <si>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</si>
  <si>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</si>
  <si>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</si>
  <si>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</si>
  <si>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</si>
  <si>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</si>
  <si>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</si>
  <si>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</si>
  <si>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</si>
  <si>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</si>
  <si>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</si>
  <si>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</si>
  <si>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</si>
  <si>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</si>
  <si>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</si>
  <si>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</si>
  <si>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</si>
  <si>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</si>
  <si>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</si>
  <si>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</si>
  <si>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</si>
  <si>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</si>
  <si>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</si>
  <si>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</si>
  <si>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</si>
  <si>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</si>
  <si>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</si>
  <si>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</si>
  <si>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</si>
  <si>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</si>
  <si>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</si>
  <si>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</si>
  <si>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</si>
  <si>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</si>
  <si>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</si>
  <si>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</si>
  <si>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</si>
  <si>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</si>
  <si>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</si>
  <si>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</si>
  <si>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</si>
  <si>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</si>
  <si>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</si>
  <si>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</si>
  <si>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</si>
  <si>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</si>
  <si>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</si>
  <si>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</si>
  <si>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</si>
  <si>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</si>
  <si>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</si>
  <si>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</si>
  <si>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</si>
  <si>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</si>
  <si>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</si>
  <si>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</si>
  <si>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</si>
  <si>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</si>
  <si>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</si>
  <si>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</si>
  <si>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</si>
  <si>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</si>
  <si>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</si>
  <si>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</si>
  <si>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</si>
  <si>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</si>
  <si>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</si>
  <si>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</si>
  <si>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</si>
  <si>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</si>
  <si>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</si>
  <si>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</si>
  <si>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</si>
  <si>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</si>
  <si>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</si>
  <si>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</si>
  <si>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</si>
  <si>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</si>
  <si>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</si>
  <si>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</si>
  <si>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</si>
  <si>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</si>
  <si>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</si>
  <si>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</si>
  <si>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</si>
  <si>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</si>
  <si>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</si>
  <si>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</si>
  <si>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</si>
  <si>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</si>
  <si>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</si>
  <si>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</si>
  <si>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</si>
  <si>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</si>
  <si>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</si>
  <si>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</si>
  <si>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</si>
  <si>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</si>
  <si>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</si>
  <si>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</si>
  <si>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</si>
  <si>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</si>
  <si>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</si>
  <si>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</si>
  <si>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</si>
  <si>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</si>
  <si>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</si>
  <si>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</si>
  <si>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</si>
  <si>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</si>
  <si>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</si>
  <si>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</si>
  <si>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</si>
  <si>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</si>
  <si>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</si>
  <si>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</si>
  <si>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</si>
  <si>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</si>
  <si>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</si>
  <si>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</si>
  <si>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</si>
  <si>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</si>
  <si>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</si>
  <si>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</si>
  <si>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</si>
  <si>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</si>
  <si>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</si>
  <si>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</si>
  <si>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</si>
  <si>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</si>
  <si>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</si>
  <si>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</si>
  <si>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</si>
  <si>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</si>
  <si>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</si>
  <si>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</si>
  <si>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</si>
  <si>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</si>
  <si>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</si>
  <si>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</si>
  <si>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</si>
  <si>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</si>
  <si>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</si>
  <si>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</si>
  <si>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</si>
  <si>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</si>
  <si>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</si>
  <si>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</si>
  <si>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</si>
  <si>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</si>
  <si>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</si>
  <si>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</si>
  <si>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</si>
  <si>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</si>
  <si>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</si>
  <si>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</si>
  <si>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</si>
  <si>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</si>
  <si>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</si>
  <si>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</si>
  <si>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</si>
  <si>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</si>
  <si>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</si>
  <si>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</si>
  <si>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</si>
  <si>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</si>
  <si>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</si>
  <si>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</si>
  <si>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</si>
  <si>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</si>
  <si>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</si>
  <si>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</si>
  <si>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</si>
  <si>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</si>
  <si>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</si>
  <si>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</si>
  <si>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</si>
  <si>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</si>
  <si>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</si>
  <si>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</si>
  <si>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</si>
  <si>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</si>
  <si>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</si>
  <si>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</si>
  <si>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</si>
  <si>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</si>
  <si>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</si>
  <si>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</si>
  <si>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</si>
  <si>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</si>
  <si>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</si>
  <si>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</si>
  <si>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</si>
  <si>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</si>
  <si>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</si>
  <si>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</si>
  <si>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</si>
  <si>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</si>
  <si>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</si>
  <si>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</si>
  <si>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</si>
  <si>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</si>
  <si>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</si>
  <si>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</si>
  <si>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</si>
  <si>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</si>
  <si>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</si>
  <si>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</si>
  <si>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</si>
  <si>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</si>
  <si>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</si>
  <si>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</si>
  <si>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</si>
  <si>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</si>
  <si>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</si>
  <si>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</si>
  <si>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</si>
  <si>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</si>
  <si>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</si>
  <si>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</si>
  <si>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</si>
  <si>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</si>
  <si>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</si>
  <si>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</si>
  <si>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</si>
  <si>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</si>
  <si>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</si>
  <si>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</si>
  <si>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</si>
  <si>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</si>
  <si>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</si>
  <si>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</si>
  <si>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</si>
  <si>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</si>
  <si>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</si>
  <si>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</si>
  <si>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</si>
  <si>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</si>
  <si>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</si>
  <si>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</si>
  <si>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</si>
  <si>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</si>
  <si>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</si>
  <si>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</si>
  <si>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</si>
  <si>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</si>
  <si>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</si>
  <si>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</si>
  <si>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</si>
  <si>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</si>
  <si>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</si>
  <si>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</si>
  <si>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</si>
  <si>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</si>
  <si>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</si>
  <si>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</si>
  <si>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</si>
  <si>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</si>
  <si>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</si>
  <si>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</si>
  <si>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</si>
  <si>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</si>
  <si>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</si>
  <si>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</si>
  <si>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</si>
  <si>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</si>
  <si>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</si>
  <si>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</si>
  <si>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</si>
  <si>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</si>
  <si>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</si>
  <si>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</si>
  <si>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</si>
  <si>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</si>
  <si>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</si>
  <si>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</si>
  <si>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</si>
  <si>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</si>
  <si>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</si>
  <si>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</si>
  <si>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</si>
  <si>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</si>
  <si>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</si>
  <si>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</si>
  <si>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</si>
  <si>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</si>
  <si>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</si>
  <si>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</si>
  <si>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</si>
  <si>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</si>
  <si>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</si>
  <si>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</si>
  <si>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</si>
  <si>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</si>
  <si>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</si>
  <si>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</si>
  <si>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</si>
  <si>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</si>
  <si>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</si>
  <si>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</si>
  <si>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</si>
  <si>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</si>
  <si>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</si>
  <si>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</si>
  <si>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</si>
  <si>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</si>
  <si>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</si>
  <si>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</si>
  <si>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</si>
  <si>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</si>
  <si>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</si>
  <si>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</si>
  <si>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</si>
  <si>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</si>
  <si>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</si>
  <si>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</si>
  <si>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</si>
  <si>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</si>
  <si>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</si>
  <si>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</si>
  <si>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</si>
  <si>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</si>
  <si>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</si>
  <si>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</si>
  <si>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</si>
  <si>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</si>
  <si>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</si>
  <si>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</si>
  <si>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</si>
  <si>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</si>
  <si>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</si>
  <si>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</si>
  <si>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</si>
  <si>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</si>
  <si>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</si>
  <si>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</si>
  <si>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</si>
  <si>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</si>
  <si>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</si>
  <si>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</si>
  <si>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</si>
  <si>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</si>
  <si>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</si>
  <si>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</si>
  <si>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</si>
  <si>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</si>
  <si>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</si>
  <si>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</si>
  <si>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</si>
  <si>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</si>
  <si>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</si>
  <si>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</si>
  <si>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</si>
  <si>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</si>
  <si>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</si>
  <si>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</si>
  <si>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</si>
  <si>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</si>
  <si>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</si>
  <si>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</si>
  <si>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</si>
  <si>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</si>
  <si>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</si>
  <si>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</si>
  <si>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</si>
  <si>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</si>
  <si>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</si>
  <si>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</si>
  <si>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</si>
  <si>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</si>
  <si>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</si>
  <si>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</si>
  <si>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</si>
  <si>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</si>
  <si>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</si>
  <si>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</si>
  <si>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</si>
  <si>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</si>
  <si>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</si>
  <si>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</si>
  <si>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</si>
  <si>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</si>
  <si>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</si>
  <si>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</si>
  <si>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</si>
  <si>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</si>
  <si>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</si>
  <si>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</si>
  <si>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</si>
  <si>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</si>
  <si>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</si>
  <si>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</si>
  <si>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</si>
  <si>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</si>
  <si>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</si>
  <si>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</si>
  <si>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</si>
  <si>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</si>
  <si>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</si>
  <si>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</si>
  <si>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</si>
  <si>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</si>
  <si>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</si>
  <si>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</si>
  <si>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</si>
  <si>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</si>
  <si>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</si>
  <si>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</si>
  <si>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</si>
  <si>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</si>
  <si>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</si>
  <si>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</si>
  <si>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</si>
  <si>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</si>
  <si>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</si>
  <si>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</si>
  <si>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</si>
  <si>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</si>
  <si>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</si>
  <si>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</si>
  <si>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</si>
  <si>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</si>
  <si>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</si>
  <si>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</si>
  <si>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</si>
  <si>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</si>
  <si>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</si>
  <si>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</si>
  <si>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</si>
  <si>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</si>
  <si>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</si>
  <si>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</si>
  <si>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</si>
  <si>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</si>
  <si>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</si>
  <si>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</si>
  <si>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</si>
  <si>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</si>
  <si>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</si>
  <si>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</si>
  <si>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</si>
  <si>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</si>
  <si>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</si>
  <si>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</si>
  <si>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</si>
  <si>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</si>
  <si>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</si>
  <si>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</si>
  <si>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</si>
  <si>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</si>
  <si>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</si>
  <si>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</si>
  <si>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</si>
  <si>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</si>
  <si>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</si>
  <si>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</si>
  <si>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</si>
  <si>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</si>
  <si>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</si>
  <si>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</si>
  <si>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</si>
  <si>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</si>
  <si>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</si>
  <si>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</si>
  <si>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</si>
  <si>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</si>
  <si>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</si>
  <si>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</si>
  <si>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</si>
  <si>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</si>
  <si>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</si>
  <si>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</si>
  <si>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</si>
  <si>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</si>
  <si>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</si>
  <si>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</si>
  <si>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</si>
  <si>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</si>
  <si>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</si>
  <si>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</si>
  <si>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</si>
  <si>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</si>
  <si>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</si>
  <si>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</si>
  <si>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</si>
  <si>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</si>
  <si>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</si>
  <si>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</si>
  <si>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</si>
  <si>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</si>
  <si>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</si>
  <si>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</si>
  <si>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</si>
  <si>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</si>
  <si>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</si>
  <si>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</si>
  <si>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</si>
  <si>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</si>
  <si>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</si>
  <si>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</si>
  <si>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</si>
  <si>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</si>
  <si>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</si>
  <si>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</si>
  <si>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</si>
  <si>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</si>
  <si>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</si>
  <si>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</si>
  <si>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</si>
  <si>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</si>
  <si>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</si>
  <si>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</si>
  <si>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</si>
  <si>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</si>
  <si>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</si>
  <si>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</si>
  <si>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</si>
  <si>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</si>
  <si>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</si>
  <si>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</si>
  <si>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</si>
  <si>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</si>
  <si>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</si>
  <si>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</si>
  <si>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</si>
  <si>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</si>
  <si>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</si>
  <si>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</si>
  <si>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</si>
  <si>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</si>
  <si>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</si>
  <si>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</si>
  <si>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</si>
  <si>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</si>
  <si>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</si>
  <si>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</si>
  <si>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</si>
  <si>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</si>
  <si>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</si>
  <si>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</si>
  <si>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</si>
  <si>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</si>
  <si>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</si>
  <si>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</si>
  <si>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</si>
  <si>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</si>
  <si>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</si>
  <si>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</si>
  <si>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</si>
  <si>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</si>
  <si>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</si>
  <si>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</si>
  <si>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</si>
  <si>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</si>
  <si>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</si>
  <si>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</si>
  <si>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</si>
  <si>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</si>
  <si>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</si>
  <si>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</si>
  <si>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</si>
  <si>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</si>
  <si>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</si>
  <si>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</si>
  <si>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</si>
  <si>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</si>
  <si>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</si>
  <si>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</si>
  <si>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</si>
  <si>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</si>
  <si>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</si>
  <si>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</si>
  <si>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</si>
  <si>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</si>
  <si>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</si>
  <si>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</si>
  <si>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</si>
  <si>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</si>
  <si>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</si>
  <si>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</si>
  <si>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</si>
  <si>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</si>
  <si>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</si>
  <si>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</si>
  <si>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</si>
  <si>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</si>
  <si>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</si>
  <si>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</si>
  <si>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</si>
  <si>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</si>
  <si>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</si>
  <si>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</si>
  <si>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</si>
  <si>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</si>
  <si>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</si>
  <si>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</si>
  <si>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</si>
  <si>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</si>
  <si>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</si>
  <si>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</si>
  <si>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</si>
  <si>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</si>
  <si>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</si>
  <si>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</si>
  <si>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</si>
  <si>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</si>
  <si>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</si>
  <si>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</si>
  <si>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</si>
  <si>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</si>
  <si>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</si>
  <si>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</si>
  <si>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</si>
  <si>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</si>
  <si>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</si>
  <si>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</si>
  <si>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</si>
  <si>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</si>
  <si>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</si>
  <si>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</si>
  <si>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</si>
  <si>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</si>
  <si>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</si>
  <si>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</si>
  <si>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</si>
  <si>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</si>
  <si>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</si>
  <si>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</si>
  <si>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</si>
  <si>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</si>
  <si>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</si>
  <si>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</si>
  <si>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</si>
  <si>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</si>
  <si>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</si>
  <si>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</si>
  <si>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</si>
  <si>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</si>
  <si>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</si>
  <si>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</si>
  <si>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</si>
  <si>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</si>
  <si>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</si>
  <si>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</si>
  <si>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</si>
  <si>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</si>
  <si>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</si>
  <si>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</si>
  <si>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</si>
  <si>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</si>
  <si>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</si>
  <si>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</si>
  <si>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</si>
  <si>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</si>
  <si>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</si>
  <si>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</si>
  <si>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</si>
  <si>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</si>
  <si>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</si>
  <si>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</si>
  <si>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</si>
  <si>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</si>
  <si>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</si>
  <si>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</si>
  <si>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</si>
  <si>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</si>
  <si>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</si>
  <si>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</si>
  <si>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</si>
  <si>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</si>
  <si>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</si>
  <si>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</si>
  <si>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</si>
  <si>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</si>
  <si>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</si>
  <si>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</si>
  <si>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</si>
  <si>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</si>
  <si>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</si>
  <si>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</si>
  <si>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</si>
  <si>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</si>
  <si>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</si>
  <si>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</si>
  <si>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</si>
  <si>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</si>
  <si>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</si>
  <si>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</si>
  <si>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</si>
  <si>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</si>
  <si>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</si>
  <si>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</si>
  <si>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</si>
  <si>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</si>
  <si>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</si>
  <si>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</si>
  <si>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</si>
  <si>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</si>
  <si>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</si>
  <si>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</si>
  <si>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</si>
  <si>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</si>
  <si>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</si>
  <si>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</si>
  <si>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</si>
  <si>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</si>
  <si>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</si>
  <si>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</si>
  <si>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</si>
  <si>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</si>
  <si>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</si>
  <si>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</si>
  <si>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</si>
  <si>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</si>
  <si>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</si>
  <si>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</si>
  <si>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</si>
  <si>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</si>
  <si>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</si>
  <si>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</si>
  <si>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</si>
  <si>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</si>
  <si>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</si>
  <si>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</si>
  <si>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</si>
  <si>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</si>
  <si>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</si>
  <si>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</si>
  <si>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</si>
  <si>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</si>
  <si>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</si>
  <si>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</si>
  <si>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</si>
  <si>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</si>
  <si>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</si>
  <si>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</si>
  <si>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</si>
  <si>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</si>
  <si>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</si>
  <si>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</si>
  <si>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</si>
  <si>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</si>
  <si>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</si>
  <si>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</si>
  <si>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</si>
  <si>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</si>
  <si>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</si>
  <si>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</si>
  <si>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</si>
  <si>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</si>
  <si>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</si>
  <si>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</si>
  <si>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</si>
  <si>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</si>
  <si>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</si>
  <si>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</si>
  <si>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</si>
  <si>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</si>
  <si>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</si>
  <si>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</si>
  <si>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</si>
  <si>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</si>
  <si>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</si>
  <si>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</si>
  <si>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</si>
  <si>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</si>
  <si>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</si>
  <si>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</si>
  <si>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</si>
  <si>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</si>
  <si>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</si>
  <si>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</si>
  <si>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</si>
  <si>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</si>
  <si>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</si>
  <si>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</si>
  <si>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</si>
  <si>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</si>
  <si>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</si>
  <si>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</si>
  <si>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</si>
  <si>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</si>
  <si>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</si>
  <si>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</si>
  <si>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</si>
  <si>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</si>
  <si>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</si>
  <si>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</si>
  <si>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</si>
  <si>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</si>
  <si>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</si>
  <si>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</si>
  <si>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</si>
  <si>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</si>
  <si>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</si>
  <si>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</si>
  <si>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</si>
  <si>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</si>
  <si>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</si>
  <si>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</si>
  <si>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</si>
  <si>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</si>
  <si>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</si>
  <si>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</si>
  <si>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</si>
  <si>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</si>
  <si>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</si>
  <si>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</si>
  <si>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</si>
  <si>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</si>
  <si>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</si>
  <si>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</si>
  <si>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</si>
  <si>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</si>
  <si>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</si>
  <si>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</si>
  <si>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</si>
  <si>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</si>
  <si>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</si>
  <si>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</si>
  <si>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</si>
  <si>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</si>
  <si>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</si>
  <si>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</si>
  <si>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</si>
  <si>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</si>
  <si>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</si>
  <si>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</si>
  <si>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</si>
  <si>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</si>
  <si>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</si>
  <si>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</si>
  <si>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</si>
  <si>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</si>
  <si>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</si>
  <si>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</si>
  <si>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</si>
  <si>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</si>
  <si>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</si>
  <si>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</si>
  <si>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</si>
  <si>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</si>
  <si>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</si>
  <si>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</si>
  <si>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</si>
  <si>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</si>
  <si>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</si>
  <si>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</si>
  <si>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</si>
  <si>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</si>
  <si>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</si>
  <si>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</si>
  <si>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</si>
  <si>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</si>
  <si>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</si>
  <si>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</si>
  <si>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</si>
  <si>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</si>
  <si>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</si>
  <si>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</si>
  <si>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</si>
  <si>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</si>
  <si>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</si>
  <si>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</si>
  <si>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</si>
  <si>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</si>
  <si>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</si>
  <si>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</si>
  <si>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</si>
  <si>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</si>
  <si>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</si>
  <si>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</si>
  <si>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</si>
  <si>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</si>
  <si>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</si>
  <si>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</si>
  <si>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</si>
  <si>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</si>
  <si>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</si>
  <si>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</si>
  <si>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</si>
  <si>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</si>
  <si>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</si>
  <si>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</si>
  <si>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</si>
  <si>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</si>
  <si>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</si>
  <si>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</si>
  <si>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</si>
  <si>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</si>
  <si>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</si>
  <si>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</si>
  <si>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</si>
  <si>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</si>
  <si>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</si>
  <si>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</si>
  <si>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</si>
  <si>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</si>
  <si>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</si>
  <si>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</si>
  <si>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</si>
  <si>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</si>
  <si>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</si>
  <si>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</si>
  <si>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</si>
  <si>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</si>
  <si>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</si>
  <si>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</si>
  <si>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</si>
  <si>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</si>
  <si>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</si>
  <si>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</si>
  <si>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</si>
  <si>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</si>
  <si>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</si>
  <si>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</si>
  <si>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</si>
  <si>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</si>
  <si>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</si>
  <si>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</si>
  <si>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</si>
  <si>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</si>
  <si>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</si>
  <si>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</si>
  <si>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</si>
  <si>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</si>
  <si>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</si>
  <si>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</si>
  <si>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</si>
  <si>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</si>
  <si>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</si>
  <si>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</si>
  <si>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</si>
  <si>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</si>
  <si>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</si>
  <si>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</si>
  <si>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</si>
  <si>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</si>
  <si>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</si>
  <si>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</si>
  <si>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</si>
  <si>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</si>
  <si>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</si>
  <si>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</si>
  <si>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</si>
  <si>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</si>
  <si>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</si>
  <si>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</si>
  <si>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</si>
  <si>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</si>
  <si>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</si>
  <si>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</si>
  <si>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</si>
  <si>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</si>
  <si>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</si>
  <si>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</si>
  <si>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</si>
  <si>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</si>
  <si>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</si>
  <si>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</si>
  <si>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</si>
  <si>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</si>
  <si>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</si>
  <si>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</si>
  <si>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</si>
  <si>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</si>
  <si>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</si>
  <si>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</si>
  <si>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</si>
  <si>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</si>
  <si>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</si>
  <si>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</si>
  <si>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</si>
  <si>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</si>
  <si>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</si>
  <si>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</si>
  <si>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</si>
  <si>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</si>
  <si>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</si>
  <si>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</si>
  <si>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</si>
  <si>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</si>
  <si>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</si>
  <si>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</si>
  <si>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</si>
  <si>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</si>
  <si>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</si>
  <si>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</si>
  <si>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</si>
  <si>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</si>
  <si>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</si>
  <si>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</si>
  <si>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</si>
  <si>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</si>
  <si>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</si>
  <si>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</si>
  <si>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</si>
  <si>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</si>
  <si>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</si>
  <si>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</si>
  <si>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</si>
  <si>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</si>
  <si>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</si>
  <si>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</si>
  <si>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</si>
  <si>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</si>
  <si>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</si>
  <si>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</si>
  <si>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</si>
  <si>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</si>
  <si>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</si>
  <si>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</si>
  <si>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</si>
  <si>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</si>
  <si>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</si>
  <si>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</si>
  <si>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</si>
  <si>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</si>
  <si>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</si>
  <si>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</si>
  <si>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</si>
  <si>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</si>
  <si>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</si>
  <si>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</si>
  <si>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</si>
  <si>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</si>
  <si>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</si>
  <si>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</si>
  <si>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</si>
  <si>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</si>
  <si>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</si>
  <si>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</si>
  <si>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</si>
  <si>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</si>
  <si>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</si>
  <si>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</si>
  <si>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</si>
  <si>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</si>
  <si>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</si>
  <si>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</si>
  <si>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</si>
  <si>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</si>
  <si>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</si>
  <si>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</si>
  <si>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</si>
  <si>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</si>
  <si>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</si>
  <si>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</si>
  <si>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</si>
  <si>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</si>
  <si>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</si>
  <si>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</si>
  <si>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</si>
  <si>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</si>
  <si>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</si>
  <si>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</si>
  <si>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</si>
  <si>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</si>
  <si>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</si>
  <si>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</si>
  <si>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</si>
  <si>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</si>
  <si>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</si>
  <si>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</si>
  <si>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</si>
  <si>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</si>
  <si>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</si>
  <si>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</si>
  <si>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</si>
  <si>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</si>
  <si>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</si>
  <si>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</si>
  <si>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</si>
  <si>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</si>
  <si>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</si>
  <si>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</si>
  <si>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</si>
  <si>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</si>
  <si>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</si>
  <si>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</si>
  <si>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</si>
  <si>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</si>
  <si>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</si>
  <si>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</si>
  <si>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</si>
  <si>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</si>
  <si>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</si>
  <si>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</si>
  <si>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</si>
  <si>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</si>
  <si>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</si>
  <si>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</si>
  <si>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</si>
  <si>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</si>
  <si>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</si>
  <si>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</si>
  <si>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</si>
  <si>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</si>
  <si>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</si>
  <si>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</si>
  <si>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</si>
  <si>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</si>
  <si>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</si>
  <si>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</si>
  <si>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</si>
  <si>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</si>
  <si>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</si>
  <si>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</si>
  <si>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</si>
  <si>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</si>
  <si>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</si>
  <si>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</si>
  <si>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</si>
  <si>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</si>
  <si>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</si>
  <si>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</si>
  <si>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</si>
  <si>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</si>
  <si>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</si>
  <si>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</si>
  <si>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</si>
  <si>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</si>
  <si>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</si>
  <si>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</si>
  <si>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</si>
  <si>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</si>
  <si>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</si>
  <si>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</si>
  <si>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</si>
  <si>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</si>
  <si>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</si>
  <si>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</si>
  <si>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</si>
  <si>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</si>
  <si>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</si>
  <si>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</si>
  <si>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</si>
  <si>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</si>
  <si>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</si>
  <si>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</si>
  <si>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</si>
  <si>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</si>
  <si>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</si>
  <si>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</si>
  <si>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</si>
  <si>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</si>
  <si>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</si>
  <si>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</si>
  <si>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</si>
  <si>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</si>
  <si>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</si>
  <si>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</si>
  <si>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</si>
  <si>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</si>
  <si>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</si>
  <si>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</si>
  <si>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</si>
  <si>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</si>
  <si>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</si>
  <si>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</si>
  <si>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</si>
  <si>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</si>
  <si>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</si>
  <si>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</si>
  <si>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</si>
  <si>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</si>
  <si>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</si>
  <si>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</si>
  <si>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</si>
  <si>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</si>
  <si>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</si>
  <si>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</si>
  <si>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</si>
  <si>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</si>
  <si>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</si>
  <si>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</si>
  <si>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</si>
  <si>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</si>
  <si>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</si>
  <si>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</si>
  <si>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</si>
  <si>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</si>
  <si>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</si>
  <si>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</si>
  <si>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</si>
  <si>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</si>
  <si>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</si>
  <si>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</si>
  <si>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</si>
  <si>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</si>
  <si>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</si>
  <si>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</si>
  <si>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</si>
  <si>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</si>
  <si>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</si>
  <si>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</si>
  <si>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</si>
  <si>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</si>
  <si>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</si>
  <si>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</si>
  <si>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</si>
  <si>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</si>
  <si>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</si>
  <si>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</si>
  <si>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</si>
  <si>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</si>
  <si>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</si>
  <si>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</si>
  <si>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</si>
  <si>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</si>
  <si>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</si>
  <si>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</si>
  <si>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</si>
  <si>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</si>
  <si>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</si>
  <si>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</si>
  <si>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</si>
  <si>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</si>
  <si>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</si>
  <si>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</si>
  <si>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</si>
  <si>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</si>
  <si>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</si>
  <si>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</si>
  <si>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</si>
  <si>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</si>
  <si>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</si>
  <si>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</si>
  <si>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</si>
  <si>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</si>
  <si>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</si>
  <si>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</si>
  <si>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</si>
  <si>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</si>
  <si>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</si>
  <si>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</si>
  <si>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</si>
  <si>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</si>
  <si>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</si>
  <si>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</si>
  <si>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</si>
  <si>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</si>
  <si>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</si>
  <si>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</si>
  <si>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</si>
  <si>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</si>
  <si>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</si>
  <si>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</si>
  <si>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</si>
  <si>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</si>
  <si>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</si>
  <si>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</si>
  <si>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</si>
  <si>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</si>
  <si>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</si>
  <si>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</si>
  <si>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</si>
  <si>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</si>
  <si>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</si>
  <si>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</si>
  <si>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</si>
  <si>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</si>
  <si>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</si>
  <si>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</si>
  <si>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</si>
  <si>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</si>
  <si>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</si>
  <si>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</si>
  <si>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</si>
  <si>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</si>
  <si>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</si>
  <si>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</si>
  <si>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</si>
  <si>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</si>
  <si>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</si>
  <si>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</si>
  <si>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</si>
  <si>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</si>
  <si>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</si>
  <si>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</si>
  <si>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</si>
  <si>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</si>
  <si>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</si>
  <si>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</si>
  <si>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</si>
  <si>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</si>
  <si>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</si>
  <si>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</si>
  <si>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</si>
  <si>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</si>
  <si>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</si>
  <si>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</si>
  <si>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</si>
  <si>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</si>
  <si>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</si>
  <si>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</si>
  <si>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</si>
  <si>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</si>
  <si>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</si>
  <si>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</si>
  <si>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</si>
  <si>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</si>
  <si>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</si>
  <si>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</si>
  <si>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</si>
  <si>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</si>
  <si>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</si>
  <si>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</si>
  <si>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</si>
  <si>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</si>
  <si>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</si>
  <si>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</si>
  <si>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</si>
  <si>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</si>
  <si>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</si>
  <si>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</si>
  <si>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</si>
  <si>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</si>
  <si>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</si>
  <si>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</si>
  <si>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</si>
  <si>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</si>
  <si>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</si>
  <si>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</si>
  <si>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</si>
  <si>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</si>
  <si>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</si>
  <si>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</si>
  <si>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</si>
  <si>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</si>
  <si>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</si>
  <si>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</si>
  <si>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</si>
  <si>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</si>
  <si>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</si>
  <si>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</si>
  <si>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</si>
  <si>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</si>
  <si>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</si>
  <si>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</si>
  <si>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</si>
  <si>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</si>
  <si>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</si>
  <si>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</si>
  <si>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</si>
  <si>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</si>
  <si>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</si>
  <si>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</si>
  <si>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</si>
  <si>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</si>
  <si>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</si>
  <si>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</si>
  <si>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</si>
  <si>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</si>
  <si>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</si>
  <si>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</si>
  <si>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</si>
  <si>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</si>
  <si>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</si>
  <si>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</si>
  <si>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</si>
  <si>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</si>
  <si>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</si>
  <si>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</si>
  <si>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</si>
  <si>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</si>
  <si>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</si>
  <si>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</si>
  <si>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</si>
  <si>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</si>
  <si>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</si>
  <si>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</si>
  <si>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</si>
  <si>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</si>
  <si>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</si>
  <si>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</si>
  <si>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</si>
  <si>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</si>
  <si>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</si>
  <si>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</si>
  <si>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</si>
  <si>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</si>
  <si>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</si>
  <si>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</si>
  <si>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</si>
  <si>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</si>
  <si>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</si>
  <si>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</si>
  <si>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</si>
  <si>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</si>
  <si>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</si>
  <si>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</si>
  <si>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</si>
  <si>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</si>
  <si>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</si>
  <si>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</si>
  <si>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</si>
  <si>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</si>
  <si>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</si>
  <si>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</si>
  <si>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</si>
  <si>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</si>
  <si>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</si>
  <si>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</si>
  <si>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</si>
  <si>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</si>
  <si>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</si>
  <si>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</si>
  <si>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</si>
  <si>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</si>
  <si>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</si>
  <si>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</si>
  <si>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</si>
  <si>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</si>
  <si>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</si>
  <si>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</si>
  <si>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</si>
  <si>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</si>
  <si>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</si>
  <si>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</si>
  <si>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</si>
  <si>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</si>
  <si>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</si>
  <si>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</si>
  <si>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</si>
  <si>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</si>
  <si>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</si>
  <si>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</si>
  <si>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</si>
  <si>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</si>
  <si>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</si>
  <si>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</si>
  <si>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</si>
  <si>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</si>
  <si>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</si>
  <si>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</si>
  <si>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</si>
  <si>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</si>
  <si>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</si>
  <si>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</si>
  <si>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</si>
  <si>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</si>
  <si>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</si>
  <si>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</si>
  <si>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</si>
  <si>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</si>
  <si>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</si>
  <si>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</si>
  <si>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</si>
  <si>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</si>
  <si>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</si>
  <si>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</si>
  <si>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</si>
  <si>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</si>
  <si>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</si>
  <si>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</si>
  <si>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</si>
  <si>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</si>
  <si>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</si>
  <si>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</si>
  <si>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</si>
  <si>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</si>
  <si>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</si>
  <si>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</si>
  <si>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</si>
  <si>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</si>
  <si>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</si>
  <si>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</si>
  <si>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</si>
  <si>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</si>
  <si>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</si>
  <si>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</si>
  <si>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</si>
  <si>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</si>
  <si>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</si>
  <si>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</si>
  <si>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</si>
  <si>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</si>
  <si>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</si>
  <si>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</si>
  <si>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</si>
  <si>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</si>
  <si>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</si>
  <si>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</si>
  <si>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</si>
  <si>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</si>
  <si>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</si>
  <si>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</si>
  <si>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</si>
  <si>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</si>
  <si>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</si>
  <si>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</si>
  <si>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</si>
  <si>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</si>
  <si>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</si>
  <si>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</si>
  <si>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</si>
  <si>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</si>
  <si>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</si>
  <si>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</si>
  <si>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</si>
  <si>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</si>
  <si>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</si>
  <si>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</si>
  <si>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</si>
  <si>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</si>
  <si>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</si>
  <si>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</si>
  <si>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</si>
  <si>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</si>
  <si>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</si>
  <si>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</si>
  <si>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</si>
  <si>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</si>
  <si>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</si>
  <si>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</si>
  <si>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</si>
  <si>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</si>
  <si>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</si>
  <si>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</si>
  <si>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</si>
  <si>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</si>
  <si>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</si>
  <si>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</si>
  <si>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</si>
  <si>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</si>
  <si>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</si>
  <si>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</si>
  <si>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</si>
  <si>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</si>
  <si>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</si>
  <si>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</si>
  <si>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</si>
  <si>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</si>
  <si>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</si>
  <si>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</si>
  <si>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</si>
  <si>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</si>
  <si>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</si>
  <si>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</si>
  <si>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</si>
  <si>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</si>
  <si>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</si>
  <si>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</si>
  <si>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</si>
  <si>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</si>
  <si>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</si>
  <si>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</si>
  <si>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</si>
  <si>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</si>
  <si>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</si>
  <si>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</si>
  <si>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</si>
  <si>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</si>
  <si>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</si>
  <si>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</si>
  <si>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</si>
  <si>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</si>
  <si>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</si>
  <si>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</si>
  <si>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</si>
  <si>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</si>
  <si>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</si>
  <si>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</si>
  <si>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</si>
  <si>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</si>
  <si>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</si>
  <si>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</si>
  <si>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</si>
  <si>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</si>
  <si>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</si>
  <si>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</si>
  <si>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</si>
  <si>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</si>
  <si>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</si>
  <si>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</si>
  <si>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</si>
  <si>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</si>
  <si>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</si>
  <si>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</si>
  <si>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</si>
  <si>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</si>
  <si>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</si>
  <si>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</si>
  <si>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</si>
  <si>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</si>
  <si>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</si>
  <si>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</si>
  <si>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</si>
  <si>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</si>
  <si>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</si>
  <si>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</si>
  <si>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</si>
  <si>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</si>
  <si>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</si>
  <si>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</si>
  <si>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</si>
  <si>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</si>
  <si>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</si>
  <si>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</si>
  <si>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</si>
  <si>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</si>
  <si>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</si>
  <si>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</si>
  <si>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</si>
  <si>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</si>
  <si>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</si>
  <si>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</si>
  <si>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</si>
  <si>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</si>
  <si>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</si>
  <si>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</si>
  <si>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</si>
  <si>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</si>
  <si>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</si>
  <si>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</si>
  <si>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</si>
  <si>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</si>
  <si>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</si>
  <si>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</si>
  <si>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</si>
  <si>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</si>
  <si>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</si>
  <si>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</si>
  <si>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</si>
  <si>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</si>
  <si>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</si>
  <si>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</si>
  <si>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</si>
  <si>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</si>
  <si>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</si>
  <si>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</si>
  <si>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</si>
  <si>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</si>
  <si>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</si>
  <si>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</si>
  <si>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</si>
  <si>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</si>
  <si>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</si>
  <si>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</si>
  <si>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</si>
  <si>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</si>
  <si>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</si>
  <si>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</si>
  <si>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</si>
  <si>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</si>
  <si>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</si>
  <si>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</si>
  <si>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</si>
  <si>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</si>
  <si>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</si>
  <si>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</si>
  <si>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</si>
  <si>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</si>
  <si>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</si>
  <si>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</si>
  <si>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</si>
  <si>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</si>
  <si>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</si>
  <si>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</si>
  <si>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</si>
  <si>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</si>
  <si>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</si>
  <si>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</si>
  <si>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</si>
  <si>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</si>
  <si>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</si>
  <si>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</si>
  <si>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</si>
  <si>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</si>
  <si>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</si>
  <si>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</si>
  <si>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</si>
  <si>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</si>
  <si>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</si>
  <si>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</si>
  <si>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</si>
  <si>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</si>
  <si>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</si>
  <si>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</si>
  <si>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</si>
  <si>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</si>
  <si>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</si>
  <si>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</si>
  <si>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</si>
  <si>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</si>
  <si>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</si>
  <si>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</si>
  <si>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</si>
  <si>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</si>
  <si>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</si>
  <si>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</si>
  <si>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</si>
  <si>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</si>
  <si>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</si>
  <si>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</si>
  <si>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</si>
  <si>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</si>
  <si>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</si>
  <si>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</si>
  <si>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</si>
  <si>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</si>
  <si>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</si>
  <si>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</si>
  <si>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</si>
  <si>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</si>
  <si>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</si>
  <si>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</si>
  <si>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</si>
  <si>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</si>
  <si>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</si>
  <si>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</si>
  <si>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</si>
  <si>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</si>
  <si>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</si>
  <si>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</si>
  <si>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</si>
  <si>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</si>
  <si>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</si>
  <si>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</si>
  <si>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</si>
  <si>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</si>
  <si>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</si>
  <si>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</si>
  <si>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</si>
  <si>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</si>
  <si>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</si>
  <si>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</si>
  <si>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</si>
  <si>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</si>
  <si>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</si>
  <si>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</si>
  <si>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</si>
  <si>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</si>
  <si>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</si>
  <si>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</si>
  <si>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</si>
  <si>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</si>
  <si>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</si>
  <si>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</si>
  <si>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</si>
  <si>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</si>
  <si>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</si>
  <si>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</si>
  <si>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</si>
  <si>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</si>
  <si>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</si>
  <si>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</si>
  <si>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</si>
  <si>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</si>
  <si>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</si>
  <si>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</si>
  <si>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</si>
  <si>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</si>
  <si>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</si>
  <si>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</si>
  <si>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</si>
  <si>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</si>
  <si>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</si>
  <si>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</si>
  <si>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</si>
  <si>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</si>
  <si>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</si>
  <si>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</si>
  <si>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</si>
  <si>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</si>
  <si>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</si>
  <si>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</si>
  <si>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</si>
  <si>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</si>
  <si>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</si>
  <si>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</si>
  <si>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</si>
  <si>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</si>
  <si>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</si>
  <si>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</si>
  <si>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</si>
  <si>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</si>
  <si>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</si>
  <si>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</si>
  <si>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</si>
  <si>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</si>
  <si>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</si>
  <si>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</si>
  <si>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</si>
  <si>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</si>
  <si>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</si>
  <si>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</si>
  <si>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</si>
  <si>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</si>
  <si>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</si>
  <si>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</si>
  <si>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</si>
  <si>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</si>
  <si>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</si>
  <si>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</si>
  <si>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</si>
  <si>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</si>
  <si>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</si>
  <si>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</si>
  <si>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</si>
  <si>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</si>
  <si>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</si>
  <si>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</si>
  <si>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</si>
  <si>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</si>
  <si>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</si>
  <si>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</si>
  <si>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</si>
  <si>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</si>
  <si>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</si>
  <si>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</si>
  <si>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</si>
  <si>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</si>
  <si>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</si>
  <si>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</si>
  <si>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</si>
  <si>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</si>
  <si>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</si>
  <si>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</si>
  <si>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</si>
  <si>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</si>
  <si>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</si>
  <si>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</si>
  <si>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</si>
  <si>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</si>
  <si>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</si>
  <si>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</si>
  <si>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</si>
  <si>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</si>
  <si>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</si>
  <si>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</si>
  <si>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</si>
  <si>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</si>
  <si>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</si>
  <si>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</si>
  <si>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</si>
  <si>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</si>
  <si>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</si>
  <si>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</si>
  <si>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</si>
  <si>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</si>
  <si>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</si>
  <si>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</si>
  <si>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</si>
  <si>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</si>
  <si>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</si>
  <si>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</si>
  <si>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</si>
  <si>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</si>
  <si>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</si>
  <si>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</si>
  <si>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</si>
  <si>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</si>
  <si>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</si>
  <si>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</si>
  <si>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</si>
  <si>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</si>
  <si>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</si>
  <si>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</si>
  <si>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</si>
  <si>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</si>
  <si>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</si>
  <si>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</si>
  <si>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</si>
  <si>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</si>
  <si>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</si>
  <si>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</si>
  <si>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</si>
  <si>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</si>
  <si>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</si>
  <si>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</si>
  <si>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</si>
  <si>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</si>
  <si>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</si>
  <si>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</si>
  <si>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</si>
  <si>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</si>
  <si>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</si>
  <si>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</si>
  <si>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</si>
  <si>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</si>
  <si>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</si>
  <si>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</si>
  <si>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</si>
  <si>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</si>
  <si>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</si>
  <si>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</si>
  <si>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</si>
  <si>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</si>
  <si>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</si>
  <si>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</si>
  <si>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</si>
  <si>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</si>
  <si>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</si>
  <si>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</si>
  <si>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</si>
  <si>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</si>
  <si>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</si>
  <si>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</si>
  <si>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</si>
  <si>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</si>
  <si>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</si>
  <si>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</si>
  <si>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</si>
  <si>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</si>
  <si>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</si>
  <si>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</si>
  <si>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</si>
  <si>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</si>
  <si>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</si>
  <si>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</si>
  <si>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</si>
  <si>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</si>
  <si>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</si>
  <si>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</si>
  <si>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</si>
  <si>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</si>
  <si>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</si>
  <si>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</si>
  <si>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</si>
  <si>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</si>
  <si>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</si>
  <si>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</si>
  <si>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</si>
  <si>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</si>
  <si>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</si>
  <si>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</si>
  <si>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</si>
  <si>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</si>
  <si>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</si>
  <si>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</si>
  <si>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</si>
  <si>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</si>
  <si>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</si>
  <si>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</si>
  <si>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</si>
  <si>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</si>
  <si>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</si>
  <si>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</si>
  <si>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</si>
  <si>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</si>
  <si>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</si>
  <si>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</si>
  <si>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</si>
  <si>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</si>
  <si>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</si>
  <si>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</si>
  <si>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</si>
  <si>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</si>
  <si>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</si>
  <si>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</si>
  <si>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</si>
  <si>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</si>
  <si>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</si>
  <si>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</si>
  <si>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</si>
  <si>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</si>
  <si>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</si>
  <si>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</si>
  <si>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</si>
  <si>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</si>
  <si>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</si>
  <si>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</si>
  <si>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</si>
  <si>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</si>
  <si>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</si>
  <si>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</si>
  <si>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</si>
  <si>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</si>
  <si>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</si>
  <si>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</si>
  <si>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</si>
  <si>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</si>
  <si>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</si>
  <si>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</si>
  <si>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</si>
  <si>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</si>
  <si>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</si>
  <si>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</si>
  <si>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</si>
  <si>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</si>
  <si>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</si>
  <si>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</si>
  <si>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</si>
  <si>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</si>
  <si>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</si>
  <si>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</si>
  <si>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</si>
  <si>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</si>
  <si>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</si>
  <si>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</si>
  <si>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</si>
  <si>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</si>
  <si>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</si>
  <si>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</si>
  <si>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</si>
  <si>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</si>
  <si>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</si>
  <si>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</si>
  <si>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</si>
  <si>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</si>
  <si>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</si>
  <si>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</si>
  <si>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</si>
  <si>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</si>
  <si>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</si>
  <si>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</si>
  <si>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</si>
  <si>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</si>
  <si>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</si>
  <si>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</si>
  <si>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</si>
  <si>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</si>
  <si>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</si>
  <si>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</si>
  <si>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</si>
  <si>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</si>
  <si>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</si>
  <si>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</si>
  <si>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</si>
  <si>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</si>
  <si>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</si>
  <si>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</si>
  <si>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</si>
  <si>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</si>
  <si>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</si>
  <si>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</si>
  <si>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</si>
  <si>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</si>
  <si>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</si>
  <si>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</si>
  <si>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</si>
  <si>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</si>
  <si>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</si>
  <si>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</si>
  <si>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</si>
  <si>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</si>
  <si>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</si>
  <si>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</si>
  <si>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</si>
  <si>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</si>
  <si>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</si>
  <si>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</si>
  <si>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</si>
  <si>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</si>
  <si>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</si>
  <si>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</si>
  <si>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</si>
  <si>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</si>
  <si>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</si>
  <si>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</si>
  <si>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</si>
  <si>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</si>
  <si>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</si>
  <si>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</si>
  <si>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</si>
  <si>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</si>
  <si>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</si>
  <si>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</si>
  <si>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</si>
  <si>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</si>
  <si>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</si>
  <si>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</si>
  <si>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</si>
  <si>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</si>
  <si>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</si>
  <si>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</si>
  <si>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</si>
  <si>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</si>
  <si>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</si>
  <si>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</si>
  <si>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</si>
  <si>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</si>
  <si>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</si>
  <si>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</si>
  <si>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</si>
  <si>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</si>
  <si>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</si>
  <si>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</si>
  <si>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</si>
  <si>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</si>
  <si>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</si>
  <si>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</si>
  <si>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</si>
  <si>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</si>
  <si>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</si>
  <si>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</si>
  <si>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</si>
  <si>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</si>
  <si>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</si>
  <si>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</si>
  <si>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</si>
  <si>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</si>
  <si>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</si>
  <si>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</si>
  <si>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</si>
  <si>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</si>
  <si>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</si>
  <si>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</si>
  <si>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</si>
  <si>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</si>
  <si>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</si>
  <si>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</si>
  <si>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</si>
  <si>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</si>
  <si>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</si>
  <si>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</si>
  <si>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</si>
  <si>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</si>
  <si>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</si>
  <si>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</si>
  <si>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</si>
  <si>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</si>
  <si>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</si>
  <si>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</si>
  <si>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</si>
  <si>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</si>
  <si>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</si>
  <si>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</si>
  <si>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</si>
  <si>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</si>
  <si>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</si>
  <si>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</si>
  <si>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</si>
  <si>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</si>
  <si>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</si>
  <si>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</si>
  <si>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</si>
  <si>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</si>
  <si>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</si>
  <si>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</si>
  <si>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</si>
  <si>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</si>
  <si>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</si>
  <si>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</si>
  <si>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</si>
  <si>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</si>
  <si>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</si>
  <si>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</si>
  <si>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</si>
  <si>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</si>
  <si>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</si>
  <si>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</si>
  <si>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</si>
  <si>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</si>
  <si>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</si>
  <si>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</si>
  <si>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</si>
  <si>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</si>
  <si>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</si>
  <si>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</si>
  <si>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</si>
  <si>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</si>
  <si>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</si>
  <si>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</si>
  <si>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</si>
  <si>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</si>
  <si>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</si>
  <si>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</si>
  <si>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</si>
  <si>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</si>
  <si>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</si>
  <si>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</si>
  <si>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</si>
  <si>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</si>
  <si>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</si>
  <si>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</si>
  <si>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</si>
  <si>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</si>
  <si>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</si>
  <si>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</si>
  <si>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</si>
  <si>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</si>
  <si>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</si>
  <si>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</si>
  <si>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</si>
  <si>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</si>
  <si>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</si>
  <si>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</si>
  <si>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</si>
  <si>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</si>
  <si>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</si>
  <si>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</si>
  <si>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</si>
  <si>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</si>
  <si>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</si>
  <si>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</si>
  <si>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</si>
  <si>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</si>
  <si>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</si>
  <si>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</si>
  <si>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</si>
  <si>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</si>
  <si>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</si>
  <si>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</si>
  <si>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</si>
  <si>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</si>
  <si>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</si>
  <si>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</si>
  <si>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</si>
  <si>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</si>
  <si>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</si>
  <si>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</si>
  <si>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</si>
  <si>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</si>
  <si>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</si>
  <si>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</si>
  <si>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</si>
  <si>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</si>
  <si>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</si>
  <si>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</si>
  <si>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</si>
  <si>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</si>
  <si>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</si>
  <si>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</si>
  <si>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</si>
  <si>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</si>
  <si>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</si>
  <si>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</si>
  <si>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</si>
  <si>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</si>
  <si>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</si>
  <si>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</si>
  <si>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</si>
  <si>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</si>
  <si>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</si>
  <si>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</si>
  <si>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</si>
  <si>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</si>
  <si>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</si>
  <si>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</si>
  <si>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</si>
  <si>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</si>
  <si>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</si>
  <si>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</si>
  <si>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</si>
  <si>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</si>
  <si>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</si>
  <si>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</si>
  <si>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</si>
  <si>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</si>
  <si>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</si>
  <si>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</si>
  <si>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</si>
  <si>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</si>
  <si>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</si>
  <si>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</si>
  <si>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</si>
  <si>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</si>
  <si>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</si>
  <si>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</si>
  <si>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</si>
  <si>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</si>
  <si>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</si>
  <si>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</si>
  <si>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</si>
  <si>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</si>
  <si>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</si>
  <si>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</si>
  <si>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</si>
  <si>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</si>
  <si>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</si>
  <si>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</si>
  <si>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</si>
  <si>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</si>
  <si>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</si>
  <si>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</si>
  <si>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</si>
  <si>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</si>
  <si>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</si>
  <si>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</si>
  <si>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</si>
  <si>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</si>
  <si>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</si>
  <si>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</si>
  <si>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</si>
  <si>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</si>
  <si>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</si>
  <si>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</si>
  <si>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</si>
  <si>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</si>
  <si>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</si>
  <si>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</si>
  <si>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</si>
  <si>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</si>
  <si>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</si>
  <si>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</si>
  <si>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</si>
  <si>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</si>
  <si>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</si>
  <si>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</si>
  <si>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</si>
  <si>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</si>
  <si>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</si>
  <si>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</si>
  <si>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</si>
  <si>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</si>
  <si>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</si>
  <si>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</si>
  <si>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</si>
  <si>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</si>
  <si>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</si>
  <si>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</si>
  <si>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</si>
  <si>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</si>
  <si>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</si>
  <si>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</si>
  <si>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</si>
  <si>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</si>
  <si>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</si>
  <si>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</si>
  <si>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</si>
  <si>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</si>
  <si>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</si>
  <si>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</si>
  <si>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</si>
  <si>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</si>
  <si>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</si>
  <si>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</si>
  <si>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</si>
  <si>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</si>
  <si>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</si>
  <si>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</si>
  <si>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</si>
  <si>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</si>
  <si>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</si>
  <si>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</si>
  <si>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</si>
  <si>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</si>
  <si>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</si>
  <si>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</si>
  <si>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</si>
  <si>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</si>
  <si>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</si>
  <si>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</si>
  <si>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</si>
  <si>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</si>
  <si>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</si>
  <si>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</si>
  <si>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</si>
  <si>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</si>
  <si>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</si>
  <si>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</si>
  <si>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</si>
  <si>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</si>
  <si>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</si>
  <si>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</si>
  <si>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</si>
  <si>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</si>
  <si>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</si>
  <si>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</si>
  <si>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</si>
  <si>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</si>
  <si>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</si>
  <si>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</si>
  <si>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</si>
  <si>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</si>
  <si>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</si>
  <si>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</si>
  <si>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</si>
  <si>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</si>
  <si>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</si>
  <si>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</si>
  <si>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</si>
  <si>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</si>
  <si>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</si>
  <si>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</si>
  <si>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</si>
  <si>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</si>
  <si>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</si>
  <si>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</si>
  <si>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</si>
  <si>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</si>
  <si>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</si>
  <si>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</si>
  <si>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</si>
  <si>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</si>
  <si>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</si>
  <si>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</si>
  <si>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</si>
  <si>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</si>
  <si>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</si>
  <si>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</si>
  <si>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</si>
  <si>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</si>
  <si>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</si>
  <si>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</si>
  <si>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</si>
  <si>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</si>
  <si>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</si>
  <si>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</si>
  <si>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</si>
  <si>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</si>
  <si>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</si>
  <si>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</si>
  <si>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</si>
  <si>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</si>
  <si>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</si>
  <si>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</si>
  <si>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</si>
  <si>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</si>
  <si>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</si>
  <si>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</si>
  <si>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</si>
  <si>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</si>
  <si>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</si>
  <si>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</si>
  <si>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</si>
  <si>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</si>
  <si>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</si>
  <si>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</si>
  <si>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</si>
  <si>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</si>
  <si>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</si>
  <si>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</si>
  <si>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</si>
  <si>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</si>
  <si>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</si>
  <si>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</si>
  <si>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</si>
  <si>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</si>
  <si>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</si>
  <si>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</si>
  <si>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</si>
  <si>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</si>
  <si>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</si>
  <si>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</si>
  <si>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</si>
  <si>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</si>
  <si>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</si>
  <si>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</si>
  <si>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</si>
  <si>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</si>
  <si>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</si>
  <si>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</si>
  <si>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</si>
  <si>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</si>
  <si>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</si>
  <si>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</si>
  <si>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</si>
  <si>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</si>
  <si>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</si>
  <si>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</si>
  <si>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</si>
  <si>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</si>
  <si>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</si>
  <si>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</si>
  <si>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</si>
  <si>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</si>
  <si>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</si>
  <si>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</si>
  <si>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</si>
  <si>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</si>
  <si>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</si>
  <si>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</si>
  <si>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</si>
  <si>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</si>
  <si>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</si>
  <si>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</si>
  <si>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</si>
  <si>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</si>
  <si>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</si>
  <si>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</si>
  <si>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</si>
  <si>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</si>
  <si>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</si>
  <si>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</si>
  <si>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</si>
  <si>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</si>
  <si>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</si>
  <si>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</si>
  <si>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</si>
  <si>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</si>
  <si>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</si>
  <si>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</si>
  <si>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</si>
  <si>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</si>
  <si>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</si>
  <si>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</si>
  <si>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</si>
  <si>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</si>
  <si>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</si>
  <si>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</si>
  <si>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</si>
  <si>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</si>
  <si>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</si>
  <si>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</si>
  <si>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</si>
  <si>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</si>
  <si>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</si>
  <si>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</si>
  <si>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</si>
  <si>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</si>
  <si>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</si>
  <si>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</si>
  <si>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</si>
  <si>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</si>
  <si>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</si>
  <si>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</si>
  <si>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</si>
  <si>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</si>
  <si>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</si>
  <si>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</si>
  <si>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</si>
  <si>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</si>
  <si>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</si>
  <si>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</si>
  <si>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</si>
  <si>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</si>
  <si>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</si>
  <si>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</si>
  <si>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</si>
  <si>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</si>
  <si>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</si>
  <si>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</si>
  <si>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</si>
  <si>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</si>
  <si>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</si>
  <si>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</si>
  <si>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</si>
  <si>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</si>
  <si>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</si>
  <si>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</si>
  <si>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</si>
  <si>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</si>
  <si>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</si>
  <si>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</si>
  <si>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</si>
  <si>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</si>
  <si>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</si>
  <si>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</si>
  <si>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</si>
  <si>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</si>
  <si>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</si>
  <si>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</si>
  <si>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</si>
  <si>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</si>
  <si>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</si>
  <si>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</si>
  <si>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</si>
  <si>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</si>
  <si>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</si>
  <si>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</si>
  <si>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</si>
  <si>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</si>
  <si>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</si>
  <si>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</si>
  <si>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</si>
  <si>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</si>
  <si>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</si>
  <si>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</si>
  <si>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</si>
  <si>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</si>
  <si>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</si>
  <si>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</si>
  <si>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</si>
  <si>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</si>
  <si>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</si>
  <si>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</si>
  <si>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</si>
  <si>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</si>
  <si>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</si>
  <si>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</si>
  <si>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</si>
  <si>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</si>
  <si>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</si>
  <si>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</si>
  <si>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</si>
  <si>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</si>
  <si>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</si>
  <si>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</si>
  <si>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</si>
  <si>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</si>
  <si>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</si>
  <si>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</si>
  <si>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</si>
  <si>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</si>
  <si>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</si>
  <si>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</si>
  <si>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</si>
  <si>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</si>
  <si>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</si>
  <si>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</si>
  <si>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</si>
  <si>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</si>
  <si>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</si>
  <si>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</si>
  <si>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</si>
  <si>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</si>
  <si>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</si>
  <si>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</si>
  <si>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</si>
  <si>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</si>
  <si>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</si>
  <si>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</si>
  <si>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</si>
  <si>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</si>
  <si>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</si>
  <si>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</si>
  <si>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</si>
  <si>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</si>
  <si>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</si>
  <si>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</si>
  <si>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</si>
  <si>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</si>
  <si>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</si>
  <si>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</si>
  <si>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</si>
  <si>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</si>
  <si>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</si>
  <si>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</si>
  <si>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</si>
  <si>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</si>
  <si>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</si>
  <si>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</si>
  <si>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</si>
  <si>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</si>
  <si>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</si>
  <si>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</si>
  <si>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</si>
  <si>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</si>
  <si>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</si>
  <si>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</si>
  <si>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</si>
  <si>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</si>
  <si>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</si>
  <si>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</si>
  <si>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</si>
  <si>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</si>
  <si>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</si>
  <si>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</si>
  <si>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</si>
  <si>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</si>
  <si>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</si>
  <si>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</si>
  <si>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</si>
  <si>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</si>
  <si>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</si>
  <si>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</si>
  <si>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</si>
  <si>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</si>
  <si>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</si>
  <si>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</si>
  <si>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</si>
  <si>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</si>
  <si>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</si>
  <si>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</si>
  <si>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</si>
  <si>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</si>
  <si>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</si>
  <si>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</si>
  <si>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</si>
  <si>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</si>
  <si>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</si>
  <si>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</si>
  <si>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</si>
  <si>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</si>
  <si>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</si>
  <si>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</si>
  <si>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</si>
  <si>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</si>
  <si>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</si>
  <si>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</si>
  <si>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</si>
  <si>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</si>
  <si>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</si>
  <si>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</si>
  <si>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</si>
  <si>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</si>
  <si>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</si>
  <si>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</si>
  <si>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</si>
  <si>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</si>
  <si>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</si>
  <si>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</si>
  <si>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</si>
  <si>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</si>
  <si>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</si>
  <si>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</si>
  <si>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</si>
  <si>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</si>
  <si>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</si>
  <si>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</si>
  <si>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</si>
  <si>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</si>
  <si>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</si>
  <si>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</si>
  <si>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</si>
  <si>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</si>
  <si>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</si>
  <si>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</si>
  <si>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</si>
  <si>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</si>
  <si>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</si>
  <si>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</si>
  <si>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</si>
  <si>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</si>
  <si>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</si>
  <si>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</si>
  <si>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</si>
  <si>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</si>
  <si>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</si>
  <si>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</si>
  <si>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</si>
  <si>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</si>
  <si>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</si>
  <si>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</si>
  <si>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</si>
  <si>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</si>
  <si>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</si>
  <si>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</si>
  <si>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</si>
  <si>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</si>
  <si>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</si>
  <si>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</si>
  <si>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</si>
  <si>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</si>
  <si>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</si>
  <si>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</si>
  <si>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</si>
  <si>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</si>
  <si>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</si>
  <si>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</si>
  <si>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</si>
  <si>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</si>
  <si>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</si>
  <si>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</si>
  <si>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</si>
  <si>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</si>
  <si>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</si>
  <si>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</si>
  <si>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</si>
  <si>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</si>
  <si>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</si>
  <si>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</si>
  <si>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</si>
  <si>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</si>
  <si>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</si>
  <si>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</si>
  <si>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</si>
  <si>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</si>
  <si>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</si>
  <si>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</si>
  <si>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</si>
  <si>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</si>
  <si>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</si>
  <si>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</si>
  <si>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</si>
  <si>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</si>
  <si>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</si>
  <si>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</si>
  <si>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</si>
  <si>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</si>
  <si>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</si>
  <si>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</si>
  <si>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</si>
  <si>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</si>
  <si>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</si>
  <si>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</si>
  <si>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</si>
  <si>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</si>
  <si>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</si>
  <si>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</si>
  <si>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</si>
  <si>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</si>
  <si>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</si>
  <si>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</si>
  <si>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</si>
  <si>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</si>
  <si>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</si>
  <si>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</si>
  <si>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</si>
  <si>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</si>
  <si>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</si>
  <si>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</si>
  <si>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</si>
  <si>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</si>
  <si>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</si>
  <si>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</si>
  <si>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</si>
  <si>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</si>
  <si>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</si>
  <si>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</si>
  <si>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</si>
  <si>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</si>
  <si>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</si>
  <si>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</si>
  <si>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</si>
  <si>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</si>
  <si>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</si>
  <si>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</si>
  <si>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</si>
  <si>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</si>
  <si>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</si>
  <si>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</si>
  <si>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</si>
  <si>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</si>
  <si>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</si>
  <si>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</si>
  <si>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</si>
  <si>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</si>
  <si>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</si>
  <si>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</si>
  <si>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</si>
  <si>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</si>
  <si>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</si>
  <si>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</si>
  <si>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</si>
  <si>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</si>
  <si>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</si>
  <si>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</si>
  <si>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</si>
  <si>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</si>
  <si>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</si>
  <si>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</si>
  <si>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</si>
  <si>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</si>
  <si>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</si>
  <si>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</si>
  <si>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</si>
  <si>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</si>
  <si>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</si>
  <si>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</si>
  <si>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</si>
  <si>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</si>
  <si>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</si>
  <si>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</si>
  <si>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</si>
  <si>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</si>
  <si>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</si>
  <si>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</si>
  <si>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</si>
  <si>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</si>
  <si>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</si>
  <si>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</si>
  <si>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</si>
  <si>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</si>
  <si>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</si>
  <si>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</si>
  <si>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</si>
  <si>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</si>
  <si>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</si>
  <si>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</si>
  <si>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</si>
  <si>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</si>
  <si>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</si>
  <si>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</si>
  <si>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</si>
  <si>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</si>
  <si>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</si>
  <si>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</si>
  <si>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</si>
  <si>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</si>
  <si>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</si>
  <si>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</si>
  <si>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</si>
  <si>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</si>
  <si>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</si>
  <si>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</si>
  <si>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</si>
  <si>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</si>
  <si>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</si>
  <si>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</si>
  <si>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</si>
  <si>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</si>
  <si>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</si>
  <si>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</si>
  <si>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</si>
  <si>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</si>
  <si>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</si>
  <si>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</si>
  <si>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</si>
  <si>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</si>
  <si>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</si>
  <si>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</si>
  <si>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</si>
  <si>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</si>
  <si>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</si>
  <si>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</si>
  <si>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</si>
  <si>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</si>
  <si>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</si>
  <si>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</si>
  <si>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</si>
  <si>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</si>
  <si>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</si>
  <si>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</si>
  <si>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</si>
  <si>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</si>
  <si>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</si>
  <si>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</si>
  <si>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</si>
  <si>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</si>
  <si>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</si>
  <si>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</si>
  <si>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</si>
  <si>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</si>
  <si>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</si>
  <si>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</si>
  <si>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</si>
  <si>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</si>
  <si>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</si>
  <si>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</si>
  <si>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</si>
  <si>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</si>
  <si>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</si>
  <si>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</si>
  <si>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</si>
  <si>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</si>
  <si>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</si>
  <si>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</si>
  <si>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</si>
  <si>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</si>
  <si>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</si>
  <si>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</si>
  <si>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</si>
  <si>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</si>
  <si>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</si>
  <si>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</si>
  <si>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</si>
  <si>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</si>
  <si>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</si>
  <si>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</si>
  <si>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</si>
  <si>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</si>
  <si>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</si>
  <si>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</si>
  <si>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</si>
  <si>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</si>
  <si>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</si>
  <si>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</si>
  <si>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</si>
  <si>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</si>
  <si>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</si>
  <si>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</si>
  <si>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</si>
  <si>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</si>
  <si>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</si>
  <si>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</si>
  <si>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</si>
  <si>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</si>
  <si>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</si>
  <si>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</si>
  <si>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</si>
  <si>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</si>
  <si>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</si>
  <si>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</si>
  <si>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</si>
  <si>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</si>
  <si>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</si>
  <si>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</si>
  <si>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</si>
  <si>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</si>
  <si>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</si>
  <si>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</si>
  <si>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</si>
  <si>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</si>
  <si>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</si>
  <si>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</si>
  <si>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</si>
  <si>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</si>
  <si>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</si>
  <si>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</si>
  <si>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</si>
  <si>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</si>
  <si>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</si>
  <si>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</si>
  <si>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</si>
  <si>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</si>
  <si>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</si>
  <si>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</si>
  <si>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</si>
  <si>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</si>
  <si>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</si>
  <si>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</si>
  <si>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</si>
  <si>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</si>
  <si>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</si>
  <si>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</si>
  <si>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</si>
  <si>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</si>
  <si>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</si>
  <si>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</si>
  <si>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</si>
  <si>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</si>
  <si>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</si>
  <si>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</si>
  <si>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</si>
  <si>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</si>
  <si>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</si>
  <si>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</si>
  <si>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</si>
  <si>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</si>
  <si>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</si>
  <si>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</si>
  <si>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</si>
  <si>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</si>
  <si>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</si>
  <si>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</si>
  <si>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</si>
  <si>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</si>
  <si>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</si>
  <si>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</si>
  <si>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</si>
  <si>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</si>
  <si>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</si>
  <si>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</si>
  <si>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</si>
  <si>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</si>
  <si>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</si>
  <si>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</si>
  <si>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</si>
  <si>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</si>
  <si>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</si>
  <si>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</si>
  <si>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</si>
  <si>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</si>
  <si>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</si>
  <si>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房地产抵押价值</t>
  </si>
  <si>
    <t>抵押</t>
  </si>
  <si>
    <t>北京市</t>
  </si>
  <si>
    <t>企业</t>
  </si>
  <si>
    <r>
      <rPr>
        <sz val="10"/>
        <color indexed="8"/>
        <rFont val="宋体"/>
        <family val="3"/>
        <charset val="134"/>
      </rPr>
      <t>密顺路</t>
    </r>
    <r>
      <rPr>
        <sz val="10"/>
        <color indexed="8"/>
        <rFont val="Arial"/>
        <family val="2"/>
      </rPr>
      <t>19</t>
    </r>
    <r>
      <rPr>
        <sz val="10"/>
        <color indexed="8"/>
        <rFont val="宋体"/>
        <family val="3"/>
        <charset val="134"/>
      </rPr>
      <t>号院</t>
    </r>
    <r>
      <rPr>
        <sz val="10"/>
        <color indexed="8"/>
        <rFont val="Arial"/>
        <family val="2"/>
      </rPr>
      <t>1</t>
    </r>
    <r>
      <rPr>
        <sz val="10"/>
        <color indexed="8"/>
        <rFont val="宋体"/>
        <family val="3"/>
        <charset val="134"/>
      </rPr>
      <t>号楼</t>
    </r>
    <phoneticPr fontId="3" type="noConversion"/>
  </si>
  <si>
    <t>地上</t>
  </si>
  <si>
    <t>地下</t>
  </si>
  <si>
    <t>办公</t>
    <phoneticPr fontId="7" type="noConversion"/>
  </si>
  <si>
    <t>是</t>
  </si>
  <si>
    <t>成新度</t>
  </si>
  <si>
    <t>建面</t>
    <phoneticPr fontId="3" type="noConversion"/>
  </si>
  <si>
    <t>单方建安</t>
    <phoneticPr fontId="3" type="noConversion"/>
  </si>
  <si>
    <t>合计</t>
    <phoneticPr fontId="3" type="noConversion"/>
  </si>
  <si>
    <t>总造价</t>
    <phoneticPr fontId="3" type="noConversion"/>
  </si>
  <si>
    <t>建安</t>
    <phoneticPr fontId="3" type="noConversion"/>
  </si>
  <si>
    <t>地上</t>
    <phoneticPr fontId="3" type="noConversion"/>
  </si>
  <si>
    <t>装修</t>
    <phoneticPr fontId="3" type="noConversion"/>
  </si>
  <si>
    <t>机电设备</t>
    <phoneticPr fontId="3" type="noConversion"/>
  </si>
  <si>
    <t>收益法</t>
  </si>
  <si>
    <t>自定义容积率</t>
  </si>
  <si>
    <t>与级别开发程度不一致</t>
  </si>
  <si>
    <t>通路</t>
  </si>
  <si>
    <t>通电</t>
  </si>
  <si>
    <t>通讯</t>
  </si>
  <si>
    <t>通上水</t>
  </si>
  <si>
    <t>通下水</t>
  </si>
  <si>
    <t>平整</t>
  </si>
  <si>
    <t>较好</t>
  </si>
  <si>
    <t>一般</t>
  </si>
  <si>
    <t>好</t>
  </si>
  <si>
    <t>未包含在土地购买价格中</t>
  </si>
  <si>
    <t>全部缴纳</t>
  </si>
  <si>
    <t>已包含在土地取得成本中</t>
  </si>
  <si>
    <t>押一</t>
  </si>
  <si>
    <t>钢混</t>
  </si>
  <si>
    <t>非生产用房</t>
  </si>
  <si>
    <t>否</t>
  </si>
  <si>
    <t>成本法</t>
  </si>
  <si>
    <t>现房</t>
  </si>
  <si>
    <t>项目局部</t>
  </si>
  <si>
    <t>单套模式</t>
  </si>
  <si>
    <t>租金</t>
  </si>
  <si>
    <t>挂牌</t>
    <phoneticPr fontId="3" type="noConversion"/>
  </si>
  <si>
    <t>多层办公</t>
    <phoneticPr fontId="3" type="noConversion"/>
  </si>
  <si>
    <t>钢混</t>
    <phoneticPr fontId="3" type="noConversion"/>
  </si>
  <si>
    <t>砖混</t>
    <phoneticPr fontId="3" type="noConversion"/>
  </si>
  <si>
    <t>精装修</t>
    <phoneticPr fontId="3" type="noConversion"/>
  </si>
  <si>
    <t>普通装修</t>
    <phoneticPr fontId="3" type="noConversion"/>
  </si>
  <si>
    <t>普通</t>
    <phoneticPr fontId="3" type="noConversion"/>
  </si>
  <si>
    <t>园区自管</t>
    <phoneticPr fontId="3" type="noConversion"/>
  </si>
  <si>
    <t>七通</t>
    <phoneticPr fontId="3" type="noConversion"/>
  </si>
  <si>
    <t>六通</t>
    <phoneticPr fontId="3" type="noConversion"/>
  </si>
  <si>
    <t>五通</t>
    <phoneticPr fontId="3" type="noConversion"/>
  </si>
  <si>
    <t>标准</t>
    <phoneticPr fontId="3" type="noConversion"/>
  </si>
  <si>
    <t>简单装修</t>
    <phoneticPr fontId="3" type="noConversion"/>
  </si>
  <si>
    <t>毛坯</t>
    <phoneticPr fontId="3" type="noConversion"/>
  </si>
  <si>
    <t>整栋</t>
    <phoneticPr fontId="3" type="noConversion"/>
  </si>
  <si>
    <t>单套</t>
    <phoneticPr fontId="3" type="noConversion"/>
  </si>
  <si>
    <t>整栋、单套</t>
    <phoneticPr fontId="3" type="noConversion"/>
  </si>
  <si>
    <t>出租方式</t>
    <phoneticPr fontId="3" type="noConversion"/>
  </si>
  <si>
    <t>新西路41号</t>
    <phoneticPr fontId="3" type="noConversion"/>
  </si>
  <si>
    <t>嘉瑞创友小院</t>
    <phoneticPr fontId="3" type="noConversion"/>
  </si>
  <si>
    <t>挂牌</t>
  </si>
  <si>
    <t>正常</t>
  </si>
  <si>
    <t>办公</t>
    <phoneticPr fontId="31" type="noConversion"/>
  </si>
  <si>
    <t>七通</t>
  </si>
  <si>
    <t>多层办公</t>
  </si>
  <si>
    <t>精装修</t>
  </si>
  <si>
    <t>园区自管</t>
  </si>
  <si>
    <t>六通</t>
  </si>
  <si>
    <t>标准</t>
  </si>
  <si>
    <t>普通装修</t>
  </si>
  <si>
    <t>整栋</t>
    <phoneticPr fontId="3" type="noConversion"/>
  </si>
  <si>
    <t>普通</t>
  </si>
  <si>
    <t>五通</t>
  </si>
  <si>
    <t>简单装修</t>
  </si>
  <si>
    <t>单套</t>
    <phoneticPr fontId="3" type="noConversion"/>
  </si>
  <si>
    <t>整栋、单套</t>
    <phoneticPr fontId="3" type="noConversion"/>
  </si>
  <si>
    <t>直线</t>
    <phoneticPr fontId="3" type="noConversion"/>
  </si>
  <si>
    <t>观察</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</si>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</sst>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1" xfId="0" applyFont="1" applyBorder="1" applyAlignment="1" applyProtection="1">
      <alignment horizontal="center" vertical="center" wrapText="1"/>
      <protection locked="0"/>
    </xf>
    <xf numFmtId="177" fontId="79" fillId="5" borderId="1" xfId="10" applyNumberFormat="1"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 fontId="139"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center" vertical="center"/>
      <protection locked="0"/>
    </xf>
    <xf numFmtId="176" fontId="47" fillId="12" borderId="1" xfId="10" applyNumberFormat="1" applyFont="1" applyFill="1" applyBorder="1" applyAlignment="1" applyProtection="1">
      <alignment horizontal="center" vertical="center"/>
      <protection locked="0"/>
    </xf>
    <xf numFmtId="0" fontId="47" fillId="12" borderId="1" xfId="10" applyFont="1" applyFill="1" applyBorder="1" applyAlignment="1" applyProtection="1">
      <alignment horizontal="center" vertical="center"/>
      <protection locked="0"/>
    </xf>
    <xf numFmtId="0" fontId="47" fillId="0" borderId="1" xfId="10" applyFont="1" applyBorder="1" applyAlignment="1" applyProtection="1">
      <alignment horizontal="center" vertical="center"/>
      <protection locked="0"/>
    </xf>
    <xf numFmtId="0" fontId="47" fillId="0" borderId="1" xfId="10" applyFont="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3" fillId="16" borderId="24" xfId="1" applyFont="1" applyFill="1" applyBorder="1" applyAlignment="1" applyProtection="1">
      <alignment horizontal="center" vertical="center"/>
      <protection locked="0"/>
    </xf>
    <xf numFmtId="0" fontId="53" fillId="16" borderId="10" xfId="1" applyFont="1" applyFill="1" applyBorder="1" applyAlignment="1" applyProtection="1">
      <alignment horizontal="center" vertical="center"/>
      <protection locked="0"/>
    </xf>
    <xf numFmtId="0" fontId="53" fillId="16" borderId="9" xfId="0" applyFont="1" applyFill="1" applyBorder="1" applyAlignment="1" applyProtection="1">
      <alignment horizontal="center" vertical="center" wrapText="1"/>
      <protection locked="0"/>
    </xf>
    <xf numFmtId="0" fontId="54" fillId="16" borderId="2" xfId="0" applyFont="1" applyFill="1" applyBorder="1" applyAlignment="1">
      <alignment horizontal="center" vertical="center" wrapText="1"/>
    </xf>
    <xf numFmtId="179" fontId="51" fillId="16" borderId="1"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95250</xdr:rowOff>
    </xdr:from>
    <xdr:to>
      <xdr:col>13</xdr:col>
      <xdr:colOff>163860</xdr:colOff>
      <xdr:row>52</xdr:row>
      <xdr:rowOff>56440</xdr:rowOff>
    </xdr:to>
    <xdr:pic>
      <xdr:nvPicPr>
        <xdr:cNvPr id="2" name="图片 1">
          <a:extLst>
            <a:ext uri="{FF2B5EF4-FFF2-40B4-BE49-F238E27FC236}">
              <a16:creationId xmlns:a16="http://schemas.microsoft.com/office/drawing/2014/main" id="{4A70C853-EE71-3E8A-E178-03A11160F829}"/>
            </a:ext>
          </a:extLst>
        </xdr:cNvPr>
        <xdr:cNvPicPr>
          <a:picLocks noChangeAspect="1"/>
        </xdr:cNvPicPr>
      </xdr:nvPicPr>
      <xdr:blipFill>
        <a:blip xmlns:r="http://schemas.openxmlformats.org/officeDocument/2006/relationships" r:embed="rId1"/>
        <a:stretch>
          <a:fillRect/>
        </a:stretch>
      </xdr:blipFill>
      <xdr:spPr>
        <a:xfrm>
          <a:off x="0" y="4724400"/>
          <a:ext cx="9079260" cy="4247440"/>
        </a:xfrm>
        <a:prstGeom prst="rect">
          <a:avLst/>
        </a:prstGeom>
      </xdr:spPr>
    </xdr:pic>
    <xdr:clientData/>
  </xdr:twoCellAnchor>
  <xdr:twoCellAnchor editAs="oneCell">
    <xdr:from>
      <xdr:col>0</xdr:col>
      <xdr:colOff>0</xdr:colOff>
      <xdr:row>0</xdr:row>
      <xdr:rowOff>0</xdr:rowOff>
    </xdr:from>
    <xdr:to>
      <xdr:col>10</xdr:col>
      <xdr:colOff>171450</xdr:colOff>
      <xdr:row>27</xdr:row>
      <xdr:rowOff>142875</xdr:rowOff>
    </xdr:to>
    <xdr:pic>
      <xdr:nvPicPr>
        <xdr:cNvPr id="3" name="图片 2">
          <a:extLst>
            <a:ext uri="{FF2B5EF4-FFF2-40B4-BE49-F238E27FC236}">
              <a16:creationId xmlns:a16="http://schemas.microsoft.com/office/drawing/2014/main" id="{336A3767-5E75-E250-9351-003620BB020D}"/>
            </a:ext>
          </a:extLst>
        </xdr:cNvPr>
        <xdr:cNvPicPr>
          <a:picLocks noChangeAspect="1"/>
        </xdr:cNvPicPr>
      </xdr:nvPicPr>
      <xdr:blipFill rotWithShape="1">
        <a:blip xmlns:r="http://schemas.openxmlformats.org/officeDocument/2006/relationships" r:embed="rId2"/>
        <a:srcRect t="3451" b="5564"/>
        <a:stretch/>
      </xdr:blipFill>
      <xdr:spPr>
        <a:xfrm>
          <a:off x="0" y="0"/>
          <a:ext cx="7029450" cy="4772025"/>
        </a:xfrm>
        <a:prstGeom prst="rect">
          <a:avLst/>
        </a:prstGeom>
      </xdr:spPr>
    </xdr:pic>
    <xdr:clientData/>
  </xdr:twoCellAnchor>
  <xdr:twoCellAnchor>
    <xdr:from>
      <xdr:col>3</xdr:col>
      <xdr:colOff>628650</xdr:colOff>
      <xdr:row>23</xdr:row>
      <xdr:rowOff>76200</xdr:rowOff>
    </xdr:from>
    <xdr:to>
      <xdr:col>4</xdr:col>
      <xdr:colOff>409575</xdr:colOff>
      <xdr:row>25</xdr:row>
      <xdr:rowOff>123825</xdr:rowOff>
    </xdr:to>
    <xdr:sp macro="" textlink="">
      <xdr:nvSpPr>
        <xdr:cNvPr id="4" name="星形: 五角 3">
          <a:extLst>
            <a:ext uri="{FF2B5EF4-FFF2-40B4-BE49-F238E27FC236}">
              <a16:creationId xmlns:a16="http://schemas.microsoft.com/office/drawing/2014/main" id="{FC339965-197E-1847-43B0-8590335C61D1}"/>
            </a:ext>
          </a:extLst>
        </xdr:cNvPr>
        <xdr:cNvSpPr/>
      </xdr:nvSpPr>
      <xdr:spPr>
        <a:xfrm>
          <a:off x="2686050" y="4019550"/>
          <a:ext cx="466725" cy="390525"/>
        </a:xfrm>
        <a:prstGeom prst="star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xdr:colOff>
      <xdr:row>10</xdr:row>
      <xdr:rowOff>38100</xdr:rowOff>
    </xdr:from>
    <xdr:to>
      <xdr:col>4</xdr:col>
      <xdr:colOff>228600</xdr:colOff>
      <xdr:row>11</xdr:row>
      <xdr:rowOff>133350</xdr:rowOff>
    </xdr:to>
    <xdr:sp macro="" textlink="">
      <xdr:nvSpPr>
        <xdr:cNvPr id="5" name="流程图: 过程 4">
          <a:extLst>
            <a:ext uri="{FF2B5EF4-FFF2-40B4-BE49-F238E27FC236}">
              <a16:creationId xmlns:a16="http://schemas.microsoft.com/office/drawing/2014/main" id="{D17A478E-7F37-582D-113E-075C3B744ACD}"/>
            </a:ext>
          </a:extLst>
        </xdr:cNvPr>
        <xdr:cNvSpPr/>
      </xdr:nvSpPr>
      <xdr:spPr>
        <a:xfrm>
          <a:off x="1457325" y="1752600"/>
          <a:ext cx="1514475" cy="266700"/>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r>
            <a:rPr lang="zh-CN" altLang="en-US" sz="1100"/>
            <a:t>、</a:t>
          </a:r>
          <a:r>
            <a:rPr lang="en-US" altLang="zh-CN" sz="1100"/>
            <a:t>B-</a:t>
          </a:r>
          <a:r>
            <a:rPr lang="zh-CN" altLang="en-US" sz="1100"/>
            <a:t>新西路</a:t>
          </a:r>
          <a:r>
            <a:rPr lang="en-US" altLang="zh-CN" sz="1100"/>
            <a:t>41</a:t>
          </a:r>
          <a:r>
            <a:rPr lang="zh-CN" altLang="en-US" sz="1100"/>
            <a:t>号</a:t>
          </a:r>
        </a:p>
      </xdr:txBody>
    </xdr:sp>
    <xdr:clientData/>
  </xdr:twoCellAnchor>
  <xdr:twoCellAnchor>
    <xdr:from>
      <xdr:col>1</xdr:col>
      <xdr:colOff>581025</xdr:colOff>
      <xdr:row>2</xdr:row>
      <xdr:rowOff>76200</xdr:rowOff>
    </xdr:from>
    <xdr:to>
      <xdr:col>4</xdr:col>
      <xdr:colOff>38100</xdr:colOff>
      <xdr:row>4</xdr:row>
      <xdr:rowOff>0</xdr:rowOff>
    </xdr:to>
    <xdr:sp macro="" textlink="">
      <xdr:nvSpPr>
        <xdr:cNvPr id="6" name="流程图: 过程 5">
          <a:extLst>
            <a:ext uri="{FF2B5EF4-FFF2-40B4-BE49-F238E27FC236}">
              <a16:creationId xmlns:a16="http://schemas.microsoft.com/office/drawing/2014/main" id="{060B309E-468C-48CE-A62C-A3481FF066CE}"/>
            </a:ext>
          </a:extLst>
        </xdr:cNvPr>
        <xdr:cNvSpPr/>
      </xdr:nvSpPr>
      <xdr:spPr>
        <a:xfrm>
          <a:off x="1266825" y="419100"/>
          <a:ext cx="1514475" cy="266700"/>
        </a:xfrm>
        <a:prstGeom prst="flowChart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r>
            <a:rPr lang="zh-CN" altLang="en-US" sz="1100"/>
            <a:t>嘉瑞创友小院</a:t>
          </a:r>
        </a:p>
      </xdr:txBody>
    </xdr:sp>
    <xdr:clientData/>
  </xdr:twoCellAnchor>
  <xdr:twoCellAnchor editAs="oneCell">
    <xdr:from>
      <xdr:col>0</xdr:col>
      <xdr:colOff>0</xdr:colOff>
      <xdr:row>52</xdr:row>
      <xdr:rowOff>123825</xdr:rowOff>
    </xdr:from>
    <xdr:to>
      <xdr:col>13</xdr:col>
      <xdr:colOff>37245</xdr:colOff>
      <xdr:row>77</xdr:row>
      <xdr:rowOff>18359</xdr:rowOff>
    </xdr:to>
    <xdr:pic>
      <xdr:nvPicPr>
        <xdr:cNvPr id="7" name="图片 6">
          <a:extLst>
            <a:ext uri="{FF2B5EF4-FFF2-40B4-BE49-F238E27FC236}">
              <a16:creationId xmlns:a16="http://schemas.microsoft.com/office/drawing/2014/main" id="{1197FB85-3CF4-D860-BF2E-E3E4BF04F4BF}"/>
            </a:ext>
          </a:extLst>
        </xdr:cNvPr>
        <xdr:cNvPicPr>
          <a:picLocks noChangeAspect="1"/>
        </xdr:cNvPicPr>
      </xdr:nvPicPr>
      <xdr:blipFill>
        <a:blip xmlns:r="http://schemas.openxmlformats.org/officeDocument/2006/relationships" r:embed="rId3"/>
        <a:stretch>
          <a:fillRect/>
        </a:stretch>
      </xdr:blipFill>
      <xdr:spPr>
        <a:xfrm>
          <a:off x="0" y="9039225"/>
          <a:ext cx="8952645" cy="4180784"/>
        </a:xfrm>
        <a:prstGeom prst="rect">
          <a:avLst/>
        </a:prstGeom>
      </xdr:spPr>
    </xdr:pic>
    <xdr:clientData/>
  </xdr:twoCellAnchor>
  <xdr:twoCellAnchor editAs="oneCell">
    <xdr:from>
      <xdr:col>0</xdr:col>
      <xdr:colOff>0</xdr:colOff>
      <xdr:row>76</xdr:row>
      <xdr:rowOff>161925</xdr:rowOff>
    </xdr:from>
    <xdr:to>
      <xdr:col>12</xdr:col>
      <xdr:colOff>671165</xdr:colOff>
      <xdr:row>102</xdr:row>
      <xdr:rowOff>85013</xdr:rowOff>
    </xdr:to>
    <xdr:pic>
      <xdr:nvPicPr>
        <xdr:cNvPr id="8" name="图片 7">
          <a:extLst>
            <a:ext uri="{FF2B5EF4-FFF2-40B4-BE49-F238E27FC236}">
              <a16:creationId xmlns:a16="http://schemas.microsoft.com/office/drawing/2014/main" id="{090E3833-F44F-C5B0-4ABC-72C06D54BE37}"/>
            </a:ext>
          </a:extLst>
        </xdr:cNvPr>
        <xdr:cNvPicPr>
          <a:picLocks noChangeAspect="1"/>
        </xdr:cNvPicPr>
      </xdr:nvPicPr>
      <xdr:blipFill>
        <a:blip xmlns:r="http://schemas.openxmlformats.org/officeDocument/2006/relationships" r:embed="rId4"/>
        <a:stretch>
          <a:fillRect/>
        </a:stretch>
      </xdr:blipFill>
      <xdr:spPr>
        <a:xfrm>
          <a:off x="0" y="13192125"/>
          <a:ext cx="8900765" cy="4380788"/>
        </a:xfrm>
        <a:prstGeom prst="rect">
          <a:avLst/>
        </a:prstGeom>
      </xdr:spPr>
    </xdr:pic>
    <xdr:clientData/>
  </xdr:twoCellAnchor>
  <xdr:twoCellAnchor editAs="oneCell">
    <xdr:from>
      <xdr:col>10</xdr:col>
      <xdr:colOff>400050</xdr:colOff>
      <xdr:row>0</xdr:row>
      <xdr:rowOff>0</xdr:rowOff>
    </xdr:from>
    <xdr:to>
      <xdr:col>21</xdr:col>
      <xdr:colOff>208405</xdr:colOff>
      <xdr:row>25</xdr:row>
      <xdr:rowOff>115872</xdr:rowOff>
    </xdr:to>
    <xdr:pic>
      <xdr:nvPicPr>
        <xdr:cNvPr id="9" name="图片 8">
          <a:extLst>
            <a:ext uri="{FF2B5EF4-FFF2-40B4-BE49-F238E27FC236}">
              <a16:creationId xmlns:a16="http://schemas.microsoft.com/office/drawing/2014/main" id="{9F1512B3-D6F5-B9B2-3F41-FE39026672F9}"/>
            </a:ext>
          </a:extLst>
        </xdr:cNvPr>
        <xdr:cNvPicPr>
          <a:picLocks noChangeAspect="1"/>
        </xdr:cNvPicPr>
      </xdr:nvPicPr>
      <xdr:blipFill>
        <a:blip xmlns:r="http://schemas.openxmlformats.org/officeDocument/2006/relationships" r:embed="rId5"/>
        <a:stretch>
          <a:fillRect/>
        </a:stretch>
      </xdr:blipFill>
      <xdr:spPr>
        <a:xfrm>
          <a:off x="7258050" y="0"/>
          <a:ext cx="7352155" cy="4402122"/>
        </a:xfrm>
        <a:prstGeom prst="rect">
          <a:avLst/>
        </a:prstGeom>
      </xdr:spPr>
    </xdr:pic>
    <xdr:clientData/>
  </xdr:twoCellAnchor>
  <xdr:twoCellAnchor>
    <xdr:from>
      <xdr:col>14</xdr:col>
      <xdr:colOff>466725</xdr:colOff>
      <xdr:row>16</xdr:row>
      <xdr:rowOff>19050</xdr:rowOff>
    </xdr:from>
    <xdr:to>
      <xdr:col>15</xdr:col>
      <xdr:colOff>247650</xdr:colOff>
      <xdr:row>18</xdr:row>
      <xdr:rowOff>66675</xdr:rowOff>
    </xdr:to>
    <xdr:sp macro="" textlink="">
      <xdr:nvSpPr>
        <xdr:cNvPr id="10" name="星形: 五角 9">
          <a:extLst>
            <a:ext uri="{FF2B5EF4-FFF2-40B4-BE49-F238E27FC236}">
              <a16:creationId xmlns:a16="http://schemas.microsoft.com/office/drawing/2014/main" id="{4B706316-F723-4019-BF0E-72EB23828252}"/>
            </a:ext>
          </a:extLst>
        </xdr:cNvPr>
        <xdr:cNvSpPr/>
      </xdr:nvSpPr>
      <xdr:spPr>
        <a:xfrm>
          <a:off x="10067925" y="2762250"/>
          <a:ext cx="466725" cy="390525"/>
        </a:xfrm>
        <a:prstGeom prst="star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估价对象为北京市房地产，为所有。根据《国有土地使用证》[]，估价对象（分摊）出让国有建设用地使用权面积为0平方米，建筑面积为7049.7平方米。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估价对象为北京市房地产,属开发建设的，该项目尚在开发建设中。根据《国有土地使用证》[]，估价对象（分摊）出让国有建设用地使用权面积为0平方米，规划建筑面积为7049.7平方米。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2024年9月26日（评估专业人员实地查勘之日）</v>
      </c>
    </row>
    <row r="13" spans="1:2">
      <c r="A13" s="1118" t="s">
        <v>529</v>
      </c>
      <c r="B13" s="1119" t="str">
        <f>'预评函-1'!A18</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4151</v>
      </c>
    </row>
    <row r="21" spans="1:2">
      <c r="A21" s="1118" t="s">
        <v>537</v>
      </c>
      <c r="B21" s="1119">
        <f ca="1">'预评函-2'!D7</f>
        <v>5888</v>
      </c>
    </row>
    <row r="22" spans="1:2">
      <c r="A22" s="1118" t="s">
        <v>538</v>
      </c>
      <c r="B22" s="1119" t="str">
        <f ca="1">'预评函-2'!D6</f>
        <v>肆仟壹佰伍拾壹万元整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4151</v>
      </c>
    </row>
    <row r="31" spans="1:2">
      <c r="A31" s="1118" t="s">
        <v>576</v>
      </c>
      <c r="B31" s="1119">
        <f ca="1">'预评函-2'!D15</f>
        <v>5888</v>
      </c>
    </row>
    <row r="32" spans="1:2">
      <c r="A32" s="1118" t="s">
        <v>543</v>
      </c>
      <c r="B32" s="1119" t="str">
        <f ca="1">'预评函-2'!D14</f>
        <v>肆仟壹佰伍拾壹万元整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7049.7000000000007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6" t="s">
        <v>385</v>
      </c>
      <c r="C54" s="1444" t="s">
        <v>583</v>
      </c>
    </row>
    <row r="55" spans="1:4">
      <c r="A55" s="3209"/>
      <c r="B55" s="1446" t="s">
        <v>386</v>
      </c>
      <c r="C55" s="1444" t="s">
        <v>584</v>
      </c>
    </row>
    <row r="56" spans="1:4">
      <c r="A56" s="3209"/>
      <c r="B56" s="1446" t="s">
        <v>387</v>
      </c>
      <c r="C56" s="1444" t="s">
        <v>588</v>
      </c>
    </row>
    <row r="57" spans="1:4">
      <c r="A57" s="320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3" t="s">
        <v>2586</v>
      </c>
      <c r="J1" s="2782"/>
      <c r="K1" s="2782"/>
      <c r="L1" s="2782"/>
      <c r="M1" s="2782"/>
      <c r="N1" s="2967"/>
      <c r="O1" s="2967"/>
      <c r="P1" s="2967"/>
      <c r="Q1" s="2967"/>
      <c r="R1" s="2967"/>
    </row>
    <row r="2" spans="1:18">
      <c r="A2" s="2759"/>
      <c r="B2" s="2760"/>
      <c r="C2" s="2760"/>
      <c r="D2" s="2760"/>
      <c r="E2" s="2760"/>
      <c r="F2" s="2761"/>
      <c r="I2" s="3210" t="s">
        <v>2573</v>
      </c>
      <c r="J2" s="3210"/>
      <c r="K2" s="3210"/>
      <c r="L2" s="3210"/>
      <c r="M2" s="3210"/>
      <c r="N2" s="3210"/>
      <c r="O2" s="3210"/>
      <c r="P2" s="3210"/>
      <c r="Q2" s="3210"/>
      <c r="R2" s="3210"/>
    </row>
    <row r="3" spans="1:18">
      <c r="A3" s="2762" t="s">
        <v>2494</v>
      </c>
      <c r="B3" s="2763">
        <f>项目基本情况!D3</f>
        <v>45561</v>
      </c>
      <c r="C3" s="2765"/>
      <c r="D3" s="2765"/>
      <c r="E3" s="2765"/>
      <c r="F3" s="2761"/>
      <c r="I3" s="2777"/>
      <c r="J3" s="2777" t="s">
        <v>2577</v>
      </c>
      <c r="K3" s="2777" t="s">
        <v>2578</v>
      </c>
      <c r="L3" s="2777" t="s">
        <v>2579</v>
      </c>
      <c r="M3" s="2777" t="s">
        <v>2580</v>
      </c>
      <c r="N3" s="3134" t="s">
        <v>2581</v>
      </c>
      <c r="O3" s="3134" t="s">
        <v>2582</v>
      </c>
      <c r="P3" s="3134" t="s">
        <v>2583</v>
      </c>
      <c r="Q3" s="3134" t="s">
        <v>2584</v>
      </c>
      <c r="R3" s="3134"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2.23</v>
      </c>
      <c r="D5" s="2767">
        <f>IF(ISERROR(ROUND(POWER(1+E5,A5-C5)*(POWER(1+E5,C5)-1)/(POWER(1+E5,A5)-1),3)),0,ROUND(POWER(1+E5,A5-C5)*(POWER(1+E5,C5)-1)/(POWER(1+E5,A5)-1),4))</f>
        <v>0.10580000000000001</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12.23</v>
      </c>
      <c r="D6" s="2767">
        <f>IF(ISERROR(ROUND(POWER(1+E6,A6-C6)*(POWER(1+E6,C6)-1)/(POWER(1+E6,A6)-1),3)),0,ROUND(POWER(1+E6,A6-C6)*(POWER(1+E6,C6)-1)/(POWER(1+E6,A6)-1),4))</f>
        <v>0.44340000000000002</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32.25</v>
      </c>
      <c r="D7" s="2767">
        <f>IF(ISERROR(ROUND(POWER(1+E7,A7-C7)*(POWER(1+E7,C7)-1)/(POWER(1+E7,A7)-1),3)),0,ROUND(POWER(1+E7,A7-C7)*(POWER(1+E7,C7)-1)/(POWER(1+E7,A7)-1),4))</f>
        <v>0.76700000000000002</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v>45561</v>
      </c>
      <c r="C3" s="2185" t="s">
        <v>2171</v>
      </c>
      <c r="D3" s="2184">
        <f>B3</f>
        <v>45561</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14" t="s">
        <v>2177</v>
      </c>
      <c r="E8" s="2201" t="s">
        <v>3380</v>
      </c>
      <c r="F8" s="2202"/>
      <c r="G8" s="2441"/>
      <c r="H8" s="2441"/>
      <c r="I8" s="2441"/>
      <c r="J8" s="2244"/>
      <c r="K8" s="2399"/>
      <c r="L8" s="2398"/>
      <c r="M8" s="2398"/>
      <c r="N8" s="2244"/>
      <c r="O8" s="1669"/>
      <c r="P8" s="2244"/>
      <c r="Q8" s="2244"/>
      <c r="R8" s="2244"/>
    </row>
    <row r="9" spans="1:30" ht="13.5" thickBot="1">
      <c r="A9" s="2203" t="s">
        <v>2178</v>
      </c>
      <c r="B9" s="2204" t="s">
        <v>3380</v>
      </c>
      <c r="C9" s="2205"/>
      <c r="D9" s="3215"/>
      <c r="E9" s="2204" t="s">
        <v>43</v>
      </c>
      <c r="F9" s="2206"/>
      <c r="G9" s="2442"/>
      <c r="H9" s="2442"/>
      <c r="I9" s="2442"/>
      <c r="J9" s="2244"/>
      <c r="K9" s="2401"/>
      <c r="L9" s="2398"/>
      <c r="M9" s="2398"/>
      <c r="N9" s="2244"/>
      <c r="O9" s="1669"/>
      <c r="P9" s="2244"/>
      <c r="Q9" s="2244"/>
      <c r="R9" s="2244"/>
    </row>
    <row r="10" spans="1:30" ht="13.5" thickTop="1">
      <c r="A10" s="2207" t="s">
        <v>2179</v>
      </c>
      <c r="B10" s="2208" t="s">
        <v>3382</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3383</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7"/>
    </row>
    <row r="13" spans="1:30">
      <c r="A13" s="3120" t="s">
        <v>3325</v>
      </c>
      <c r="B13" s="2217" t="s">
        <v>2190</v>
      </c>
      <c r="C13" s="802"/>
      <c r="D13" s="802"/>
      <c r="E13" s="802"/>
      <c r="F13" s="802"/>
      <c r="G13" s="802"/>
      <c r="H13" s="802">
        <v>56145</v>
      </c>
      <c r="I13" s="802"/>
      <c r="J13" s="2802"/>
      <c r="K13" s="2398"/>
      <c r="L13" s="2398"/>
      <c r="M13" s="2244"/>
      <c r="N13" s="1669"/>
      <c r="O13" s="2244"/>
      <c r="P13" s="2244"/>
      <c r="Q13" s="2244"/>
      <c r="AD13" s="1617"/>
    </row>
    <row r="14" spans="1:30">
      <c r="A14" s="1017"/>
      <c r="B14" s="2217" t="s">
        <v>2191</v>
      </c>
      <c r="C14" s="2218"/>
      <c r="D14" s="2218"/>
      <c r="E14" s="2218"/>
      <c r="F14" s="2218"/>
      <c r="G14" s="2218"/>
      <c r="H14" s="2218">
        <v>50</v>
      </c>
      <c r="I14" s="2218"/>
      <c r="J14" s="2803"/>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28.99</v>
      </c>
      <c r="I15" s="2220" t="str">
        <f>IF(A13="出让",IF(I13="","",ROUNDDOWN(MIN((I13-$D$3)/365,I14),2)),I14)</f>
        <v/>
      </c>
      <c r="J15" s="2804"/>
      <c r="K15" s="1669"/>
      <c r="L15" s="1669"/>
      <c r="M15" s="2244"/>
      <c r="N15" s="1669"/>
      <c r="O15" s="2244"/>
      <c r="P15" s="2244"/>
      <c r="Q15" s="2244"/>
      <c r="AD15" s="1617"/>
    </row>
    <row r="16" spans="1:30">
      <c r="A16" s="2210" t="s">
        <v>2193</v>
      </c>
      <c r="B16" s="3221"/>
      <c r="C16" s="3222"/>
      <c r="D16" s="3223"/>
      <c r="E16" s="2221" t="s">
        <v>2194</v>
      </c>
      <c r="F16" s="3224"/>
      <c r="G16" s="3225"/>
      <c r="H16" s="3225"/>
      <c r="I16" s="3226"/>
      <c r="J16" s="2244"/>
      <c r="K16" s="2402"/>
      <c r="L16" s="1669"/>
      <c r="M16" s="1669"/>
      <c r="N16" s="2244"/>
      <c r="O16" s="1669"/>
      <c r="P16" s="2244"/>
      <c r="Q16" s="2244"/>
      <c r="R16" s="2244"/>
    </row>
    <row r="17" spans="1:28">
      <c r="A17" s="304" t="s">
        <v>2195</v>
      </c>
      <c r="B17" s="293" t="s">
        <v>2196</v>
      </c>
      <c r="C17" s="8">
        <f>'数据-汇总表'!E3</f>
        <v>7049.7000000000007</v>
      </c>
      <c r="D17" s="1255" t="s">
        <v>2197</v>
      </c>
      <c r="E17" s="3227" t="s">
        <v>2198</v>
      </c>
      <c r="F17" s="3228"/>
      <c r="G17" s="3228"/>
      <c r="H17" s="3228"/>
      <c r="I17" s="3229"/>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30" t="s">
        <v>2202</v>
      </c>
      <c r="F18" s="3231"/>
      <c r="G18" s="3231"/>
      <c r="H18" s="3231"/>
      <c r="I18" s="3232"/>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17" t="s">
        <v>2206</v>
      </c>
      <c r="C20" s="3218"/>
      <c r="D20" s="3219" t="s">
        <v>2207</v>
      </c>
      <c r="E20" s="3220"/>
      <c r="F20" s="2429" t="s">
        <v>1056</v>
      </c>
      <c r="G20" s="2441"/>
      <c r="H20" s="2441"/>
      <c r="I20" s="2441"/>
      <c r="J20" s="2244"/>
      <c r="K20" s="321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4"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4"/>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4"/>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5"/>
      <c r="B30" s="293" t="s">
        <v>2218</v>
      </c>
      <c r="C30" s="3236"/>
      <c r="D30" s="3237"/>
      <c r="E30" s="2441"/>
      <c r="F30" s="2441"/>
      <c r="G30" s="2441"/>
      <c r="H30" s="2441"/>
      <c r="I30" s="2441"/>
      <c r="J30" s="2244"/>
      <c r="K30" s="2401"/>
      <c r="L30" s="2398"/>
      <c r="M30" s="2398"/>
      <c r="N30" s="2244"/>
      <c r="O30" s="1669"/>
      <c r="P30" s="2244"/>
      <c r="Q30" s="2244"/>
      <c r="R30" s="2244"/>
      <c r="S30" s="2244"/>
      <c r="T30" s="2244"/>
      <c r="U30" s="2244"/>
      <c r="V30" s="2244"/>
    </row>
    <row r="31" spans="1:28">
      <c r="A31" s="3238"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3" t="s">
        <v>2228</v>
      </c>
      <c r="T34" s="314" t="str">
        <f>NUMBERSTRING(7-K34,1)&amp;"通"</f>
        <v>七通</v>
      </c>
      <c r="U34" s="2244"/>
      <c r="V34" s="2244"/>
    </row>
    <row r="35" spans="1:30">
      <c r="A35" s="2235"/>
      <c r="B35" s="3233" t="s">
        <v>2229</v>
      </c>
      <c r="C35" s="3233"/>
      <c r="D35" s="3233"/>
      <c r="E35" s="3233"/>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2937</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7049.7000000000007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7049.7000000000007</v>
      </c>
      <c r="H5" s="13">
        <f t="shared" ref="H5:AT5" si="0">SUM(H13:H656)</f>
        <v>7049.7000000000007</v>
      </c>
      <c r="I5" s="13">
        <f t="shared" si="0"/>
        <v>6042.6</v>
      </c>
      <c r="J5" s="13">
        <f t="shared" si="0"/>
        <v>0</v>
      </c>
      <c r="K5" s="13">
        <f t="shared" si="0"/>
        <v>1007.1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7049.7000000000007</v>
      </c>
      <c r="BA5" s="15">
        <f t="shared" si="1"/>
        <v>7049.7000000000007</v>
      </c>
      <c r="BB5" s="15">
        <f t="shared" si="1"/>
        <v>6042.6</v>
      </c>
      <c r="BC5" s="15">
        <f t="shared" si="1"/>
        <v>1007.1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3385</v>
      </c>
      <c r="J9" s="760"/>
      <c r="K9" s="1490" t="s">
        <v>3386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5.5">
      <c r="A13" s="627"/>
      <c r="B13" s="627"/>
      <c r="C13" s="3143" t="s">
        <v>3384</v>
      </c>
      <c r="D13" s="1512" t="s">
        <v>3388</v>
      </c>
      <c r="E13" s="13">
        <f>IF($C$3="是",ROUND($A$3*G13/$B$3,2),ROUND($A$3*(G13-AT13)/$B$3,2))</f>
        <v>0</v>
      </c>
      <c r="F13" s="29"/>
      <c r="G13" s="30">
        <f>H13+AC13+AT13</f>
        <v>7049.7000000000007</v>
      </c>
      <c r="H13" s="17">
        <f>SUMIF(I$12:AB$12,"总值",I13:AB13)</f>
        <v>7049.7000000000007</v>
      </c>
      <c r="I13" s="1513">
        <v>6042.6</v>
      </c>
      <c r="J13" s="1513"/>
      <c r="K13" s="1513">
        <v>1007.1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密顺路19号院1号楼</v>
      </c>
      <c r="AY13" s="1259">
        <f>ROUND($AY$6*AZ13/$AZ$5,2)</f>
        <v>0</v>
      </c>
      <c r="AZ13" s="13">
        <f>BA13+BL13</f>
        <v>7049.7000000000007</v>
      </c>
      <c r="BA13" s="13">
        <f>SUM(BB13:BK13)</f>
        <v>7049.7000000000007</v>
      </c>
      <c r="BB13" s="13">
        <f>IF($D13="是",I13-J13,0)</f>
        <v>6042.6</v>
      </c>
      <c r="BC13" s="13">
        <f>IF($D13="是",K13-L13,0)</f>
        <v>1007.1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9" t="s">
        <v>1131</v>
      </c>
      <c r="B2" s="3249"/>
      <c r="C2" s="3249"/>
      <c r="D2" s="747" t="s">
        <v>1107</v>
      </c>
      <c r="E2" s="1522" t="s">
        <v>1108</v>
      </c>
      <c r="F2" s="2438"/>
      <c r="G2" s="2431"/>
      <c r="H2" s="2432"/>
      <c r="I2" s="2145" t="s">
        <v>1132</v>
      </c>
      <c r="J2" s="2438"/>
      <c r="K2" s="2438"/>
      <c r="L2" s="2438"/>
      <c r="M2" s="2438"/>
      <c r="N2" s="2439"/>
      <c r="O2" s="2438"/>
      <c r="P2" s="2438"/>
    </row>
    <row r="3" spans="1:16" ht="15.75" thickBot="1">
      <c r="A3" s="3250" t="s">
        <v>1105</v>
      </c>
      <c r="B3" s="3250"/>
      <c r="C3" s="3250"/>
      <c r="D3" s="41">
        <f>'数据-基础表'!AY6</f>
        <v>0</v>
      </c>
      <c r="E3" s="41">
        <f>'数据-基础表'!AZ5</f>
        <v>7049.7000000000007</v>
      </c>
      <c r="F3" s="2438"/>
      <c r="G3" s="42"/>
      <c r="H3" s="43" t="s">
        <v>1106</v>
      </c>
      <c r="I3" s="801" t="e">
        <f>ROUND('数据-基础表'!B3/'数据-基础表'!A3,2)</f>
        <v>#DIV/0!</v>
      </c>
      <c r="J3" s="2438"/>
      <c r="K3" s="2438"/>
      <c r="L3" s="2438"/>
      <c r="M3" s="2438"/>
      <c r="N3" s="2439"/>
      <c r="O3" s="2438"/>
      <c r="P3" s="2438"/>
    </row>
    <row r="4" spans="1:16" ht="15">
      <c r="A4" s="3251"/>
      <c r="B4" s="3252"/>
      <c r="C4" s="325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54" t="s">
        <v>1110</v>
      </c>
      <c r="C5" s="3254"/>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54" t="s">
        <v>1111</v>
      </c>
      <c r="C6" s="3254"/>
      <c r="D6" s="43">
        <f>ROUND($D$3*E6/$E$3,2)</f>
        <v>0</v>
      </c>
      <c r="E6" s="44">
        <f>E3-E5</f>
        <v>7049.7000000000007</v>
      </c>
      <c r="F6" s="2438"/>
      <c r="G6" s="1528" t="s">
        <v>1112</v>
      </c>
      <c r="H6" s="45" t="s">
        <v>1113</v>
      </c>
      <c r="I6" s="2434" t="e">
        <f>ROUND(F31/D31,2)</f>
        <v>#DIV/0!</v>
      </c>
      <c r="J6" s="2438"/>
      <c r="K6" s="2438"/>
      <c r="L6" s="2438"/>
      <c r="M6" s="2438"/>
      <c r="N6" s="2438"/>
      <c r="O6" s="2438"/>
      <c r="P6" s="2438"/>
    </row>
    <row r="7" spans="1:16" ht="15.75" thickBot="1">
      <c r="A7" s="3246"/>
      <c r="B7" s="3247"/>
      <c r="C7" s="3248"/>
      <c r="D7" s="1523" t="s">
        <v>1107</v>
      </c>
      <c r="E7" s="1527"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6042.6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6042.6</v>
      </c>
      <c r="F16" s="2438"/>
      <c r="G16" s="2438"/>
      <c r="H16" s="1530" t="s">
        <v>1135</v>
      </c>
      <c r="I16" s="1531"/>
      <c r="J16" s="1070"/>
      <c r="K16" s="3243" t="s">
        <v>1135</v>
      </c>
      <c r="L16" s="3244"/>
      <c r="M16" s="3244"/>
      <c r="N16" s="3244"/>
      <c r="O16" s="3244"/>
      <c r="P16" s="3245"/>
    </row>
    <row r="17" spans="1:19" ht="15">
      <c r="A17" s="1532" t="s">
        <v>1136</v>
      </c>
      <c r="B17" s="1533" t="s">
        <v>1137</v>
      </c>
      <c r="C17" s="1534" t="s">
        <v>1138</v>
      </c>
      <c r="D17" s="1535" t="s">
        <v>1126</v>
      </c>
      <c r="E17" s="1536" t="s">
        <v>1127</v>
      </c>
      <c r="F17" s="1537"/>
      <c r="G17" s="1538"/>
      <c r="H17" s="1539" t="s">
        <v>1139</v>
      </c>
      <c r="I17" s="1540" t="s">
        <v>1124</v>
      </c>
      <c r="J17" s="1070"/>
      <c r="K17" s="3240" t="s">
        <v>1140</v>
      </c>
      <c r="L17" s="3241"/>
      <c r="M17" s="3242"/>
      <c r="N17" s="3240" t="s">
        <v>1141</v>
      </c>
      <c r="O17" s="3241"/>
      <c r="P17" s="324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3387</v>
      </c>
      <c r="D19" s="43">
        <f>ROUND($D$3*E19/$E$3,2)</f>
        <v>0</v>
      </c>
      <c r="E19" s="51">
        <f t="shared" ref="E19:E26" si="1">SUM(F19:G19)</f>
        <v>7049.7000000000007</v>
      </c>
      <c r="F19" s="2557">
        <f>'数据-基础表'!I13</f>
        <v>6042.6</v>
      </c>
      <c r="G19" s="1242">
        <f>'数据-基础表'!K13</f>
        <v>1007.1</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7049.7000000000007</v>
      </c>
    </row>
    <row r="20" spans="1:19">
      <c r="A20" s="1548"/>
      <c r="B20" s="45" t="s">
        <v>1153</v>
      </c>
      <c r="C20" s="3114"/>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7049.7000000000007</v>
      </c>
      <c r="F27" s="1071">
        <f>IF(SUM(F19:F26)=E8,SUM(F19:F26),"地上面积有误")</f>
        <v>6042.6</v>
      </c>
      <c r="G27" s="1073">
        <f>SUM(G19:G26)</f>
        <v>1007.1</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7049.7000000000007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7049.7000000000007</v>
      </c>
      <c r="F31" s="643">
        <f>F27+F30</f>
        <v>6042.6</v>
      </c>
      <c r="G31" s="644">
        <f>G27+G30</f>
        <v>1007.1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45561</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3389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办公</v>
      </c>
      <c r="B6" s="1586" t="str">
        <f>IF(A6=0,"","经营性")</f>
        <v>经营性</v>
      </c>
      <c r="C6" s="1587" t="s">
        <v>3</v>
      </c>
      <c r="D6" s="804">
        <f>SUMIF(项目基本情况!C$12:I$12,C6,项目基本情况!C$14:I$14)</f>
        <v>50</v>
      </c>
      <c r="E6" s="803">
        <f>IF(B6="","",SUMIF(项目基本情况!C$12:I$12,C6,项目基本情况!C$13:I$13))</f>
        <v>56145</v>
      </c>
      <c r="F6" s="61">
        <f>SUMIF(项目基本情况!C$12:I$12,C6,项目基本情况!C$15:I$15)</f>
        <v>28.99</v>
      </c>
      <c r="G6" s="62">
        <f>IF(ISERROR(ROUND(POWER(1+H6,D6-F6)*(POWER(1+H6,F6)-1)/(POWER(1+H6,D6)-1),3)),0,ROUND(POWER(1+H6,D6-F6)*(POWER(1+H6,F6)-1)/(POWER(1+H6,D6)-1),3))</f>
        <v>0.82899999999999996</v>
      </c>
      <c r="H6" s="690">
        <v>0.05</v>
      </c>
      <c r="I6" s="690">
        <v>5.5E-2</v>
      </c>
      <c r="J6" s="63">
        <v>7.0000000000000007E-2</v>
      </c>
      <c r="K6" s="969">
        <f>SUMIF('数据-汇总表'!C$19:C$33,A6,'数据-汇总表'!E$19:E$33)</f>
        <v>7049.7000000000007</v>
      </c>
      <c r="L6" s="691">
        <v>4500</v>
      </c>
      <c r="M6" s="64">
        <f t="shared" ref="M6:M14" si="0">ROUND(K6*L6/10000,0)</f>
        <v>3172</v>
      </c>
      <c r="N6" s="689">
        <f>Q21</f>
        <v>0.82</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5">
        <v>1.4</v>
      </c>
      <c r="V6" s="67">
        <v>0.02</v>
      </c>
      <c r="W6" s="67">
        <v>0.1</v>
      </c>
      <c r="X6" s="978"/>
      <c r="Y6" s="68">
        <f>N6</f>
        <v>0.82</v>
      </c>
      <c r="Z6" s="69"/>
      <c r="AA6" s="63"/>
      <c r="AB6" s="63"/>
      <c r="AC6" s="978"/>
      <c r="AD6" s="70"/>
      <c r="AE6" s="979">
        <f ca="1">IF(AN6="",0,SUMIF(INDIRECT("'"&amp;AN6&amp;"'"&amp;"!E:E"),$AE$5,INDIRECT("'"&amp;AN6&amp;"'"&amp;"!F:F")))</f>
        <v>28.99</v>
      </c>
      <c r="AF6" s="74"/>
      <c r="AG6" s="129">
        <f>IF(AF6="",0,AE6-AF6)</f>
        <v>0</v>
      </c>
      <c r="AH6" s="71">
        <f>'数据-汇总表'!F19</f>
        <v>6042.6</v>
      </c>
      <c r="AI6" s="73">
        <v>365</v>
      </c>
      <c r="AJ6" s="74"/>
      <c r="AK6" s="75">
        <v>2E-3</v>
      </c>
      <c r="AL6" s="76">
        <v>1E-3</v>
      </c>
      <c r="AM6" s="77">
        <v>5.0000000000000001E-3</v>
      </c>
      <c r="AN6" s="1588" t="s">
        <v>3398</v>
      </c>
      <c r="AO6" s="50">
        <f ca="1">SUMIF(INDIRECT("'"&amp;AN6&amp;"'"&amp;"!A:A"),"总价",INDIRECT("'"&amp;AN6&amp;"'"&amp;"!B:B"))</f>
        <v>4103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0.82899999999999996</v>
      </c>
      <c r="H16" s="84">
        <f>ROUND(SUMPRODUCT(H6:H13,K6:K13)/SUMPRODUCT((H6:H13&gt;0)*(K6:K13)),3)</f>
        <v>0.05</v>
      </c>
      <c r="I16" s="85"/>
      <c r="J16" s="85"/>
      <c r="K16" s="86">
        <f>SUM(K6:K15)</f>
        <v>7049.7000000000007</v>
      </c>
      <c r="L16" s="87">
        <f>ROUND(M16*10000/SUM(K6:K14),0)</f>
        <v>4499</v>
      </c>
      <c r="M16" s="87">
        <f>SUM(M6:M14)</f>
        <v>3172</v>
      </c>
      <c r="N16" s="88">
        <f>ROUND(SUMPRODUCT(M6:M14,N6:N14)/M16,3)</f>
        <v>0.82</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2294</v>
      </c>
      <c r="D19" s="2451"/>
      <c r="E19" s="2438"/>
      <c r="F19" s="2438"/>
      <c r="G19" s="2438"/>
      <c r="H19" s="2438"/>
      <c r="I19" s="2438"/>
      <c r="J19" s="2438"/>
      <c r="K19" s="3144" t="s">
        <v>460</v>
      </c>
      <c r="L19" s="3145" t="s">
        <v>3390</v>
      </c>
      <c r="M19" s="3145" t="s">
        <v>3391</v>
      </c>
      <c r="N19" s="3145" t="s">
        <v>3392</v>
      </c>
      <c r="O19" s="2448"/>
      <c r="P19" s="3145" t="s">
        <v>3458</v>
      </c>
      <c r="Q19" s="3146">
        <f>ROUND(1-(2024-2011)/60,2)</f>
        <v>0.78</v>
      </c>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1.5</v>
      </c>
      <c r="C20" s="2561" t="s">
        <v>2292</v>
      </c>
      <c r="D20" s="2451"/>
      <c r="E20" s="2438"/>
      <c r="F20" s="2438"/>
      <c r="G20" s="2438"/>
      <c r="H20" s="2438"/>
      <c r="I20" s="2438"/>
      <c r="J20" s="2438"/>
      <c r="K20" s="3145" t="s">
        <v>3393</v>
      </c>
      <c r="L20" s="3146"/>
      <c r="M20" s="3147">
        <f>M21+M24+M25</f>
        <v>4514.2857142857138</v>
      </c>
      <c r="N20" s="3146"/>
      <c r="O20" s="2448"/>
      <c r="P20" s="3145" t="s">
        <v>3459</v>
      </c>
      <c r="Q20" s="3146">
        <v>0.85</v>
      </c>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1.5</v>
      </c>
      <c r="C21" s="2438"/>
      <c r="D21" s="2451"/>
      <c r="E21" s="2438"/>
      <c r="F21" s="2438"/>
      <c r="G21" s="2438"/>
      <c r="H21" s="2438"/>
      <c r="I21" s="2438"/>
      <c r="J21" s="2438"/>
      <c r="K21" s="3145" t="s">
        <v>3394</v>
      </c>
      <c r="L21" s="3148">
        <f>L22+L23</f>
        <v>7049.7000000000007</v>
      </c>
      <c r="M21" s="3149">
        <f>N21/L21</f>
        <v>1714.2857142857142</v>
      </c>
      <c r="N21" s="3150">
        <f>N22+N23</f>
        <v>12085200</v>
      </c>
      <c r="O21" s="2448"/>
      <c r="P21" s="3146"/>
      <c r="Q21" s="3146">
        <f>ROUND((Q19+Q20)/2,2)</f>
        <v>0.82</v>
      </c>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1.5</v>
      </c>
      <c r="C22" s="2438"/>
      <c r="D22" s="2451"/>
      <c r="E22" s="2438"/>
      <c r="F22" s="2438"/>
      <c r="G22" s="2438"/>
      <c r="H22" s="2438"/>
      <c r="I22" s="2438"/>
      <c r="J22" s="2438"/>
      <c r="K22" s="3151" t="s">
        <v>3395</v>
      </c>
      <c r="L22" s="3152">
        <f>'数据-基础表'!I13</f>
        <v>6042.6</v>
      </c>
      <c r="M22" s="3153">
        <v>1500</v>
      </c>
      <c r="N22" s="3153">
        <f>L22*M22</f>
        <v>9063900</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1.5</v>
      </c>
      <c r="C23" s="2438"/>
      <c r="D23" s="2451"/>
      <c r="E23" s="2438"/>
      <c r="F23" s="2438"/>
      <c r="G23" s="2438"/>
      <c r="H23" s="2438"/>
      <c r="I23" s="2438"/>
      <c r="J23" s="2438"/>
      <c r="K23" s="3151" t="s">
        <v>2631</v>
      </c>
      <c r="L23" s="3152">
        <f>'数据-基础表'!K13</f>
        <v>1007.1</v>
      </c>
      <c r="M23" s="3154">
        <v>3000</v>
      </c>
      <c r="N23" s="3153">
        <f t="shared" ref="N23:N25" si="12">L23*M23</f>
        <v>3021300</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3145" t="s">
        <v>3396</v>
      </c>
      <c r="L24" s="3148">
        <f>L21</f>
        <v>7049.7000000000007</v>
      </c>
      <c r="M24" s="3155">
        <v>1800</v>
      </c>
      <c r="N24" s="3153">
        <f t="shared" si="12"/>
        <v>12689460.000000002</v>
      </c>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3145" t="s">
        <v>3397</v>
      </c>
      <c r="L25" s="3148">
        <f>L21</f>
        <v>7049.7000000000007</v>
      </c>
      <c r="M25" s="3155">
        <v>1000</v>
      </c>
      <c r="N25" s="3153">
        <f t="shared" si="12"/>
        <v>7049700.0000000009</v>
      </c>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3165">
        <v>150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3164">
        <v>190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134</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4" t="s">
        <v>3374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4">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55" t="s">
        <v>2277</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0" sqref="D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7049.7000000000007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45561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4151</v>
      </c>
      <c r="C5" s="2299">
        <f ca="1">IF(B5=D14,结果表!H102,ROUND(B5*10000/$B$1,0))</f>
        <v>5888</v>
      </c>
      <c r="D5" s="2299" t="e">
        <f ca="1">ROUND(B5*10000/$B$2,0)</f>
        <v>#DIV/0!</v>
      </c>
      <c r="E5" s="2461"/>
      <c r="F5" s="2462"/>
      <c r="G5" s="2462"/>
      <c r="H5" s="2462"/>
      <c r="I5" s="2462"/>
      <c r="J5" s="2462"/>
      <c r="K5" s="2462"/>
    </row>
    <row r="6" spans="1:11" ht="16.5">
      <c r="A6" s="2299" t="s">
        <v>656</v>
      </c>
      <c r="B6" s="2299">
        <f ca="1">SUM(G14:G23)</f>
        <v>4151</v>
      </c>
      <c r="C6" s="2299">
        <f ca="1">IF(B6=G14,结果表!H108,ROUND(B6*10000/$B$1,0))</f>
        <v>5888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3349</v>
      </c>
      <c r="D10" s="2299" t="s">
        <v>3350</v>
      </c>
      <c r="E10" s="3135"/>
      <c r="F10" s="3139" t="s">
        <v>3351</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7049.7000000000007</v>
      </c>
      <c r="C14" s="2305"/>
      <c r="D14" s="2305">
        <f ca="1">结果表!H118</f>
        <v>4151</v>
      </c>
      <c r="E14" s="2305">
        <f ca="1">ROUND(D14*10000/B14,0)</f>
        <v>5888</v>
      </c>
      <c r="F14" s="2305" t="e">
        <f ca="1">ROUND(D14*10000/C14,0)</f>
        <v>#DIV/0!</v>
      </c>
      <c r="G14" s="2305">
        <f ca="1">结果表!D122</f>
        <v>4151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K25" sqref="K25"/>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3418</v>
      </c>
      <c r="H1" s="1620" t="str">
        <f>IF(G1="现房","——","估价对象范围")</f>
        <v>——</v>
      </c>
      <c r="I1" s="1621" t="s">
        <v>3419</v>
      </c>
    </row>
    <row r="2" spans="1:12" ht="21.75" customHeight="1" thickBot="1">
      <c r="A2" s="3324" t="str">
        <f>项目基本情况!S2</f>
        <v>北京市房地产</v>
      </c>
      <c r="B2" s="3325"/>
      <c r="C2" s="3325"/>
      <c r="D2" s="3325"/>
      <c r="E2" s="3325"/>
      <c r="F2" s="3325"/>
      <c r="G2" s="3325"/>
      <c r="H2" s="3325"/>
      <c r="I2" s="3326"/>
    </row>
    <row r="3" spans="1:12" ht="12.75">
      <c r="A3" s="3328" t="s">
        <v>1264</v>
      </c>
      <c r="B3" s="3329"/>
      <c r="C3" s="3329"/>
      <c r="D3" s="3329"/>
      <c r="E3" s="3329"/>
      <c r="F3" s="3329"/>
      <c r="G3" s="3329"/>
      <c r="H3" s="3329"/>
      <c r="I3" s="3329"/>
    </row>
    <row r="4" spans="1:12" ht="14.25">
      <c r="A4" s="1623" t="s">
        <v>1265</v>
      </c>
      <c r="B4" s="1624" t="s">
        <v>1266</v>
      </c>
      <c r="C4" s="1625" t="s">
        <v>3417</v>
      </c>
      <c r="D4" s="1625" t="s">
        <v>3398</v>
      </c>
      <c r="E4" s="3333" t="s">
        <v>1267</v>
      </c>
      <c r="F4" s="3334"/>
      <c r="G4" s="3334"/>
      <c r="H4" s="3334"/>
      <c r="I4" s="333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327">
        <v>25</v>
      </c>
      <c r="C5" s="3330"/>
      <c r="D5" s="3318"/>
      <c r="E5" s="122" t="s">
        <v>1269</v>
      </c>
      <c r="F5" s="1626"/>
      <c r="G5" s="1626"/>
      <c r="H5" s="1626"/>
      <c r="I5" s="1280"/>
    </row>
    <row r="6" spans="1:12" ht="12.75">
      <c r="A6" s="3272"/>
      <c r="B6" s="3327"/>
      <c r="C6" s="3332"/>
      <c r="D6" s="3318"/>
      <c r="E6" s="122" t="s">
        <v>1270</v>
      </c>
      <c r="F6" s="1626"/>
      <c r="G6" s="1626"/>
      <c r="H6" s="1626"/>
      <c r="I6" s="1280"/>
    </row>
    <row r="7" spans="1:12" ht="12.75">
      <c r="A7" s="3272"/>
      <c r="B7" s="3327"/>
      <c r="C7" s="3331"/>
      <c r="D7" s="3318"/>
      <c r="E7" s="122" t="s">
        <v>1271</v>
      </c>
      <c r="F7" s="1626"/>
      <c r="G7" s="1626"/>
      <c r="H7" s="1626"/>
      <c r="I7" s="1280"/>
    </row>
    <row r="8" spans="1:12" ht="12.75">
      <c r="A8" s="3272" t="s">
        <v>1272</v>
      </c>
      <c r="B8" s="3327">
        <v>15</v>
      </c>
      <c r="C8" s="3330"/>
      <c r="D8" s="3318"/>
      <c r="E8" s="122" t="s">
        <v>1273</v>
      </c>
      <c r="F8" s="1626"/>
      <c r="G8" s="1626"/>
      <c r="H8" s="1626"/>
      <c r="I8" s="1280"/>
    </row>
    <row r="9" spans="1:12" ht="12.75">
      <c r="A9" s="3272"/>
      <c r="B9" s="3327"/>
      <c r="C9" s="3331"/>
      <c r="D9" s="3318"/>
      <c r="E9" s="122" t="s">
        <v>1274</v>
      </c>
      <c r="F9" s="1626"/>
      <c r="G9" s="1626"/>
      <c r="H9" s="1626"/>
      <c r="I9" s="1280"/>
    </row>
    <row r="10" spans="1:12" ht="12.75">
      <c r="A10" s="3272" t="s">
        <v>1275</v>
      </c>
      <c r="B10" s="3327">
        <v>15</v>
      </c>
      <c r="C10" s="3330"/>
      <c r="D10" s="3318"/>
      <c r="E10" s="122" t="s">
        <v>1276</v>
      </c>
      <c r="F10" s="1626"/>
      <c r="G10" s="1626"/>
      <c r="H10" s="1626"/>
      <c r="I10" s="1280"/>
    </row>
    <row r="11" spans="1:12" ht="12.75">
      <c r="A11" s="3272"/>
      <c r="B11" s="3327"/>
      <c r="C11" s="3331"/>
      <c r="D11" s="3318"/>
      <c r="E11" s="122" t="s">
        <v>1277</v>
      </c>
      <c r="F11" s="1626"/>
      <c r="G11" s="1626"/>
      <c r="H11" s="1626"/>
      <c r="I11" s="1280"/>
    </row>
    <row r="12" spans="1:12" ht="12.75">
      <c r="A12" s="3272" t="s">
        <v>1278</v>
      </c>
      <c r="B12" s="3327">
        <v>15</v>
      </c>
      <c r="C12" s="3330"/>
      <c r="D12" s="3318"/>
      <c r="E12" s="122" t="s">
        <v>1279</v>
      </c>
      <c r="F12" s="1626"/>
      <c r="G12" s="1626"/>
      <c r="H12" s="1626"/>
      <c r="I12" s="1280"/>
    </row>
    <row r="13" spans="1:12" ht="12.75">
      <c r="A13" s="3272"/>
      <c r="B13" s="3327"/>
      <c r="C13" s="3331"/>
      <c r="D13" s="3318"/>
      <c r="E13" s="122" t="s">
        <v>1280</v>
      </c>
      <c r="F13" s="1626"/>
      <c r="G13" s="1626"/>
      <c r="H13" s="1626"/>
      <c r="I13" s="1280"/>
    </row>
    <row r="14" spans="1:12" ht="12.75">
      <c r="A14" s="3272" t="s">
        <v>1281</v>
      </c>
      <c r="B14" s="3327">
        <v>30</v>
      </c>
      <c r="C14" s="3330">
        <v>5</v>
      </c>
      <c r="D14" s="3318">
        <v>5</v>
      </c>
      <c r="E14" s="122" t="s">
        <v>1282</v>
      </c>
      <c r="F14" s="1626"/>
      <c r="G14" s="1626"/>
      <c r="H14" s="1626"/>
      <c r="I14" s="1280"/>
    </row>
    <row r="15" spans="1:12" ht="12.75">
      <c r="A15" s="3272"/>
      <c r="B15" s="3327"/>
      <c r="C15" s="3332"/>
      <c r="D15" s="3318"/>
      <c r="E15" s="122" t="s">
        <v>1283</v>
      </c>
      <c r="F15" s="1626"/>
      <c r="G15" s="1626"/>
      <c r="H15" s="1626"/>
      <c r="I15" s="1280"/>
    </row>
    <row r="16" spans="1:12" ht="12.75">
      <c r="A16" s="3272"/>
      <c r="B16" s="3327"/>
      <c r="C16" s="3331"/>
      <c r="D16" s="3318"/>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49" t="s">
        <v>2131</v>
      </c>
      <c r="F18" s="3350"/>
      <c r="G18" s="3350"/>
      <c r="H18" s="3350"/>
      <c r="I18" s="3350"/>
      <c r="K18" s="293" t="s">
        <v>1289</v>
      </c>
      <c r="L18" s="293">
        <f>IF(C1="",'数据-汇总表'!E3,SUMIF(项目类型,C1,'数据-汇总表'!E17:E26)+SUMIF(项目类型,C1,'数据-汇总表'!I17:I26))</f>
        <v>7049.7000000000007</v>
      </c>
      <c r="M18" s="293">
        <f>IF(C1="",'数据-汇总表'!E3,SUMIF(项目类型,C1,'数据-汇总表'!E17:E26))</f>
        <v>7049.7000000000007</v>
      </c>
    </row>
    <row r="19" spans="1:36" ht="15">
      <c r="A19" s="1629" t="s">
        <v>1290</v>
      </c>
      <c r="B19" s="1630" t="s">
        <v>1291</v>
      </c>
      <c r="C19" s="125">
        <f ca="1">SUMIF(INDIRECT("'"&amp;C4&amp;"'"&amp;"!A:A"),结果表!B19,INDIRECT("'"&amp;C4&amp;"'"&amp;"!B:B"))</f>
        <v>4199</v>
      </c>
      <c r="D19" s="126">
        <f ca="1">SUMIF(INDIRECT("'"&amp;D4&amp;"'"&amp;"!A:A"),结果表!B19,INDIRECT("'"&amp;D4&amp;"'"&amp;"!B:B"))</f>
        <v>4103</v>
      </c>
      <c r="E19" s="1629" t="s">
        <v>1292</v>
      </c>
      <c r="F19" s="1630" t="s">
        <v>1291</v>
      </c>
      <c r="G19" s="127">
        <f ca="1">ROUND(C19*$C$18+D19*$D$18,0)</f>
        <v>4151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5956</v>
      </c>
      <c r="D20" s="129">
        <f ca="1">SUMIF(INDIRECT("'"&amp;D4&amp;"'"&amp;"!A:A"),结果表!B20,INDIRECT("'"&amp;D4&amp;"'"&amp;"!B:B"))</f>
        <v>5820</v>
      </c>
      <c r="E20" s="1632"/>
      <c r="F20" s="43" t="s">
        <v>1295</v>
      </c>
      <c r="G20" s="130">
        <f ca="1">ROUND(C20*$C$18+D20*$D$18,0)</f>
        <v>5888</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2.3397514014136034E-2</v>
      </c>
      <c r="E22" s="120"/>
      <c r="F22" s="120"/>
      <c r="G22" s="120"/>
      <c r="H22" s="120"/>
      <c r="I22" s="120"/>
    </row>
    <row r="23" spans="1:36" ht="13.5" thickBot="1">
      <c r="A23" s="645"/>
      <c r="B23" s="645"/>
      <c r="C23" s="645"/>
      <c r="D23" s="645"/>
      <c r="E23" s="120"/>
      <c r="F23" s="120"/>
      <c r="G23" s="120"/>
      <c r="H23" s="120"/>
      <c r="I23" s="120"/>
    </row>
    <row r="24" spans="1:36" ht="14.25">
      <c r="A24" s="3342" t="s">
        <v>1299</v>
      </c>
      <c r="B24" s="1630" t="s">
        <v>1291</v>
      </c>
      <c r="C24" s="127">
        <f>IF(B30=0,0,D30)</f>
        <v>0</v>
      </c>
      <c r="D24" s="1636"/>
      <c r="E24" s="120"/>
      <c r="F24" s="120"/>
      <c r="G24" s="120"/>
      <c r="H24" s="120"/>
      <c r="I24" s="120"/>
    </row>
    <row r="25" spans="1:36" ht="14.25">
      <c r="A25" s="3343"/>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5888</v>
      </c>
      <c r="D32" s="1640" t="s">
        <v>3460</v>
      </c>
      <c r="E32" s="120"/>
      <c r="F32" s="120"/>
      <c r="G32" s="120"/>
      <c r="H32" s="120"/>
      <c r="I32" s="120"/>
    </row>
    <row r="33" spans="1:15" ht="15">
      <c r="A33" s="739" t="s">
        <v>1306</v>
      </c>
      <c r="B33" s="122"/>
      <c r="C33" s="1641"/>
      <c r="D33" s="1642"/>
      <c r="E33" s="1643" t="s">
        <v>1307</v>
      </c>
      <c r="F33" s="1644" t="str">
        <f>IF(D32="楼面单价","取值（单价）","取值（总价）")</f>
        <v>取值（单价）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19" t="s">
        <v>1312</v>
      </c>
      <c r="B36" s="1651" t="s">
        <v>1313</v>
      </c>
      <c r="C36" s="136"/>
      <c r="D36" s="1652"/>
      <c r="E36" s="1566"/>
      <c r="F36" s="1653"/>
      <c r="G36" s="120"/>
      <c r="H36" s="120"/>
      <c r="I36" s="120"/>
    </row>
    <row r="37" spans="1:15" ht="15.75" thickBot="1">
      <c r="A37" s="3320"/>
      <c r="B37" s="1554" t="s">
        <v>1314</v>
      </c>
      <c r="C37" s="138"/>
      <c r="D37" s="1070"/>
      <c r="E37" s="1070"/>
      <c r="F37" s="1653"/>
      <c r="G37" s="120"/>
      <c r="H37" s="120"/>
      <c r="I37" s="120"/>
    </row>
    <row r="38" spans="1:15" ht="15.75" thickBot="1">
      <c r="A38" s="3321"/>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9" t="s">
        <v>1326</v>
      </c>
      <c r="B45" s="3340"/>
      <c r="C45" s="3341"/>
      <c r="D45" s="146">
        <f ca="1">ROUND(H101*F45,0)</f>
        <v>4151</v>
      </c>
      <c r="E45" s="147" t="s">
        <v>1327</v>
      </c>
      <c r="F45" s="148">
        <v>1</v>
      </c>
      <c r="G45" s="149" t="s">
        <v>1328</v>
      </c>
      <c r="H45" s="120"/>
      <c r="I45" s="120"/>
      <c r="J45" s="3259" t="s">
        <v>1329</v>
      </c>
      <c r="K45" s="3259"/>
      <c r="L45" s="3259"/>
      <c r="M45" s="3259"/>
      <c r="N45" s="3259"/>
      <c r="O45" s="3259"/>
    </row>
    <row r="46" spans="1:15" ht="14.25" customHeight="1">
      <c r="A46" s="3336" t="s">
        <v>1330</v>
      </c>
      <c r="B46" s="3337"/>
      <c r="C46" s="3337"/>
      <c r="D46" s="3337"/>
      <c r="E46" s="3337"/>
      <c r="F46" s="3337"/>
      <c r="G46" s="3338"/>
      <c r="H46" s="1667"/>
      <c r="I46" s="150"/>
      <c r="J46" s="2309">
        <v>1</v>
      </c>
      <c r="K46" s="3260" t="s">
        <v>1331</v>
      </c>
      <c r="L46" s="3260"/>
      <c r="M46" s="3261"/>
      <c r="N46" s="3261"/>
      <c r="O46" s="3261"/>
    </row>
    <row r="47" spans="1:15" ht="12" customHeight="1">
      <c r="A47" s="151" t="s">
        <v>1332</v>
      </c>
      <c r="B47" s="152"/>
      <c r="C47" s="153"/>
      <c r="D47" s="1023" t="s">
        <v>1333</v>
      </c>
      <c r="E47" s="293" t="s">
        <v>1334</v>
      </c>
      <c r="F47" s="154" t="s">
        <v>1335</v>
      </c>
      <c r="G47" s="2332" t="s">
        <v>1336</v>
      </c>
      <c r="H47" s="2333"/>
      <c r="I47" s="150"/>
      <c r="J47" s="2309">
        <v>2</v>
      </c>
      <c r="K47" s="3260" t="s">
        <v>1337</v>
      </c>
      <c r="L47" s="3260"/>
      <c r="M47" s="3262">
        <f>'数据-取费表'!B2</f>
        <v>45561</v>
      </c>
      <c r="N47" s="3262"/>
      <c r="O47" s="3262"/>
    </row>
    <row r="48" spans="1:15" ht="25.5">
      <c r="A48" s="3322" t="s">
        <v>1338</v>
      </c>
      <c r="B48" s="3323"/>
      <c r="C48" s="3323"/>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60" t="s">
        <v>1340</v>
      </c>
      <c r="L48" s="3260"/>
      <c r="M48" s="3263">
        <f ca="1">H101</f>
        <v>4151</v>
      </c>
      <c r="N48" s="3263"/>
      <c r="O48" s="3263"/>
    </row>
    <row r="49" spans="1:35" ht="25.5" customHeight="1">
      <c r="A49" s="2151" t="s">
        <v>1341</v>
      </c>
      <c r="B49" s="3308" t="s">
        <v>1342</v>
      </c>
      <c r="C49" s="3308"/>
      <c r="D49" s="1477">
        <v>0</v>
      </c>
      <c r="E49" s="315" t="s">
        <v>1343</v>
      </c>
      <c r="F49" s="2232" t="s">
        <v>28</v>
      </c>
      <c r="G49" s="3291"/>
      <c r="H49" s="2133" t="s">
        <v>2134</v>
      </c>
      <c r="I49" s="2134"/>
      <c r="J49" s="2309">
        <v>4</v>
      </c>
      <c r="K49" s="3260" t="str">
        <f>IF(项目基本情况!E8="房地产抵押价值","房地产抵押价值","抵押担保权已注销时的房地产抵押价值")</f>
        <v>房地产抵押价值</v>
      </c>
      <c r="L49" s="3260"/>
      <c r="M49" s="3263">
        <f ca="1">IF(项目基本情况!E8="房地产抵押价值",H107,H109)</f>
        <v>4151</v>
      </c>
      <c r="N49" s="3263"/>
      <c r="O49" s="3263"/>
    </row>
    <row r="50" spans="1:35" ht="25.5" customHeight="1">
      <c r="A50" s="2337"/>
      <c r="B50" s="3308" t="s">
        <v>1344</v>
      </c>
      <c r="C50" s="3308"/>
      <c r="D50" s="2188"/>
      <c r="E50" s="322"/>
      <c r="F50" s="2232"/>
      <c r="G50" s="3292"/>
      <c r="H50" s="2135" t="s">
        <v>2135</v>
      </c>
      <c r="I50" s="2134"/>
      <c r="J50" s="3259" t="s">
        <v>1345</v>
      </c>
      <c r="K50" s="3259"/>
      <c r="L50" s="3259"/>
      <c r="M50" s="3259"/>
      <c r="N50" s="3259"/>
      <c r="O50" s="3259"/>
    </row>
    <row r="51" spans="1:35" ht="20.45" customHeight="1">
      <c r="A51" s="2338"/>
      <c r="B51" s="3308" t="s">
        <v>1346</v>
      </c>
      <c r="C51" s="3308"/>
      <c r="D51" s="1023"/>
      <c r="E51" s="318"/>
      <c r="F51" s="2232"/>
      <c r="G51" s="3293"/>
      <c r="H51" s="2135" t="s">
        <v>2136</v>
      </c>
      <c r="I51" s="2134"/>
      <c r="J51" s="2310" t="s">
        <v>1347</v>
      </c>
      <c r="K51" s="3260" t="s">
        <v>1348</v>
      </c>
      <c r="L51" s="3260"/>
      <c r="M51" s="2310" t="s">
        <v>1349</v>
      </c>
      <c r="N51" s="2310" t="s">
        <v>1350</v>
      </c>
      <c r="O51" s="2310" t="s">
        <v>1351</v>
      </c>
    </row>
    <row r="52" spans="1:35" ht="24" customHeight="1">
      <c r="A52" s="2152" t="s">
        <v>1352</v>
      </c>
      <c r="B52" s="3308" t="s">
        <v>1353</v>
      </c>
      <c r="C52" s="3308"/>
      <c r="D52" s="1023">
        <f ca="1">ROUND(D45*'数据-取费表'!B41/(1+'数据-取费表'!C42),0)</f>
        <v>217</v>
      </c>
      <c r="E52" s="1255" t="s">
        <v>1354</v>
      </c>
      <c r="F52" s="2339">
        <f>'数据-取费表'!B41</f>
        <v>5.5000000000000007E-2</v>
      </c>
      <c r="G52" s="2340"/>
      <c r="H52" s="2330"/>
      <c r="I52" s="1668"/>
      <c r="J52" s="2309">
        <v>1</v>
      </c>
      <c r="K52" s="3285" t="s">
        <v>1355</v>
      </c>
      <c r="L52" s="3285"/>
      <c r="M52" s="2311" t="b">
        <f>D48</f>
        <v>0</v>
      </c>
      <c r="N52" s="2309" t="str">
        <f>E48</f>
        <v>销售额×税（费）率</v>
      </c>
      <c r="O52" s="2312">
        <f>F48</f>
        <v>5.5000000000000007E-2</v>
      </c>
    </row>
    <row r="53" spans="1:35" ht="12" customHeight="1">
      <c r="A53" s="2152" t="s">
        <v>1356</v>
      </c>
      <c r="B53" s="3309" t="s">
        <v>2282</v>
      </c>
      <c r="C53" s="3310"/>
      <c r="D53" s="1023">
        <f ca="1">ROUND(D45*'数据-取费表'!B41/(1+'数据-取费表'!C42),0)</f>
        <v>217</v>
      </c>
      <c r="E53" s="1255" t="s">
        <v>1354</v>
      </c>
      <c r="F53" s="2339">
        <f>'数据-取费表'!B41</f>
        <v>5.5000000000000007E-2</v>
      </c>
      <c r="G53" s="2340"/>
      <c r="H53" s="2330"/>
      <c r="I53" s="1668"/>
      <c r="J53" s="2309">
        <v>2</v>
      </c>
      <c r="K53" s="3285" t="s">
        <v>1357</v>
      </c>
      <c r="L53" s="3285"/>
      <c r="M53" s="2311">
        <f t="shared" ref="M53:O54" ca="1" si="0">D55</f>
        <v>2</v>
      </c>
      <c r="N53" s="2309" t="str">
        <f t="shared" si="0"/>
        <v>销售额×税（费）率</v>
      </c>
      <c r="O53" s="2312" t="str">
        <f t="shared" si="0"/>
        <v>免征</v>
      </c>
    </row>
    <row r="54" spans="1:35" ht="12" customHeight="1">
      <c r="A54" s="2152" t="s">
        <v>1358</v>
      </c>
      <c r="B54" s="3309" t="s">
        <v>2283</v>
      </c>
      <c r="C54" s="3310"/>
      <c r="D54" s="1023">
        <f ca="1">C68</f>
        <v>217</v>
      </c>
      <c r="E54" s="318" t="s">
        <v>1359</v>
      </c>
      <c r="F54" s="2339">
        <f>'数据-取费表'!B41</f>
        <v>5.5000000000000007E-2</v>
      </c>
      <c r="G54" s="2340"/>
      <c r="H54" s="2341"/>
      <c r="I54" s="1668"/>
      <c r="J54" s="2309">
        <v>3</v>
      </c>
      <c r="K54" s="3285" t="s">
        <v>1360</v>
      </c>
      <c r="L54" s="3285"/>
      <c r="M54" s="2311">
        <f t="shared" ca="1" si="0"/>
        <v>2353</v>
      </c>
      <c r="N54" s="2309" t="str">
        <f t="shared" si="0"/>
        <v>增值额×税（费）率</v>
      </c>
      <c r="O54" s="2313" t="str">
        <f t="shared" si="0"/>
        <v>免征</v>
      </c>
    </row>
    <row r="55" spans="1:35" ht="24" customHeight="1">
      <c r="A55" s="3345" t="s">
        <v>1361</v>
      </c>
      <c r="B55" s="3323"/>
      <c r="C55" s="3323"/>
      <c r="D55" s="12">
        <f ca="1">IF(H55="个人住宅",0,ROUND(D45*I55,0))</f>
        <v>2</v>
      </c>
      <c r="E55" s="1255" t="s">
        <v>1362</v>
      </c>
      <c r="F55" s="2339" t="str">
        <f>IF(H55="正常",I55,"免征")</f>
        <v>免征</v>
      </c>
      <c r="G55" s="2340"/>
      <c r="H55" s="2336"/>
      <c r="I55" s="156">
        <f>'数据-取费表'!B49</f>
        <v>5.0000000000000001E-4</v>
      </c>
      <c r="J55" s="2309">
        <f>IF(H59="非个人房产","",4)</f>
        <v>4</v>
      </c>
      <c r="K55" s="3285" t="str">
        <f>IF(H59="非个人房产","——","个人所得税")</f>
        <v>个人所得税</v>
      </c>
      <c r="L55" s="3285"/>
      <c r="M55" s="2314">
        <f ca="1">D59</f>
        <v>40</v>
      </c>
      <c r="N55" s="1882" t="str">
        <f>E59</f>
        <v>差额计税</v>
      </c>
      <c r="O55" s="2315">
        <f>F59</f>
        <v>0.01</v>
      </c>
    </row>
    <row r="56" spans="1:35" ht="24.75">
      <c r="A56" s="3345" t="s">
        <v>1363</v>
      </c>
      <c r="B56" s="3323"/>
      <c r="C56" s="3323"/>
      <c r="D56" s="12">
        <f ca="1">IF(H56="个人住宅",D57,D58)</f>
        <v>2353</v>
      </c>
      <c r="E56" s="1255" t="s">
        <v>1364</v>
      </c>
      <c r="F56" s="2339" t="str">
        <f>IF(H56="正常",F58,"免征")</f>
        <v>免征</v>
      </c>
      <c r="G56" s="2342" t="s">
        <v>1365</v>
      </c>
      <c r="H56" s="2343"/>
      <c r="I56" s="1669"/>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2.75">
      <c r="A57" s="2152" t="s">
        <v>1341</v>
      </c>
      <c r="B57" s="3309" t="s">
        <v>1366</v>
      </c>
      <c r="C57" s="3310"/>
      <c r="D57" s="1477">
        <v>0</v>
      </c>
      <c r="E57" s="315" t="s">
        <v>1343</v>
      </c>
      <c r="F57" s="293"/>
      <c r="G57" s="2340"/>
      <c r="H57" s="2344"/>
      <c r="I57" s="1669"/>
      <c r="J57" s="3285">
        <f>IF(AND(J55="",J56=""),4,IF(项目基本情况!K6="上海银行",结果表!J56+1,结果表!J55+1))</f>
        <v>5</v>
      </c>
      <c r="K57" s="3285" t="s">
        <v>1367</v>
      </c>
      <c r="L57" s="2316" t="s">
        <v>1368</v>
      </c>
      <c r="M57" s="2317"/>
      <c r="N57" s="2318">
        <f ca="1">SUMIF(M52:M56,"&lt;9e307")</f>
        <v>2395</v>
      </c>
      <c r="O57" s="2319"/>
      <c r="P57" s="2464">
        <f ca="1">N57/M49</f>
        <v>0.57696940496265958</v>
      </c>
    </row>
    <row r="58" spans="1:35" ht="24.75">
      <c r="A58" s="2152" t="s">
        <v>1352</v>
      </c>
      <c r="B58" s="3309" t="s">
        <v>1369</v>
      </c>
      <c r="C58" s="3308"/>
      <c r="D58" s="12">
        <f ca="1">IF(H58="转让取得",C81,C97)</f>
        <v>2353</v>
      </c>
      <c r="E58" s="1255" t="s">
        <v>1364</v>
      </c>
      <c r="F58" s="293" t="s">
        <v>28</v>
      </c>
      <c r="G58" s="2340"/>
      <c r="H58" s="2343"/>
      <c r="I58" s="1669"/>
      <c r="J58" s="3285"/>
      <c r="K58" s="3285"/>
      <c r="L58" s="2316" t="s">
        <v>1370</v>
      </c>
      <c r="M58" s="2320"/>
      <c r="N58" s="2321" t="str">
        <f ca="1">NUMBERSTRING(INT(N57*10000),2)&amp;"元整"</f>
        <v>贰仟叁佰玖拾伍万元整</v>
      </c>
      <c r="O58" s="2322"/>
    </row>
    <row r="59" spans="1:35" ht="24.75" thickBot="1">
      <c r="A59" s="3289" t="s">
        <v>1371</v>
      </c>
      <c r="B59" s="3290"/>
      <c r="C59" s="3290"/>
      <c r="D59" s="2345">
        <f ca="1">IF(H59="非个人房产","——",IF(H59="个人住宅（满五唯一有凭证）",0,IF(H59="个人其他（无凭证）",ROUND(D45*F59,0),ROUND(C67*F59,0))))</f>
        <v>40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7">
        <f>J57+1</f>
        <v>6</v>
      </c>
      <c r="K59" s="3285" t="s">
        <v>1372</v>
      </c>
      <c r="L59" s="2309" t="s">
        <v>1368</v>
      </c>
      <c r="M59" s="2323"/>
      <c r="N59" s="2324">
        <f ca="1">M49-N57</f>
        <v>1756</v>
      </c>
      <c r="O59" s="2325"/>
    </row>
    <row r="60" spans="1:35" ht="12" customHeight="1">
      <c r="A60" s="1670"/>
      <c r="B60" s="645"/>
      <c r="C60" s="645"/>
      <c r="D60" s="645"/>
      <c r="E60" s="1465"/>
      <c r="F60" s="1669"/>
      <c r="G60" s="1669"/>
      <c r="H60" s="150"/>
      <c r="I60" s="120"/>
      <c r="J60" s="3288"/>
      <c r="K60" s="3285"/>
      <c r="L60" s="2316" t="s">
        <v>1370</v>
      </c>
      <c r="M60" s="2320"/>
      <c r="N60" s="2321" t="str">
        <f ca="1">NUMBERSTRING(INT(N59*10000),2)&amp;"元整"</f>
        <v>壹仟柒佰伍拾陆万元整</v>
      </c>
      <c r="O60" s="2322"/>
    </row>
    <row r="61" spans="1:35" ht="13.5" thickBot="1">
      <c r="A61" s="3344" t="s">
        <v>1373</v>
      </c>
      <c r="B61" s="3344"/>
      <c r="C61" s="3344"/>
      <c r="D61" s="3344"/>
      <c r="E61" s="3344"/>
      <c r="F61" s="1669"/>
      <c r="G61" s="1669"/>
      <c r="H61" s="150"/>
      <c r="I61" s="120"/>
      <c r="J61" s="2309">
        <f>J59+1</f>
        <v>7</v>
      </c>
      <c r="K61" s="3285" t="s">
        <v>1374</v>
      </c>
      <c r="L61" s="3285"/>
      <c r="M61" s="2326"/>
      <c r="N61" s="2327">
        <f ca="1">ROUND(N59*10000/'数据-汇总表'!E3,0)</f>
        <v>2491</v>
      </c>
      <c r="O61" s="2328"/>
    </row>
    <row r="62" spans="1:35" ht="12.75">
      <c r="A62" s="3304" t="s">
        <v>1375</v>
      </c>
      <c r="B62" s="3305"/>
      <c r="C62" s="1864"/>
      <c r="D62" s="1864" t="s">
        <v>1376</v>
      </c>
      <c r="E62" s="157" t="s">
        <v>1377</v>
      </c>
      <c r="F62" s="1669"/>
      <c r="G62" s="1669"/>
      <c r="H62" s="150"/>
      <c r="I62" s="120"/>
    </row>
    <row r="63" spans="1:35" ht="12.75">
      <c r="A63" s="164" t="s">
        <v>330</v>
      </c>
      <c r="B63" s="158" t="s">
        <v>1378</v>
      </c>
      <c r="C63" s="2349">
        <f ca="1">ROUND((C64+C65)/(1+'数据-取费表'!C42),0)</f>
        <v>3953</v>
      </c>
      <c r="D63" s="158"/>
      <c r="E63" s="159"/>
      <c r="F63" s="1669"/>
      <c r="G63" s="1669"/>
      <c r="H63" s="150"/>
      <c r="I63" s="120"/>
      <c r="J63" s="3268" t="s">
        <v>1379</v>
      </c>
      <c r="K63" s="1244" t="s">
        <v>1380</v>
      </c>
      <c r="L63" s="1244">
        <f ca="1">IF(M49&gt;10000,M49*0.5%,IF(AND(M49&gt;1000,M49&lt;=10000),M49*1%,IF(AND(M49&gt;100,M49&lt;=1000),M49*3%,IF(AND(M49&gt;10,M49&lt;=100),M49*5%,M49*8%))))</f>
        <v>41.51</v>
      </c>
      <c r="M63" s="293">
        <f ca="1">ROUND(L63,1)</f>
        <v>41.5</v>
      </c>
      <c r="N63" s="2329"/>
      <c r="Z63" s="1622"/>
      <c r="AI63" s="1560"/>
    </row>
    <row r="64" spans="1:35" ht="14.25" customHeight="1">
      <c r="A64" s="160" t="s">
        <v>325</v>
      </c>
      <c r="B64" s="161" t="s">
        <v>1381</v>
      </c>
      <c r="C64" s="2350">
        <f ca="1">D45</f>
        <v>4151</v>
      </c>
      <c r="D64" s="161" t="s">
        <v>26</v>
      </c>
      <c r="E64" s="163"/>
      <c r="F64" s="1669"/>
      <c r="G64" s="1669"/>
      <c r="H64" s="150"/>
      <c r="I64" s="120"/>
      <c r="J64" s="3268"/>
      <c r="K64" s="1244" t="s">
        <v>1382</v>
      </c>
      <c r="L64" s="1244">
        <f ca="1">IF(M49&gt;2000,M49*0.5%,IF(AND(M49&gt;1000,M49&lt;=2000),M49*0.6%,IF(AND(M49&gt;500,M49&lt;=1000),M49*0.7%,IF(AND(M49&gt;200,M49&lt;=500),M49*0.8%,IF(AND(M49&gt;100,M49&lt;=200),M49*0.9%,IF(AND(M49&gt;50,M49&lt;=100),M49*1%,IF(AND(M49&gt;20,M49&lt;=50),M49*1.5%,IF(AND(M49&gt;10,M49&lt;=20),M49*2%,IF(AND(M49&gt;1,M49&lt;=10),M49*2.5%)))))))))</f>
        <v>20.754999999999999</v>
      </c>
      <c r="M64" s="293">
        <f t="shared" ref="M64:M65" ca="1" si="1">ROUND(L64,1)</f>
        <v>20.8</v>
      </c>
      <c r="N64" s="2330" t="s">
        <v>1383</v>
      </c>
      <c r="Z64" s="1622"/>
      <c r="AI64" s="1560"/>
    </row>
    <row r="65" spans="1:35" ht="14.25" customHeight="1">
      <c r="A65" s="160" t="s">
        <v>326</v>
      </c>
      <c r="B65" s="161" t="s">
        <v>1384</v>
      </c>
      <c r="C65" s="2351"/>
      <c r="D65" s="161"/>
      <c r="E65" s="163"/>
      <c r="F65" s="1669"/>
      <c r="G65" s="1669"/>
      <c r="H65" s="150"/>
      <c r="I65" s="120"/>
      <c r="J65" s="3268"/>
      <c r="K65" s="1244" t="s">
        <v>1385</v>
      </c>
      <c r="L65" s="1244">
        <f ca="1">IF(M49&gt;1000,M49*0.1%,IF(AND(M49&gt;500,M49&lt;=1000),M49*0.5%,IF(AND(M49&gt;50,M49&lt;=500),M49*1%,IF(AND(M49&gt;1,M49&lt;=50),M49*1.5%))))</f>
        <v>4.1509999999999998</v>
      </c>
      <c r="M65" s="293">
        <f t="shared" ca="1" si="1"/>
        <v>4.2</v>
      </c>
      <c r="N65" s="2330" t="s">
        <v>1383</v>
      </c>
      <c r="Z65" s="1622"/>
      <c r="AI65" s="1560"/>
    </row>
    <row r="66" spans="1:35" ht="14.25" customHeight="1">
      <c r="A66" s="164" t="s">
        <v>327</v>
      </c>
      <c r="B66" s="165" t="s">
        <v>1386</v>
      </c>
      <c r="C66" s="2352"/>
      <c r="D66" s="165" t="s">
        <v>26</v>
      </c>
      <c r="E66" s="1250" t="s">
        <v>671</v>
      </c>
      <c r="F66" s="1669"/>
      <c r="G66" s="1669"/>
      <c r="H66" s="150"/>
      <c r="I66" s="120"/>
      <c r="J66" s="3268"/>
      <c r="K66" s="1244" t="s">
        <v>1387</v>
      </c>
      <c r="L66" s="1244">
        <f ca="1">M49*0.5%</f>
        <v>20.754999999999999</v>
      </c>
      <c r="M66" s="293">
        <f ca="1">IF(L66&gt;0.5,0.5,ROUND(L66,0))</f>
        <v>0.5</v>
      </c>
      <c r="N66" s="2330" t="s">
        <v>1388</v>
      </c>
      <c r="Z66" s="1622"/>
      <c r="AI66" s="1560"/>
    </row>
    <row r="67" spans="1:35" ht="14.25" customHeight="1">
      <c r="A67" s="164" t="s">
        <v>328</v>
      </c>
      <c r="B67" s="165" t="s">
        <v>1389</v>
      </c>
      <c r="C67" s="2353">
        <f ca="1">C63-C66</f>
        <v>3953</v>
      </c>
      <c r="D67" s="161" t="s">
        <v>26</v>
      </c>
      <c r="E67" s="163"/>
      <c r="F67" s="1669"/>
      <c r="G67" s="1669"/>
      <c r="H67" s="150"/>
      <c r="I67" s="120"/>
      <c r="J67" s="3268"/>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9"/>
      <c r="Z67" s="1622"/>
      <c r="AI67" s="1560"/>
    </row>
    <row r="68" spans="1:35" ht="14.25" customHeight="1" thickBot="1">
      <c r="A68" s="167" t="s">
        <v>329</v>
      </c>
      <c r="B68" s="168" t="s">
        <v>1391</v>
      </c>
      <c r="C68" s="2354">
        <f ca="1">IF(C67&lt;=0,0,ROUND(C67*D68,0))</f>
        <v>217</v>
      </c>
      <c r="D68" s="2355">
        <f>'数据-取费表'!B41</f>
        <v>5.5000000000000007E-2</v>
      </c>
      <c r="E68" s="169"/>
      <c r="F68" s="1669"/>
      <c r="G68" s="1669"/>
      <c r="H68" s="150"/>
      <c r="I68" s="120"/>
      <c r="J68" s="3268"/>
      <c r="K68" s="1244" t="s">
        <v>1392</v>
      </c>
      <c r="L68" s="1244">
        <f ca="1">IF(M49&gt;10000,M49*0.5%,IF(AND(M49&gt;5000,M49&lt;=10000),M49*1%,IF(AND(M49&gt;1000,M49&lt;=5000),M49*2%,IF(AND(M49&gt;200,M49&lt;=1000),M49*3%,M49*5%))))</f>
        <v>83.02</v>
      </c>
      <c r="M68" s="293">
        <f ca="1">ROUND(L68,1)</f>
        <v>83</v>
      </c>
      <c r="N68" s="2329"/>
      <c r="Z68" s="1622"/>
      <c r="AI68" s="1560"/>
    </row>
    <row r="69" spans="1:35" ht="16.5" customHeight="1">
      <c r="A69" s="1671"/>
      <c r="B69" s="1672"/>
      <c r="C69" s="1673"/>
      <c r="D69" s="1674"/>
      <c r="E69" s="1675"/>
      <c r="F69" s="1465"/>
      <c r="G69" s="1465"/>
      <c r="H69" s="1466"/>
      <c r="I69" s="645"/>
      <c r="J69" s="3268"/>
      <c r="K69" s="1244" t="s">
        <v>1393</v>
      </c>
      <c r="L69" s="1244"/>
      <c r="M69" s="293">
        <f ca="1">ROUND(SUM(M63:M68),0)</f>
        <v>152</v>
      </c>
      <c r="N69" s="2331">
        <f ca="1">M69/M49</f>
        <v>3.6617682486147919E-2</v>
      </c>
      <c r="Z69" s="1622"/>
      <c r="AI69" s="1560"/>
    </row>
    <row r="70" spans="1:35" s="641" customFormat="1" ht="15" thickBot="1">
      <c r="A70" s="3312" t="s">
        <v>1394</v>
      </c>
      <c r="B70" s="3313"/>
      <c r="C70" s="3313"/>
      <c r="D70" s="3313"/>
      <c r="E70" s="3313"/>
      <c r="F70" s="3313"/>
      <c r="G70" s="3313"/>
      <c r="H70" s="331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4" t="s">
        <v>1375</v>
      </c>
      <c r="B71" s="3305"/>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3953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9" t="s">
        <v>1402</v>
      </c>
      <c r="F76" s="3308"/>
      <c r="G76" s="3308"/>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20</v>
      </c>
      <c r="D78" s="2362">
        <f>'数据-取费表'!B43</f>
        <v>5.000000000000001E-3</v>
      </c>
      <c r="E78" s="3301" t="s">
        <v>1406</v>
      </c>
      <c r="F78" s="3302"/>
      <c r="G78" s="3302"/>
      <c r="H78" s="330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3933</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196.65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2353</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4" t="s">
        <v>1375</v>
      </c>
      <c r="B84" s="3305"/>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3953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20</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70" t="s">
        <v>2129</v>
      </c>
      <c r="H90" s="3271"/>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01" t="s">
        <v>1422</v>
      </c>
      <c r="F92" s="3302"/>
      <c r="G92" s="3302"/>
      <c r="H92" s="3303"/>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20</v>
      </c>
      <c r="D93" s="2362">
        <f>'数据-取费表'!B43</f>
        <v>5.000000000000001E-3</v>
      </c>
      <c r="E93" s="3301" t="s">
        <v>1406</v>
      </c>
      <c r="F93" s="3302"/>
      <c r="G93" s="3302"/>
      <c r="H93" s="330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46" t="s">
        <v>1426</v>
      </c>
      <c r="F94" s="3347"/>
      <c r="G94" s="3347"/>
      <c r="H94" s="334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3933</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196.65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2353</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1" t="s">
        <v>1428</v>
      </c>
      <c r="B100" s="3252"/>
      <c r="C100" s="3252"/>
      <c r="D100" s="3286"/>
      <c r="E100" s="3252" t="s">
        <v>1429</v>
      </c>
      <c r="F100" s="3252"/>
      <c r="G100" s="3252"/>
      <c r="H100" s="3286"/>
      <c r="I100" s="120"/>
    </row>
    <row r="101" spans="1:35" ht="18.75" customHeight="1">
      <c r="A101" s="3294" t="s">
        <v>1430</v>
      </c>
      <c r="B101" s="3295"/>
      <c r="C101" s="2370" t="str">
        <f>C4</f>
        <v>成本法</v>
      </c>
      <c r="D101" s="2371" t="str">
        <f>D4</f>
        <v>收益法</v>
      </c>
      <c r="E101" s="3264" t="s">
        <v>1431</v>
      </c>
      <c r="F101" s="3265"/>
      <c r="G101" s="1686" t="s">
        <v>1432</v>
      </c>
      <c r="H101" s="2380">
        <f ca="1">H118</f>
        <v>4151</v>
      </c>
      <c r="I101" s="120"/>
    </row>
    <row r="102" spans="1:35" ht="18.75" customHeight="1">
      <c r="A102" s="3296" t="s">
        <v>1433</v>
      </c>
      <c r="B102" s="2369" t="s">
        <v>1432</v>
      </c>
      <c r="C102" s="2370">
        <f ca="1">IF(D32="楼面单价",ROUND(C19,0),C19)</f>
        <v>4199</v>
      </c>
      <c r="D102" s="2371">
        <f ca="1">IF(D32="楼面单价",ROUND(D19,0),D19)</f>
        <v>4103</v>
      </c>
      <c r="E102" s="3264"/>
      <c r="F102" s="3265"/>
      <c r="G102" s="1686" t="s">
        <v>1434</v>
      </c>
      <c r="H102" s="2340">
        <f ca="1">I118</f>
        <v>5888</v>
      </c>
      <c r="I102" s="120"/>
    </row>
    <row r="103" spans="1:35" ht="42.75" customHeight="1">
      <c r="A103" s="3296"/>
      <c r="B103" s="2369" t="s">
        <v>1434</v>
      </c>
      <c r="C103" s="2372">
        <f ca="1">C20</f>
        <v>5956</v>
      </c>
      <c r="D103" s="2373">
        <f ca="1">D20</f>
        <v>5820</v>
      </c>
      <c r="E103" s="3257" t="s">
        <v>1435</v>
      </c>
      <c r="F103" s="3258"/>
      <c r="G103" s="1687" t="s">
        <v>1436</v>
      </c>
      <c r="H103" s="2380">
        <f>IF(D36="正常操作",H104+H105+H106,H105+H106)</f>
        <v>0</v>
      </c>
      <c r="I103" s="120"/>
    </row>
    <row r="104" spans="1:35" ht="18.75" customHeight="1">
      <c r="A104" s="3296" t="s">
        <v>1437</v>
      </c>
      <c r="B104" s="2374" t="s">
        <v>1432</v>
      </c>
      <c r="C104" s="2375">
        <f ca="1">H118</f>
        <v>4151</v>
      </c>
      <c r="D104" s="2376"/>
      <c r="E104" s="1554" t="s">
        <v>1438</v>
      </c>
      <c r="F104" s="1547"/>
      <c r="G104" s="1687" t="s">
        <v>1436</v>
      </c>
      <c r="H104" s="2381">
        <f>IF(D36="同一抵押权人同一抵押物续贷",C36&amp;"（续贷，未扣减，详见特别提示）",C36)</f>
        <v>0</v>
      </c>
      <c r="I104" s="120"/>
    </row>
    <row r="105" spans="1:35" ht="18.75" customHeight="1" thickBot="1">
      <c r="A105" s="3306"/>
      <c r="B105" s="2377" t="s">
        <v>1434</v>
      </c>
      <c r="C105" s="2378">
        <f ca="1">I118</f>
        <v>5888</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97" t="str">
        <f>IF(项目基本情况!E8="已注销","——","3.房地产抵押价值")</f>
        <v>3.房地产抵押价值</v>
      </c>
      <c r="F107" s="3265"/>
      <c r="G107" s="1686" t="s">
        <v>1432</v>
      </c>
      <c r="H107" s="2380">
        <f ca="1">IF(E107="——","——",H101-H103)</f>
        <v>4151</v>
      </c>
      <c r="I107" s="120"/>
    </row>
    <row r="108" spans="1:35" ht="18.75" customHeight="1">
      <c r="A108" s="120"/>
      <c r="B108" s="120"/>
      <c r="C108" s="120"/>
      <c r="D108" s="120"/>
      <c r="E108" s="3297"/>
      <c r="F108" s="3265"/>
      <c r="G108" s="1686" t="s">
        <v>1434</v>
      </c>
      <c r="H108" s="2340">
        <f ca="1">IF(H107=H101,H102,ROUND(H107*10000/'数据-汇总表'!E3,0))</f>
        <v>5888</v>
      </c>
      <c r="I108" s="120"/>
    </row>
    <row r="109" spans="1:35" ht="18.75" customHeight="1">
      <c r="A109" s="120"/>
      <c r="B109" s="120"/>
      <c r="C109" s="120"/>
      <c r="D109" s="120"/>
      <c r="E109" s="3297" t="str">
        <f>IF(项目基本情况!E8="已注销及未注销","4.抵押担保权已注销时的房地产抵押价值",IF(项目基本情况!E8="已注销","3.抵押担保权已注销时的房地产抵押价值","——"))</f>
        <v>——</v>
      </c>
      <c r="F109" s="3265"/>
      <c r="G109" s="1686" t="s">
        <v>1432</v>
      </c>
      <c r="H109" s="2383" t="str">
        <f>IF(E109="——","——",H101-H105-H106)</f>
        <v>——</v>
      </c>
      <c r="I109" s="120"/>
    </row>
    <row r="110" spans="1:35" ht="18.75" customHeight="1">
      <c r="A110" s="120"/>
      <c r="B110" s="120"/>
      <c r="C110" s="120"/>
      <c r="D110" s="120"/>
      <c r="E110" s="3297"/>
      <c r="F110" s="3265"/>
      <c r="G110" s="1686" t="s">
        <v>1434</v>
      </c>
      <c r="H110" s="2340" t="str">
        <f>IF(H109="——","——",ROUND(H109*10000/'数据-汇总表'!E3,0))</f>
        <v>——</v>
      </c>
      <c r="I110" s="120"/>
    </row>
    <row r="111" spans="1:35" ht="18.75" customHeight="1">
      <c r="A111" s="120"/>
      <c r="B111" s="120"/>
      <c r="C111" s="120"/>
      <c r="D111" s="120"/>
      <c r="E111" s="3298" t="str">
        <f>IF(项目基本情况!E9="抵押净值",IF(OR(项目基本情况!E8="已注销",项目基本情况!E8="房地产抵押价值"),"4.抵押净值","5.抵押净值"),"——")</f>
        <v>——</v>
      </c>
      <c r="F111" s="3284"/>
      <c r="G111" s="1686" t="s">
        <v>1432</v>
      </c>
      <c r="H111" s="2380" t="str">
        <f>IF(E111="——","——",N59)</f>
        <v>——</v>
      </c>
      <c r="I111" s="120"/>
    </row>
    <row r="112" spans="1:35" ht="18.75" customHeight="1" thickBot="1">
      <c r="A112" s="120"/>
      <c r="B112" s="120"/>
      <c r="C112" s="120"/>
      <c r="D112" s="120"/>
      <c r="E112" s="3299"/>
      <c r="F112" s="3300"/>
      <c r="G112" s="1689" t="s">
        <v>1434</v>
      </c>
      <c r="H112" s="2384" t="str">
        <f>IF(E111="——","——",N61)</f>
        <v>——</v>
      </c>
      <c r="I112" s="120"/>
    </row>
    <row r="113" spans="1:27" ht="18.75" customHeight="1">
      <c r="A113" s="120"/>
      <c r="B113" s="120"/>
      <c r="C113" s="120"/>
      <c r="D113" s="120"/>
      <c r="E113" s="3307" t="s">
        <v>1440</v>
      </c>
      <c r="F113" s="3307"/>
      <c r="G113" s="3307"/>
      <c r="H113" s="3307"/>
      <c r="I113" s="120"/>
    </row>
    <row r="114" spans="1:27" ht="3.75" customHeight="1">
      <c r="A114" s="645"/>
      <c r="B114" s="645"/>
      <c r="C114" s="645"/>
      <c r="D114" s="645"/>
      <c r="E114" s="1670"/>
      <c r="F114" s="1670"/>
      <c r="G114" s="1670"/>
      <c r="H114" s="1670"/>
      <c r="I114" s="645"/>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7049.7000000000007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4151</v>
      </c>
      <c r="I118" s="2149">
        <f ca="1">ROUND(IF(D32="楼面单价",C32,H118*10000/B118),0)</f>
        <v>5888</v>
      </c>
    </row>
    <row r="119" spans="1:27" ht="18.75" customHeight="1">
      <c r="A119" s="3272" t="s">
        <v>1452</v>
      </c>
      <c r="B119" s="3272"/>
      <c r="C119" s="3272"/>
      <c r="D119" s="3278" t="e">
        <f ca="1">NUMBERSTRING(INT(D118*10000),2)&amp;"元整"</f>
        <v>#REF!</v>
      </c>
      <c r="E119" s="3279"/>
      <c r="F119" s="3278" t="e">
        <f ca="1">NUMBERSTRING(INT(F118*10000),2)&amp;"元整"</f>
        <v>#REF!</v>
      </c>
      <c r="G119" s="3279"/>
      <c r="H119" s="3278" t="str">
        <f ca="1">NUMBERSTRING(INT(H118*10000),2)&amp;"元整"</f>
        <v>肆仟壹佰伍拾壹万元整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8" t="s">
        <v>1452</v>
      </c>
      <c r="B121" s="3280"/>
      <c r="C121" s="3279"/>
      <c r="D121" s="3278" t="str">
        <f>IF(D120=0,"零元整",NUMBERSTRING(INT(D120*10000),2)&amp;"元整")</f>
        <v>零元整</v>
      </c>
      <c r="E121" s="3280"/>
      <c r="F121" s="3280"/>
      <c r="G121" s="3280"/>
      <c r="H121" s="3280"/>
      <c r="I121" s="3279"/>
      <c r="AA121" s="683"/>
    </row>
    <row r="122" spans="1:27" ht="18.75" customHeight="1">
      <c r="A122" s="3284" t="str">
        <f>IF(项目基本情况!B9="房地产市场价值","",MID(E107,3,LEN(E107)-2))</f>
        <v>房地产抵押价值</v>
      </c>
      <c r="B122" s="3284"/>
      <c r="C122" s="3284"/>
      <c r="D122" s="3273">
        <f ca="1">H107</f>
        <v>4151</v>
      </c>
      <c r="E122" s="3274"/>
      <c r="F122" s="3274"/>
      <c r="G122" s="3274"/>
      <c r="H122" s="3274"/>
      <c r="I122" s="3275"/>
      <c r="AA122" s="683"/>
    </row>
    <row r="123" spans="1:27" ht="18.75" customHeight="1">
      <c r="A123" s="3272" t="s">
        <v>1452</v>
      </c>
      <c r="B123" s="3272"/>
      <c r="C123" s="3272"/>
      <c r="D123" s="3278" t="str">
        <f ca="1">NUMBERSTRING(INT(D122*10000),2)&amp;"元整"</f>
        <v>肆仟壹佰伍拾壹万元整</v>
      </c>
      <c r="E123" s="3280"/>
      <c r="F123" s="3280"/>
      <c r="G123" s="3280"/>
      <c r="H123" s="3280"/>
      <c r="I123" s="3279"/>
      <c r="AA123" s="683"/>
    </row>
    <row r="124" spans="1:27" ht="18.75" customHeight="1">
      <c r="A124" s="3284" t="str">
        <f>IF(项目基本情况!B9="房地产市场价值","",MID(E109,3,LEN(E109)-2))</f>
        <v/>
      </c>
      <c r="B124" s="3284"/>
      <c r="C124" s="3284"/>
      <c r="D124" s="3273" t="str">
        <f>H109</f>
        <v>——</v>
      </c>
      <c r="E124" s="3274"/>
      <c r="F124" s="3274"/>
      <c r="G124" s="3274"/>
      <c r="H124" s="3274"/>
      <c r="I124" s="3275"/>
      <c r="AA124" s="683"/>
    </row>
    <row r="125" spans="1:27" ht="18.75" customHeight="1">
      <c r="A125" s="3272" t="s">
        <v>1452</v>
      </c>
      <c r="B125" s="3272"/>
      <c r="C125" s="3272"/>
      <c r="D125" s="3278" t="e">
        <f>NUMBERSTRING(INT(D124*10000),2)&amp;"元整"</f>
        <v>#VALUE!</v>
      </c>
      <c r="E125" s="3280"/>
      <c r="F125" s="3280"/>
      <c r="G125" s="3280"/>
      <c r="H125" s="3280"/>
      <c r="I125" s="3279"/>
      <c r="AA125" s="683"/>
    </row>
    <row r="126" spans="1:27" ht="18.75" customHeight="1">
      <c r="A126" s="3284" t="str">
        <f>IF(项目基本情况!B9="房地产市场价值","",MID(E111,3,LEN(E111)-2))</f>
        <v/>
      </c>
      <c r="B126" s="3284"/>
      <c r="C126" s="3284"/>
      <c r="D126" s="3273" t="str">
        <f>H111</f>
        <v>——</v>
      </c>
      <c r="E126" s="3274"/>
      <c r="F126" s="3274"/>
      <c r="G126" s="3274"/>
      <c r="H126" s="3274"/>
      <c r="I126" s="3275"/>
      <c r="AA126" s="683"/>
    </row>
    <row r="127" spans="1:27" ht="18.75" customHeight="1">
      <c r="A127" s="3272" t="s">
        <v>1452</v>
      </c>
      <c r="B127" s="3272"/>
      <c r="C127" s="3272"/>
      <c r="D127" s="3278" t="e">
        <f>NUMBERSTRING(INT(D126*10000),2)&amp;"元整"</f>
        <v>#VALUE!</v>
      </c>
      <c r="E127" s="3280"/>
      <c r="F127" s="3280"/>
      <c r="G127" s="3280"/>
      <c r="H127" s="3280"/>
      <c r="I127" s="3279"/>
      <c r="AA127" s="683"/>
    </row>
    <row r="128" spans="1:27" ht="21.75" customHeight="1">
      <c r="A128" s="3281" t="s">
        <v>1453</v>
      </c>
      <c r="B128" s="3281"/>
      <c r="C128" s="3281"/>
      <c r="D128" s="3281"/>
      <c r="E128" s="3281"/>
      <c r="F128" s="3281"/>
      <c r="G128" s="3281"/>
      <c r="H128" s="3281"/>
      <c r="I128" s="328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45" sqref="I4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4199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5956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540</v>
      </c>
      <c r="D5" s="202" t="s">
        <v>1469</v>
      </c>
      <c r="E5" s="203" t="s">
        <v>1470</v>
      </c>
      <c r="F5" s="203" t="s">
        <v>1471</v>
      </c>
      <c r="G5" s="204"/>
    </row>
    <row r="6" spans="1:9" s="205" customFormat="1" ht="13.5" customHeight="1">
      <c r="A6" s="731" t="s">
        <v>1472</v>
      </c>
      <c r="B6" s="206" t="s">
        <v>1473</v>
      </c>
      <c r="C6" s="207">
        <f>基准地价修正!B2</f>
        <v>394</v>
      </c>
      <c r="D6" s="208"/>
      <c r="E6" s="209"/>
      <c r="F6" s="209"/>
      <c r="G6" s="210"/>
    </row>
    <row r="7" spans="1:9" s="205" customFormat="1" ht="13.5" customHeight="1">
      <c r="A7" s="731" t="s">
        <v>1474</v>
      </c>
      <c r="B7" s="206" t="s">
        <v>1475</v>
      </c>
      <c r="C7" s="211">
        <f>ROUND(C6*F7,0)</f>
        <v>12</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134</v>
      </c>
      <c r="D8" s="213"/>
      <c r="E8" s="211"/>
      <c r="F8" s="212"/>
      <c r="G8" s="1713" t="s">
        <v>3410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4" t="s">
        <v>3411</v>
      </c>
      <c r="H9" s="1069"/>
      <c r="I9" s="1715" t="s">
        <v>1479</v>
      </c>
    </row>
    <row r="10" spans="1:9" s="205" customFormat="1" ht="13.5" customHeight="1">
      <c r="A10" s="732" t="s">
        <v>356</v>
      </c>
      <c r="B10" s="215" t="s">
        <v>1480</v>
      </c>
      <c r="C10" s="216">
        <f ca="1">ROUND(D10*E10/10000,0)</f>
        <v>134</v>
      </c>
      <c r="D10" s="794">
        <f ca="1">IF(B1="",'数据-汇总表'!E6,IF(INDIRECT("'数据-取费表'!c"&amp;$G$1)="住宅",INDIRECT("'数据-取费表'!s"&amp;$G$1),INDIRECT("'数据-取费表'!k"&amp;$G$1)+INDIRECT("'数据-取费表'!s"&amp;$G$1)))</f>
        <v>7049.7000000000007</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7049.7000000000007</v>
      </c>
      <c r="E19" s="202">
        <f>'数据-取费表'!B31</f>
        <v>200</v>
      </c>
      <c r="F19" s="222"/>
      <c r="G19" s="1713" t="s">
        <v>3412</v>
      </c>
    </row>
    <row r="20" spans="1:7" s="205" customFormat="1" ht="13.5" customHeight="1">
      <c r="A20" s="246" t="s">
        <v>1493</v>
      </c>
      <c r="B20" s="201" t="s">
        <v>1494</v>
      </c>
      <c r="C20" s="223">
        <f ca="1">ROUND((C5+C19)*F20,0)</f>
        <v>11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27</v>
      </c>
      <c r="D22" s="226">
        <f ca="1">C26</f>
        <v>5.0000000000000001E-4</v>
      </c>
      <c r="E22" s="227" t="s">
        <v>1498</v>
      </c>
      <c r="F22" s="228">
        <f ca="1">'数据-取费表'!B40</f>
        <v>3.3500000000000002E-2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27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5.0000000000000001E-4</v>
      </c>
      <c r="D26" s="229"/>
      <c r="E26" s="232"/>
      <c r="F26" s="230"/>
      <c r="G26" s="234"/>
    </row>
    <row r="27" spans="1:7" s="205" customFormat="1" ht="24.75">
      <c r="A27" s="246" t="s">
        <v>1512</v>
      </c>
      <c r="B27" s="235" t="s">
        <v>1513</v>
      </c>
      <c r="C27" s="236">
        <f ca="1">C28</f>
        <v>55</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55</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684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3456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3172</v>
      </c>
      <c r="D34" s="208"/>
      <c r="E34" s="211"/>
      <c r="F34" s="248">
        <f ca="1">IF('数据-取费表'!B24=0,1,IF(B1="",'数据-取费表'!N16,INDIRECT("'数据-取费表'!n"&amp;$G$1)))</f>
        <v>1</v>
      </c>
      <c r="G34" s="210" t="s">
        <v>1526</v>
      </c>
    </row>
    <row r="35" spans="1:7" ht="13.5" customHeight="1">
      <c r="A35" s="733" t="s">
        <v>351</v>
      </c>
      <c r="B35" s="206" t="s">
        <v>1527</v>
      </c>
      <c r="C35" s="211">
        <f ca="1">ROUND(C34*F35,0)</f>
        <v>95</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141</v>
      </c>
      <c r="D37" s="208">
        <f ca="1">D19</f>
        <v>7049.7000000000007</v>
      </c>
      <c r="E37" s="240">
        <f>'数据-取费表'!B35</f>
        <v>200</v>
      </c>
      <c r="F37" s="250"/>
      <c r="G37" s="252" t="s">
        <v>1532</v>
      </c>
    </row>
    <row r="38" spans="1:7" ht="13.5" customHeight="1">
      <c r="A38" s="733" t="s">
        <v>354</v>
      </c>
      <c r="B38" s="206" t="s">
        <v>1533</v>
      </c>
      <c r="C38" s="211">
        <f ca="1">ROUND(C34*F38,0)</f>
        <v>48</v>
      </c>
      <c r="D38" s="211"/>
      <c r="E38" s="211"/>
      <c r="F38" s="250">
        <f>'数据-取费表'!B36</f>
        <v>1.4999999999999999E-2</v>
      </c>
      <c r="G38" s="210" t="s">
        <v>1528</v>
      </c>
    </row>
    <row r="39" spans="1:7" s="205" customFormat="1" ht="13.5" customHeight="1">
      <c r="A39" s="246" t="s">
        <v>1534</v>
      </c>
      <c r="B39" s="201" t="s">
        <v>1535</v>
      </c>
      <c r="C39" s="223">
        <f ca="1">ROUND(C33*F20,0)</f>
        <v>69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88</v>
      </c>
      <c r="D41" s="226">
        <f ca="1">C44</f>
        <v>5.0000000000000001E-4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86</v>
      </c>
      <c r="D42" s="229"/>
      <c r="E42" s="229"/>
      <c r="F42" s="230"/>
      <c r="G42" s="3351" t="s">
        <v>1544</v>
      </c>
    </row>
    <row r="43" spans="1:7" ht="13.5" customHeight="1">
      <c r="A43" s="733" t="s">
        <v>347</v>
      </c>
      <c r="B43" s="206" t="s">
        <v>1545</v>
      </c>
      <c r="C43" s="229">
        <f ca="1">ROUND(IF('数据-取费表'!B22&lt;=1,C39*F22*'数据-取费表'!B21/2,C39*(POWER((1+F22),'数据-取费表'!B21/2)-1)),0)</f>
        <v>2</v>
      </c>
      <c r="D43" s="229"/>
      <c r="E43" s="229"/>
      <c r="F43" s="230"/>
      <c r="G43" s="3352"/>
    </row>
    <row r="44" spans="1:7" ht="13.5" customHeight="1">
      <c r="A44" s="733" t="s">
        <v>348</v>
      </c>
      <c r="B44" s="206" t="s">
        <v>1546</v>
      </c>
      <c r="C44" s="229">
        <f ca="1">ROUND(IF('数据-取费表'!B22&lt;=1,C40*F22*'数据-取费表'!B21/2,C40*(POWER((1+F22),'数据-取费表'!B21/2)-1)),4)</f>
        <v>5.0000000000000001E-4</v>
      </c>
      <c r="D44" s="229"/>
      <c r="E44" s="229"/>
      <c r="F44" s="230"/>
      <c r="G44" s="3353"/>
    </row>
    <row r="45" spans="1:7" s="205" customFormat="1" ht="13.5" customHeight="1">
      <c r="A45" s="246" t="s">
        <v>1547</v>
      </c>
      <c r="B45" s="235" t="s">
        <v>1513</v>
      </c>
      <c r="C45" s="236">
        <f ca="1">C46</f>
        <v>353</v>
      </c>
      <c r="D45" s="226">
        <f ca="1">C47</f>
        <v>2E-3</v>
      </c>
      <c r="E45" s="227" t="s">
        <v>1539</v>
      </c>
      <c r="F45" s="237">
        <f ca="1">F27</f>
        <v>0.1</v>
      </c>
      <c r="G45" s="238" t="s">
        <v>1548</v>
      </c>
    </row>
    <row r="46" spans="1:7" s="205" customFormat="1" ht="13.5" customHeight="1">
      <c r="A46" s="733" t="s">
        <v>346</v>
      </c>
      <c r="B46" s="239" t="s">
        <v>1549</v>
      </c>
      <c r="C46" s="240">
        <f ca="1">ROUND((C33+C39)*F27,0)</f>
        <v>353</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4287</v>
      </c>
      <c r="D49" s="223"/>
      <c r="E49" s="223"/>
      <c r="F49" s="255"/>
      <c r="G49" s="225" t="s">
        <v>1554</v>
      </c>
    </row>
    <row r="50" spans="1:7" s="249" customFormat="1" ht="24">
      <c r="A50" s="246" t="s">
        <v>1555</v>
      </c>
      <c r="B50" s="201" t="s">
        <v>1556</v>
      </c>
      <c r="C50" s="223"/>
      <c r="D50" s="223"/>
      <c r="E50" s="223"/>
      <c r="F50" s="255">
        <f>IF('数据-取费表'!B24=0,'数据-取费表'!N16,1)</f>
        <v>0.82</v>
      </c>
      <c r="G50" s="238" t="s">
        <v>1557</v>
      </c>
    </row>
    <row r="51" spans="1:7" ht="16.5" customHeight="1">
      <c r="A51" s="246" t="s">
        <v>1558</v>
      </c>
      <c r="B51" s="201" t="s">
        <v>1559</v>
      </c>
      <c r="C51" s="223">
        <f ca="1">ROUND(C49*F50,0)</f>
        <v>3515</v>
      </c>
      <c r="D51" s="223"/>
      <c r="E51" s="223"/>
      <c r="F51" s="255"/>
      <c r="G51" s="225" t="s">
        <v>1560</v>
      </c>
    </row>
    <row r="52" spans="1:7" s="199" customFormat="1" ht="16.5" thickBot="1">
      <c r="A52" s="256" t="s">
        <v>1561</v>
      </c>
      <c r="B52" s="257"/>
      <c r="C52" s="258">
        <f ca="1">C31+C51</f>
        <v>4199</v>
      </c>
      <c r="D52" s="257"/>
      <c r="E52" s="257"/>
      <c r="F52" s="257"/>
      <c r="G52" s="259"/>
    </row>
    <row r="55" spans="1:7" ht="15">
      <c r="B55" s="261" t="s">
        <v>1562</v>
      </c>
      <c r="C55" s="262"/>
    </row>
    <row r="56" spans="1:7">
      <c r="B56" s="264" t="s">
        <v>802</v>
      </c>
      <c r="C56" s="266">
        <f ca="1">1-C57</f>
        <v>0.16300000000000003</v>
      </c>
    </row>
    <row r="57" spans="1:7">
      <c r="B57" s="264" t="s">
        <v>803</v>
      </c>
      <c r="C57" s="265">
        <f ca="1">ROUND(C51/C52,3)</f>
        <v>0.83699999999999997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9" t="str">
        <f>项目基本情况!B1</f>
        <v>北京市房地产抵押价值预评估</v>
      </c>
      <c r="C37" s="3169"/>
      <c r="D37" s="3169"/>
      <c r="E37" s="3169"/>
      <c r="F37" s="3169"/>
      <c r="G37" s="3169"/>
      <c r="H37" s="3169"/>
      <c r="I37" s="316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3864.0605999999998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5481</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1339443</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1339443</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1339443</v>
      </c>
      <c r="D10" s="794">
        <f ca="1">IF(B1="",'数据-汇总表'!E6,IF(INDIRECT("'数据-取费表'!c"&amp;$G$1)="住宅",INDIRECT("'数据-取费表'!s"&amp;$G$1),INDIRECT("'数据-取费表'!k"&amp;$G$1)+INDIRECT("'数据-取费表'!s"&amp;$G$1)))</f>
        <v>7049.7000000000007</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1409940</v>
      </c>
      <c r="D19" s="203">
        <f ca="1">D9+D10</f>
        <v>7049.7000000000007</v>
      </c>
      <c r="E19" s="202">
        <f>'数据-取费表'!B31</f>
        <v>200</v>
      </c>
      <c r="F19" s="222"/>
      <c r="G19" s="1713"/>
    </row>
    <row r="20" spans="1:7" s="205" customFormat="1" ht="13.5" customHeight="1">
      <c r="A20" s="246" t="s">
        <v>1574</v>
      </c>
      <c r="B20" s="201" t="s">
        <v>1575</v>
      </c>
      <c r="C20" s="223">
        <f ca="1">ROUND((C5+C19)*F20,0)</f>
        <v>54988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140684</v>
      </c>
      <c r="D22" s="226">
        <f ca="1">C26</f>
        <v>5.0000000000000001E-4</v>
      </c>
      <c r="E22" s="227" t="s">
        <v>1579</v>
      </c>
      <c r="F22" s="228">
        <f ca="1">'数据-取费表'!B40</f>
        <v>3.3500000000000002E-2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67868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71440</v>
      </c>
      <c r="D24" s="229"/>
      <c r="E24" s="229"/>
      <c r="F24" s="230"/>
      <c r="G24" s="231" t="s">
        <v>1586</v>
      </c>
    </row>
    <row r="25" spans="1:7" s="205" customFormat="1" ht="24">
      <c r="A25" s="733" t="s">
        <v>1476</v>
      </c>
      <c r="B25" s="206" t="s">
        <v>1587</v>
      </c>
      <c r="C25" s="229">
        <f ca="1">ROUND(IF('数据-取费表'!B22&lt;=1,C20*F22*'数据-取费表'!B22/2,C20*(POWER((1+F22),'数据-取费表'!B22/2)-1)),0)</f>
        <v>1376</v>
      </c>
      <c r="D25" s="229"/>
      <c r="E25" s="232"/>
      <c r="F25" s="230"/>
      <c r="G25" s="233" t="s">
        <v>1588</v>
      </c>
    </row>
    <row r="26" spans="1:7" s="205" customFormat="1">
      <c r="A26" s="733" t="s">
        <v>350</v>
      </c>
      <c r="B26" s="206" t="s">
        <v>1511</v>
      </c>
      <c r="C26" s="229">
        <f ca="1">ROUND(IF('数据-取费表'!B22&lt;=1,F21*F22*'数据-取费表'!B22/2,F21*(POWER((1+F22),'数据-取费表'!B22/2)-1)),4)</f>
        <v>5.0000000000000001E-4</v>
      </c>
      <c r="D26" s="229"/>
      <c r="E26" s="232"/>
      <c r="F26" s="230"/>
      <c r="G26" s="234"/>
    </row>
    <row r="27" spans="1:7" s="205" customFormat="1" ht="24.75">
      <c r="A27" s="246" t="s">
        <v>1512</v>
      </c>
      <c r="B27" s="235" t="s">
        <v>1513</v>
      </c>
      <c r="C27" s="236">
        <f ca="1">C28</f>
        <v>280437</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280437</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3486641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34561155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31723650</v>
      </c>
      <c r="D34" s="208"/>
      <c r="E34" s="211"/>
      <c r="F34" s="248"/>
      <c r="G34" s="210"/>
    </row>
    <row r="35" spans="1:7" ht="13.5" customHeight="1">
      <c r="A35" s="733" t="s">
        <v>351</v>
      </c>
      <c r="B35" s="206" t="s">
        <v>1527</v>
      </c>
      <c r="C35" s="211">
        <f ca="1">ROUND(C34*F35,0)</f>
        <v>951710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1409940</v>
      </c>
      <c r="D37" s="208">
        <f ca="1">D19</f>
        <v>7049.7000000000007</v>
      </c>
      <c r="E37" s="240">
        <f>'数据-取费表'!B35</f>
        <v>200</v>
      </c>
      <c r="F37" s="250"/>
      <c r="G37" s="252"/>
    </row>
    <row r="38" spans="1:7" ht="13.5" customHeight="1">
      <c r="A38" s="733" t="s">
        <v>354</v>
      </c>
      <c r="B38" s="206" t="s">
        <v>1533</v>
      </c>
      <c r="C38" s="211">
        <f ca="1">ROUND(C34*F38,0)</f>
        <v>475855</v>
      </c>
      <c r="D38" s="211"/>
      <c r="E38" s="211"/>
      <c r="F38" s="250">
        <f>'数据-取费表'!B36</f>
        <v>1.4999999999999999E-2</v>
      </c>
      <c r="G38" s="210" t="s">
        <v>1528</v>
      </c>
    </row>
    <row r="39" spans="1:7" s="205" customFormat="1" ht="13.5" customHeight="1">
      <c r="A39" s="246" t="s">
        <v>1534</v>
      </c>
      <c r="B39" s="201" t="s">
        <v>1535</v>
      </c>
      <c r="C39" s="223">
        <f ca="1">ROUND(C33*F20,0)</f>
        <v>691223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882058</v>
      </c>
      <c r="D41" s="226">
        <f ca="1">C44</f>
        <v>5.0000000000000001E-4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864763</v>
      </c>
      <c r="D42" s="229"/>
      <c r="E42" s="229"/>
      <c r="F42" s="230"/>
      <c r="G42" s="3351" t="s">
        <v>1591</v>
      </c>
    </row>
    <row r="43" spans="1:7" ht="13.5" customHeight="1">
      <c r="A43" s="733" t="s">
        <v>347</v>
      </c>
      <c r="B43" s="206" t="s">
        <v>1545</v>
      </c>
      <c r="C43" s="229">
        <f ca="1">ROUND(IF('数据-取费表'!B22&lt;=1,C39*F22*'数据-取费表'!B20/2,C39*(POWER((1+F22),'数据-取费表'!B20/2)-1)),0)</f>
        <v>17295</v>
      </c>
      <c r="D43" s="229"/>
      <c r="E43" s="229"/>
      <c r="F43" s="230"/>
      <c r="G43" s="3352"/>
    </row>
    <row r="44" spans="1:7" ht="13.5" customHeight="1">
      <c r="A44" s="733" t="s">
        <v>348</v>
      </c>
      <c r="B44" s="206" t="s">
        <v>1546</v>
      </c>
      <c r="C44" s="229">
        <f ca="1">ROUND(IF('数据-取费表'!B22&lt;=1,C40*F22*'数据-取费表'!B20/2,C40*(POWER((1+F22),'数据-取费表'!B20/2)-1)),4)</f>
        <v>5.0000000000000001E-4</v>
      </c>
      <c r="D44" s="229"/>
      <c r="E44" s="229"/>
      <c r="F44" s="230"/>
      <c r="G44" s="3353"/>
    </row>
    <row r="45" spans="1:7" s="205" customFormat="1" ht="13.5" customHeight="1">
      <c r="A45" s="246" t="s">
        <v>1547</v>
      </c>
      <c r="B45" s="235" t="s">
        <v>1513</v>
      </c>
      <c r="C45" s="236">
        <f ca="1">C46</f>
        <v>3525238</v>
      </c>
      <c r="D45" s="226">
        <f ca="1">C47</f>
        <v>2E-3</v>
      </c>
      <c r="E45" s="227" t="s">
        <v>1539</v>
      </c>
      <c r="F45" s="237">
        <f ca="1">F27</f>
        <v>0.1</v>
      </c>
      <c r="G45" s="238" t="s">
        <v>1548</v>
      </c>
    </row>
    <row r="46" spans="1:7" s="205" customFormat="1" ht="13.5" customHeight="1">
      <c r="A46" s="733" t="s">
        <v>346</v>
      </c>
      <c r="B46" s="239" t="s">
        <v>1549</v>
      </c>
      <c r="C46" s="240">
        <f ca="1">ROUND((C33+C39)*F27,0)</f>
        <v>3525238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42870689</v>
      </c>
      <c r="D49" s="223"/>
      <c r="E49" s="223"/>
      <c r="F49" s="255"/>
      <c r="G49" s="225" t="s">
        <v>1554</v>
      </c>
    </row>
    <row r="50" spans="1:7" s="249" customFormat="1">
      <c r="A50" s="246" t="s">
        <v>1555</v>
      </c>
      <c r="B50" s="201" t="s">
        <v>1556</v>
      </c>
      <c r="C50" s="223"/>
      <c r="D50" s="223"/>
      <c r="E50" s="223"/>
      <c r="F50" s="255">
        <f>IF('数据-取费表'!B24=0,'数据-取费表'!N16,1)</f>
        <v>0.82</v>
      </c>
      <c r="G50" s="238"/>
    </row>
    <row r="51" spans="1:7" ht="16.5" customHeight="1">
      <c r="A51" s="246" t="s">
        <v>1558</v>
      </c>
      <c r="B51" s="201" t="s">
        <v>1593</v>
      </c>
      <c r="C51" s="223">
        <f ca="1">ROUND(C49*F50,0)</f>
        <v>35153965</v>
      </c>
      <c r="D51" s="223"/>
      <c r="E51" s="223"/>
      <c r="F51" s="255"/>
      <c r="G51" s="225" t="s">
        <v>1560</v>
      </c>
    </row>
    <row r="52" spans="1:7" s="199" customFormat="1" ht="16.5" thickBot="1">
      <c r="A52" s="256" t="s">
        <v>1561</v>
      </c>
      <c r="B52" s="257"/>
      <c r="C52" s="258">
        <f ca="1">C31+C51</f>
        <v>38640606</v>
      </c>
      <c r="D52" s="257"/>
      <c r="E52" s="257"/>
      <c r="F52" s="257"/>
      <c r="G52" s="259"/>
    </row>
    <row r="55" spans="1:7" ht="15">
      <c r="B55" s="261" t="s">
        <v>1562</v>
      </c>
      <c r="C55" s="262"/>
    </row>
    <row r="56" spans="1:7">
      <c r="B56" s="264" t="s">
        <v>802</v>
      </c>
      <c r="C56" s="266">
        <f ca="1">1-C57</f>
        <v>8.9999999999999969E-2</v>
      </c>
    </row>
    <row r="57" spans="1:7">
      <c r="B57" s="264" t="s">
        <v>803</v>
      </c>
      <c r="C57" s="265">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7049.7000000000007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7049.7000000000007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7"/>
      <c r="I19" s="760"/>
      <c r="J19" s="760"/>
      <c r="K19" s="761"/>
    </row>
    <row r="20" spans="1:33" s="754" customFormat="1" ht="13.5" customHeight="1">
      <c r="A20" s="751" t="s">
        <v>361</v>
      </c>
      <c r="B20" s="752" t="s">
        <v>1627</v>
      </c>
      <c r="C20" s="21">
        <f ca="1">ROUND(D20*E20/10000,0)</f>
        <v>134</v>
      </c>
      <c r="D20" s="795">
        <f ca="1">IF(C1="",'数据-汇总表'!E6,IF(INDIRECT("'数据-取费表'!c"&amp;$K$1)="住宅",INDIRECT("'数据-取费表'!s"&amp;$K$1),INDIRECT("'数据-取费表'!k"&amp;$K$1)+INDIRECT("'数据-取费表'!s"&amp;$K$1)))</f>
        <v>7049.7000000000007</v>
      </c>
      <c r="E20" s="21">
        <f>'数据-取费表'!B28</f>
        <v>190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C10" sqref="C1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28.99</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4103</v>
      </c>
      <c r="C2" s="1288" t="s">
        <v>805</v>
      </c>
      <c r="D2" s="1288"/>
      <c r="E2" s="1294"/>
      <c r="F2" s="1295"/>
      <c r="G2" s="2478"/>
      <c r="H2" s="2468"/>
      <c r="I2" s="2468"/>
      <c r="J2" s="2468"/>
      <c r="K2" s="2469"/>
      <c r="L2" s="2468"/>
      <c r="M2" s="2468"/>
    </row>
    <row r="3" spans="1:37" ht="18" customHeight="1" thickBot="1">
      <c r="A3" s="1296" t="s">
        <v>806</v>
      </c>
      <c r="B3" s="1297">
        <f ca="1">IF(ISERROR(B2*10000/F43),0,ROUND(B2*10000/F43,0))</f>
        <v>5820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278.3</v>
      </c>
      <c r="D5" s="1272" t="s">
        <v>693</v>
      </c>
      <c r="E5" s="1007"/>
      <c r="F5" s="1008"/>
      <c r="G5" s="1291"/>
      <c r="H5" s="290">
        <v>1</v>
      </c>
      <c r="I5" s="291" t="s">
        <v>692</v>
      </c>
      <c r="J5" s="1006">
        <f ca="1">J6+J10+J12</f>
        <v>0</v>
      </c>
      <c r="K5" s="1272" t="s">
        <v>693</v>
      </c>
      <c r="L5" s="1007"/>
      <c r="M5" s="1008"/>
    </row>
    <row r="6" spans="1:37" ht="18" customHeight="1">
      <c r="A6" s="1005" t="s">
        <v>398</v>
      </c>
      <c r="B6" s="3356" t="s">
        <v>694</v>
      </c>
      <c r="C6" s="1010">
        <f ca="1">ROUND(F6*F8*F7*(1-F9)/10000,0)</f>
        <v>278</v>
      </c>
      <c r="D6" s="146" t="s">
        <v>2109</v>
      </c>
      <c r="E6" s="293" t="s">
        <v>696</v>
      </c>
      <c r="F6" s="294">
        <f ca="1">INDIRECT("'数据-取费表'!u"&amp;$G$1)</f>
        <v>1.4</v>
      </c>
      <c r="G6" s="1291"/>
      <c r="H6" s="1005" t="s">
        <v>398</v>
      </c>
      <c r="I6" s="3356" t="s">
        <v>694</v>
      </c>
      <c r="J6" s="292">
        <f ca="1">ROUND(M6*M8*M7*(1-M9)/10000,0)</f>
        <v>0</v>
      </c>
      <c r="K6" s="146" t="s">
        <v>2108</v>
      </c>
      <c r="L6" s="293" t="s">
        <v>696</v>
      </c>
      <c r="M6" s="294">
        <f ca="1">INDIRECT("'数据-取费表'!z"&amp;$G$1)</f>
        <v>0</v>
      </c>
    </row>
    <row r="7" spans="1:37" ht="18" customHeight="1">
      <c r="A7" s="1009"/>
      <c r="B7" s="3357"/>
      <c r="C7" s="1011"/>
      <c r="D7" s="298"/>
      <c r="E7" s="1012" t="s">
        <v>697</v>
      </c>
      <c r="F7" s="294">
        <f ca="1">IF(INDIRECT("'数据-取费表'!ah"&amp;$G$1)="",INDIRECT("'数据-取费表'!k"&amp;$G$1),INDIRECT("'数据-取费表'!ah"&amp;$G$1))</f>
        <v>6042.6</v>
      </c>
      <c r="G7" s="1291"/>
      <c r="H7" s="295"/>
      <c r="I7" s="3357"/>
      <c r="J7" s="297"/>
      <c r="K7" s="298"/>
      <c r="L7" s="293" t="s">
        <v>697</v>
      </c>
      <c r="M7" s="294">
        <f ca="1">F7</f>
        <v>6042.6</v>
      </c>
    </row>
    <row r="8" spans="1:37" ht="18" customHeight="1">
      <c r="A8" s="295"/>
      <c r="B8" s="3357"/>
      <c r="C8" s="297"/>
      <c r="D8" s="298"/>
      <c r="E8" s="293" t="s">
        <v>698</v>
      </c>
      <c r="F8" s="294">
        <f ca="1">INDIRECT("'数据-取费表'!ai"&amp;$G$1)</f>
        <v>365</v>
      </c>
      <c r="G8" s="1291"/>
      <c r="H8" s="295"/>
      <c r="I8" s="3357"/>
      <c r="J8" s="297"/>
      <c r="K8" s="298"/>
      <c r="L8" s="293" t="s">
        <v>698</v>
      </c>
      <c r="M8" s="294">
        <f ca="1">INDIRECT("'数据-取费表'!ai"&amp;$G$1)</f>
        <v>365</v>
      </c>
    </row>
    <row r="9" spans="1:37" ht="18" customHeight="1">
      <c r="A9" s="295"/>
      <c r="B9" s="3358"/>
      <c r="C9" s="297"/>
      <c r="D9" s="298"/>
      <c r="E9" s="293" t="s">
        <v>699</v>
      </c>
      <c r="F9" s="303">
        <f ca="1">INDIRECT("'数据-取费表'!w"&amp;$G$1)</f>
        <v>0.1</v>
      </c>
      <c r="G9" s="1291"/>
      <c r="H9" s="295"/>
      <c r="I9" s="3358"/>
      <c r="J9" s="297"/>
      <c r="K9" s="298"/>
      <c r="L9" s="304" t="s">
        <v>699</v>
      </c>
      <c r="M9" s="305">
        <f ca="1">INDIRECT("'数据-取费表'!ab"&amp;$G$1)</f>
        <v>0</v>
      </c>
    </row>
    <row r="10" spans="1:37" ht="18" customHeight="1">
      <c r="A10" s="1005" t="s">
        <v>402</v>
      </c>
      <c r="B10" s="1273" t="s">
        <v>700</v>
      </c>
      <c r="C10" s="307">
        <f ca="1">ROUND(IF(F10="押一",C6/12*F11,IF(F10="押二",C6/12*2*F11,IF(F10="押三",C6/12*3*F11,C11*F11))),1)</f>
        <v>0.3</v>
      </c>
      <c r="D10" s="149" t="s">
        <v>2117</v>
      </c>
      <c r="E10" s="304" t="s">
        <v>701</v>
      </c>
      <c r="F10" s="1052" t="s">
        <v>3413</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3515</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3172</v>
      </c>
      <c r="D14" s="1256" t="s">
        <v>708</v>
      </c>
      <c r="E14" s="1254"/>
      <c r="F14" s="310"/>
      <c r="G14" s="1291"/>
      <c r="H14" s="927" t="s">
        <v>398</v>
      </c>
      <c r="I14" s="293" t="s">
        <v>709</v>
      </c>
      <c r="J14" s="21">
        <f ca="1">C29</f>
        <v>4287</v>
      </c>
      <c r="K14" s="12"/>
      <c r="L14" s="758"/>
      <c r="M14" s="759"/>
    </row>
    <row r="15" spans="1:37" s="1303" customFormat="1" ht="18" customHeight="1" thickBot="1">
      <c r="A15" s="927" t="s">
        <v>399</v>
      </c>
      <c r="B15" s="293" t="s">
        <v>710</v>
      </c>
      <c r="C15" s="21">
        <f ca="1">ROUND(C14*F15,0)</f>
        <v>95</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9</v>
      </c>
      <c r="K16" s="1023" t="s">
        <v>715</v>
      </c>
      <c r="L16" s="1024"/>
      <c r="M16" s="1008"/>
    </row>
    <row r="17" spans="1:37" s="1303" customFormat="1" ht="18" customHeight="1">
      <c r="A17" s="927" t="s">
        <v>681</v>
      </c>
      <c r="B17" s="293" t="s">
        <v>716</v>
      </c>
      <c r="C17" s="21">
        <f ca="1">ROUND(F17*(F43+INDIRECT("'数据-取费表'!S"&amp;$G$1))/10000,0)</f>
        <v>141</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48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3456</v>
      </c>
      <c r="D19" s="122" t="s">
        <v>726</v>
      </c>
      <c r="E19" s="1268"/>
      <c r="F19" s="23"/>
      <c r="G19" s="1291"/>
      <c r="H19" s="927" t="s">
        <v>399</v>
      </c>
      <c r="I19" s="293" t="s">
        <v>727</v>
      </c>
      <c r="J19" s="21">
        <f ca="1">IF(K19="按租金收入计税",ROUND(J6*M19/(1+'数据-取费表'!C42),2),ROUND(C29*M19*0.7,2))</f>
        <v>0</v>
      </c>
      <c r="K19" s="1277" t="s">
        <v>3329</v>
      </c>
      <c r="L19" s="293" t="s">
        <v>712</v>
      </c>
      <c r="M19" s="313">
        <f>IF(K19="按租金收入计税",'数据-取费表'!B51,'数据-取费表'!B50)</f>
        <v>0.12</v>
      </c>
    </row>
    <row r="20" spans="1:37" s="1303" customFormat="1" ht="18" customHeight="1">
      <c r="A20" s="927" t="s">
        <v>402</v>
      </c>
      <c r="B20" s="293" t="s">
        <v>728</v>
      </c>
      <c r="C20" s="21">
        <f ca="1">ROUND(C19*F20,0)</f>
        <v>69</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8.57</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88</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-9</v>
      </c>
      <c r="K25" s="1031" t="s">
        <v>753</v>
      </c>
      <c r="L25" s="1032"/>
      <c r="M25" s="1033"/>
    </row>
    <row r="26" spans="1:37">
      <c r="A26" s="927" t="s">
        <v>397</v>
      </c>
      <c r="B26" s="293" t="s">
        <v>754</v>
      </c>
      <c r="C26" s="21">
        <f ca="1">ROUND((C19+C20)*F26,0)</f>
        <v>353</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4287</v>
      </c>
      <c r="D29" s="1028"/>
      <c r="E29" s="1026"/>
      <c r="F29" s="1029"/>
      <c r="G29" s="1302"/>
      <c r="H29" s="324" t="s">
        <v>396</v>
      </c>
      <c r="I29" s="325" t="s">
        <v>768</v>
      </c>
      <c r="J29" s="326">
        <f ca="1">ROUND(J26/(1+F40)^F41,0)</f>
        <v>0</v>
      </c>
      <c r="K29" s="327" t="s">
        <v>769</v>
      </c>
      <c r="L29" s="328"/>
      <c r="M29" s="329">
        <f ca="1">INDIRECT("'数据-取费表'!k"&amp;$G$1)</f>
        <v>7049.7000000000007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60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46.33</v>
      </c>
      <c r="D31" s="1256" t="s">
        <v>720</v>
      </c>
      <c r="E31" s="1255" t="s">
        <v>770</v>
      </c>
      <c r="F31" s="2138" t="str">
        <f>IF(项目基本情况!B11="企业","——",IF(M47="住宅",IF(F6*F7*F8/12/(1+'数据-取费表'!F30)&gt;100000,4%,2.5%),IF(F6*F7*F8/12/(1+'数据-取费表'!F30)&gt;100000,12%,7%)))</f>
        <v>——</v>
      </c>
      <c r="G31" s="1291"/>
      <c r="H31" s="2569" t="s">
        <v>2299</v>
      </c>
      <c r="I31" s="1304"/>
      <c r="J31" s="1305"/>
      <c r="K31" s="120"/>
      <c r="L31" s="2471"/>
      <c r="M31" s="2472"/>
    </row>
    <row r="32" spans="1:37" ht="18" customHeight="1">
      <c r="A32" s="927" t="s">
        <v>397</v>
      </c>
      <c r="B32" s="293" t="s">
        <v>723</v>
      </c>
      <c r="C32" s="21">
        <f ca="1">IF(项目基本情况!B11="自然人","——",ROUND(C6*F32/(1+'数据-取费表'!C42),2))</f>
        <v>14.56</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31.77</v>
      </c>
      <c r="D33" s="1277" t="s">
        <v>3329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8.57</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1">
        <f ca="1">ROUND(C13*F37,2)</f>
        <v>3.52</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1.39</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1">
        <f ca="1">C5-C30</f>
        <v>218.3</v>
      </c>
      <c r="D39" s="1031" t="s">
        <v>773</v>
      </c>
      <c r="E39" s="1032"/>
      <c r="F39" s="1033"/>
      <c r="G39" s="1291"/>
      <c r="H39" s="2473"/>
      <c r="I39" s="1304"/>
      <c r="J39" s="1305"/>
      <c r="K39" s="2471"/>
      <c r="L39" s="2473"/>
      <c r="M39" s="2473"/>
    </row>
    <row r="40" spans="1:18" ht="18" customHeight="1">
      <c r="A40" s="290" t="s">
        <v>395</v>
      </c>
      <c r="B40" s="291" t="s">
        <v>774</v>
      </c>
      <c r="C40" s="292">
        <f ca="1">ROUND(C39*(1-((1+F42)/(1+F40))^F41)/(F40-F42),0)</f>
        <v>3892</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28.99</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5521</v>
      </c>
      <c r="D43" s="327" t="s">
        <v>777</v>
      </c>
      <c r="E43" s="328" t="s">
        <v>778</v>
      </c>
      <c r="F43" s="329">
        <f ca="1">INDIRECT("'数据-取费表'!k"&amp;$G$1)</f>
        <v>7049.7000000000007</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-4064</v>
      </c>
      <c r="D46" s="1312" t="str">
        <f>C2</f>
        <v>万元</v>
      </c>
      <c r="E46" s="1306"/>
      <c r="F46" s="1306"/>
      <c r="I46" s="1313" t="s">
        <v>810</v>
      </c>
      <c r="J46" s="1314"/>
      <c r="K46" s="1315"/>
      <c r="L46" s="1316">
        <f ca="1">IF(M47="住宅",0,IF(L48&gt;J51,L60,J60))</f>
        <v>211</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3414</v>
      </c>
      <c r="K47" s="1322" t="s">
        <v>816</v>
      </c>
      <c r="L47" s="1323">
        <f ca="1">INDIRECT("'数据-取费表'!d"&amp;$G$1)</f>
        <v>50</v>
      </c>
      <c r="M47" s="1287" t="str">
        <f>IF(ISNUMBER(FIND("住宅",C1)),"住宅","非住宅")</f>
        <v>非住宅</v>
      </c>
      <c r="O47" s="1324" t="s">
        <v>403</v>
      </c>
      <c r="P47" s="1325" t="s">
        <v>817</v>
      </c>
      <c r="Q47" s="1326">
        <f ca="1">C40+J29</f>
        <v>3892</v>
      </c>
      <c r="R47" s="1326" t="s">
        <v>818</v>
      </c>
    </row>
    <row r="48" spans="1:18" s="1291" customFormat="1" ht="28.5" thickBot="1">
      <c r="A48" s="1046" t="s">
        <v>438</v>
      </c>
      <c r="B48" s="291" t="s">
        <v>692</v>
      </c>
      <c r="C48" s="1267">
        <f ca="1">C49+C53+C55</f>
        <v>0</v>
      </c>
      <c r="D48" s="1048"/>
      <c r="E48" s="1049"/>
      <c r="F48" s="907"/>
      <c r="G48" s="680"/>
      <c r="H48" s="681"/>
      <c r="I48" s="1327" t="s">
        <v>819</v>
      </c>
      <c r="J48" s="1328" t="s">
        <v>3415</v>
      </c>
      <c r="K48" s="1329" t="s">
        <v>820</v>
      </c>
      <c r="L48" s="1330">
        <f ca="1">INDIRECT("'数据-取费表'!f"&amp;$G$1)</f>
        <v>28.99</v>
      </c>
      <c r="O48" s="1324" t="s">
        <v>404</v>
      </c>
      <c r="P48" s="1325" t="s">
        <v>821</v>
      </c>
      <c r="Q48" s="1326">
        <f ca="1">J60</f>
        <v>211</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2011</v>
      </c>
      <c r="K49" s="1329" t="s">
        <v>824</v>
      </c>
      <c r="L49" s="1332"/>
      <c r="O49" s="1333" t="s">
        <v>405</v>
      </c>
      <c r="P49" s="1325" t="s">
        <v>825</v>
      </c>
      <c r="Q49" s="1326">
        <f ca="1">C29</f>
        <v>4287</v>
      </c>
      <c r="R49" s="1326" t="s">
        <v>818</v>
      </c>
    </row>
    <row r="50" spans="1:18" s="1291" customFormat="1" ht="13.5" thickBot="1">
      <c r="A50" s="921"/>
      <c r="B50" s="924"/>
      <c r="C50" s="1054"/>
      <c r="D50" s="898"/>
      <c r="E50" s="992" t="s">
        <v>697</v>
      </c>
      <c r="F50" s="993">
        <f ca="1">F7</f>
        <v>6042.6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47</v>
      </c>
      <c r="K51" s="1338" t="s">
        <v>830</v>
      </c>
      <c r="L51" s="1339">
        <f ca="1">ROUND(-PV(INDIRECT("'数据-取费表'!h"&amp;$G$1),J51,(C39-C13*C76),0),0)</f>
        <v>-499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28.99</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28.99</v>
      </c>
      <c r="K53" s="3354" t="s">
        <v>837</v>
      </c>
      <c r="L53" s="3355"/>
      <c r="O53" s="1324" t="s">
        <v>409</v>
      </c>
      <c r="P53" s="1325" t="s">
        <v>838</v>
      </c>
      <c r="Q53" s="1326">
        <f ca="1">Q47+Q48</f>
        <v>4103</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2">
        <v>2</v>
      </c>
      <c r="B56" s="903" t="s">
        <v>704</v>
      </c>
      <c r="C56" s="223">
        <f ca="1">C13</f>
        <v>3515</v>
      </c>
      <c r="D56" s="1351"/>
      <c r="E56" s="1352"/>
      <c r="F56" s="1344"/>
      <c r="I56" s="1353" t="s">
        <v>842</v>
      </c>
      <c r="J56" s="1354" t="s">
        <v>3416</v>
      </c>
      <c r="K56" s="1327" t="s">
        <v>843</v>
      </c>
      <c r="L56" s="1330" t="str">
        <f ca="1">IF(L48&lt;J51,"——",L48-J53)</f>
        <v>——</v>
      </c>
      <c r="O56" s="1324" t="s">
        <v>403</v>
      </c>
      <c r="P56" s="1325" t="s">
        <v>817</v>
      </c>
      <c r="Q56" s="1326">
        <f ca="1">C40+J29</f>
        <v>3892</v>
      </c>
      <c r="R56" s="1326" t="s">
        <v>818</v>
      </c>
    </row>
    <row r="57" spans="1:18" s="1291" customFormat="1" ht="24.75" thickBot="1">
      <c r="A57" s="1355"/>
      <c r="B57" s="895" t="s">
        <v>767</v>
      </c>
      <c r="C57" s="229">
        <f ca="1">C29</f>
        <v>4287</v>
      </c>
      <c r="D57" s="1356"/>
      <c r="E57" s="1357"/>
      <c r="F57" s="1358"/>
      <c r="I57" s="1359" t="s">
        <v>844</v>
      </c>
      <c r="J57" s="1360">
        <f ca="1">IF(OR(M47="住宅",J51&lt;L48,J56="是"),"——",J51-L48)</f>
        <v>18.010000000000002</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1715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211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3329</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f ca="1">Q56+Q57</f>
        <v>3892</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8.57</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3.52</v>
      </c>
      <c r="D65" s="909" t="s">
        <v>743</v>
      </c>
      <c r="E65" s="895" t="s">
        <v>744</v>
      </c>
      <c r="F65" s="320">
        <f t="shared" ca="1" si="0"/>
        <v>1E-3</v>
      </c>
      <c r="I65" s="1366" t="s">
        <v>867</v>
      </c>
      <c r="J65" s="609">
        <v>40</v>
      </c>
      <c r="K65" s="609">
        <v>30</v>
      </c>
      <c r="L65" s="609">
        <v>50</v>
      </c>
      <c r="M65" s="1368">
        <v>0.02</v>
      </c>
      <c r="O65" s="1324" t="s">
        <v>403</v>
      </c>
      <c r="P65" s="1325" t="s">
        <v>868</v>
      </c>
      <c r="Q65" s="1326">
        <f ca="1">C40+J29</f>
        <v>3892</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-12</v>
      </c>
      <c r="D67" s="908" t="s">
        <v>753</v>
      </c>
      <c r="E67" s="913"/>
      <c r="F67" s="914"/>
      <c r="O67" s="1333" t="s">
        <v>405</v>
      </c>
      <c r="P67" s="1325" t="s">
        <v>850</v>
      </c>
      <c r="Q67" s="1369">
        <f ca="1">L51</f>
        <v>-499</v>
      </c>
      <c r="R67" s="1326" t="s">
        <v>870</v>
      </c>
    </row>
    <row r="68" spans="1:18" s="1291" customFormat="1" ht="16.5" thickBot="1">
      <c r="A68" s="892" t="s">
        <v>395</v>
      </c>
      <c r="B68" s="893" t="s">
        <v>774</v>
      </c>
      <c r="C68" s="292">
        <f ca="1">ROUND(C67*(1-((1+F70)/(1+F68))^F69)/(F68-F70),0)</f>
        <v>-172</v>
      </c>
      <c r="D68" s="910" t="s">
        <v>758</v>
      </c>
      <c r="E68" s="895" t="s">
        <v>759</v>
      </c>
      <c r="F68" s="303">
        <f ca="1">F40</f>
        <v>5.5E-2</v>
      </c>
      <c r="O68" s="1333" t="s">
        <v>406</v>
      </c>
      <c r="P68" s="1370" t="s">
        <v>871</v>
      </c>
      <c r="Q68" s="1326">
        <f ca="1">ROUND(Q69-Q70*Q71,0)</f>
        <v>-28</v>
      </c>
      <c r="R68" s="1326" t="s">
        <v>414</v>
      </c>
    </row>
    <row r="69" spans="1:18" s="1291" customFormat="1" ht="13.5" thickBot="1">
      <c r="A69" s="896"/>
      <c r="B69" s="897"/>
      <c r="C69" s="297"/>
      <c r="D69" s="915" t="s">
        <v>762</v>
      </c>
      <c r="E69" s="895" t="s">
        <v>763</v>
      </c>
      <c r="F69" s="323">
        <f ca="1">F41</f>
        <v>28.99</v>
      </c>
      <c r="O69" s="1333" t="s">
        <v>411</v>
      </c>
      <c r="P69" s="1370" t="s">
        <v>872</v>
      </c>
      <c r="Q69" s="1326">
        <f ca="1">C39</f>
        <v>218.3</v>
      </c>
      <c r="R69" s="1326" t="s">
        <v>818</v>
      </c>
    </row>
    <row r="70" spans="1:18" s="1291" customFormat="1" ht="13.5" thickBot="1">
      <c r="A70" s="899"/>
      <c r="B70" s="900"/>
      <c r="C70" s="301"/>
      <c r="D70" s="911"/>
      <c r="E70" s="895" t="s">
        <v>766</v>
      </c>
      <c r="F70" s="990"/>
      <c r="O70" s="1333" t="s">
        <v>412</v>
      </c>
      <c r="P70" s="1370" t="s">
        <v>873</v>
      </c>
      <c r="Q70" s="1326">
        <f ca="1">C13</f>
        <v>3515</v>
      </c>
      <c r="R70" s="1326" t="s">
        <v>818</v>
      </c>
    </row>
    <row r="71" spans="1:18" s="1291" customFormat="1" ht="13.5" thickBot="1">
      <c r="A71" s="916" t="s">
        <v>396</v>
      </c>
      <c r="B71" s="917" t="s">
        <v>776</v>
      </c>
      <c r="C71" s="326">
        <f ca="1">ROUND(C68*10000/F71,0)</f>
        <v>-244</v>
      </c>
      <c r="D71" s="918" t="s">
        <v>777</v>
      </c>
      <c r="E71" s="919" t="s">
        <v>778</v>
      </c>
      <c r="F71" s="329">
        <f ca="1">F43</f>
        <v>7049.7000000000007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246</v>
      </c>
      <c r="D75" s="1291"/>
      <c r="E75" s="1291"/>
      <c r="F75" s="1291"/>
      <c r="K75" s="1308"/>
      <c r="L75" s="1291"/>
      <c r="O75" s="1324" t="s">
        <v>409</v>
      </c>
      <c r="P75" s="1325" t="s">
        <v>838</v>
      </c>
      <c r="Q75" s="1326">
        <f ca="1">Q65+Q66</f>
        <v>3892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-0.127</v>
      </c>
    </row>
    <row r="80" spans="1:18">
      <c r="B80" s="330" t="s">
        <v>800</v>
      </c>
      <c r="C80" s="265">
        <f ca="1">ROUND(C75/C39,3)</f>
        <v>1.127</v>
      </c>
    </row>
    <row r="81" spans="2:3">
      <c r="B81" s="261" t="s">
        <v>801</v>
      </c>
      <c r="C81" s="229"/>
    </row>
    <row r="82" spans="2:3">
      <c r="B82" s="264" t="s">
        <v>802</v>
      </c>
      <c r="C82" s="266">
        <f ca="1">1-C83</f>
        <v>9.6999999999999975E-2</v>
      </c>
    </row>
    <row r="83" spans="2:3">
      <c r="B83" s="264" t="s">
        <v>803</v>
      </c>
      <c r="C83" s="265">
        <f ca="1">ROUND(C13/C40,3)</f>
        <v>0.90300000000000002</v>
      </c>
    </row>
  </sheetData>
  <sheetProtection algorithmName="SHA-512" hashValue="kcWu3MXYoFQFTfXobcnjxBSCXaUtfTzSj9i5KgVQ8+m+l56slXfMWe9SJfPsoqsofuhEe5dithJxOtX3a+i1uA==" saltValue="XAbC1g8osUPV76UgDM3X/Q==" spinCount="100000"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56" t="s">
        <v>694</v>
      </c>
      <c r="C6" s="1010">
        <f ca="1">ROUND(F6*F8*F7*(1-F9),0)</f>
        <v>0</v>
      </c>
      <c r="D6" s="146" t="s">
        <v>2106</v>
      </c>
      <c r="E6" s="293" t="s">
        <v>696</v>
      </c>
      <c r="F6" s="294">
        <f ca="1">INDIRECT("'数据-取费表'!u"&amp;$G$1)</f>
        <v>0</v>
      </c>
      <c r="G6" s="1291"/>
      <c r="H6" s="1005" t="s">
        <v>398</v>
      </c>
      <c r="I6" s="3356" t="s">
        <v>694</v>
      </c>
      <c r="J6" s="292">
        <f ca="1">ROUND(M6*M8*M7*(1-M9),0)</f>
        <v>0</v>
      </c>
      <c r="K6" s="1283" t="s">
        <v>2107</v>
      </c>
      <c r="L6" s="293" t="s">
        <v>696</v>
      </c>
      <c r="M6" s="294">
        <f ca="1">INDIRECT("'数据-取费表'!z"&amp;$G$1)</f>
        <v>0</v>
      </c>
    </row>
    <row r="7" spans="1:37" ht="18" customHeight="1">
      <c r="A7" s="1009"/>
      <c r="B7" s="3357"/>
      <c r="C7" s="1011"/>
      <c r="D7" s="298"/>
      <c r="E7" s="1012" t="s">
        <v>697</v>
      </c>
      <c r="F7" s="294">
        <f ca="1">IF(INDIRECT("'数据-取费表'!ah"&amp;$G$1)="",INDIRECT("'数据-取费表'!k"&amp;$G$1),INDIRECT("'数据-取费表'!ah"&amp;$G$1))</f>
        <v>0</v>
      </c>
      <c r="G7" s="1291"/>
      <c r="H7" s="295"/>
      <c r="I7" s="3357"/>
      <c r="J7" s="297"/>
      <c r="K7" s="298"/>
      <c r="L7" s="293" t="s">
        <v>697</v>
      </c>
      <c r="M7" s="294">
        <f ca="1">F7</f>
        <v>0</v>
      </c>
    </row>
    <row r="8" spans="1:37" ht="18" customHeight="1">
      <c r="A8" s="295"/>
      <c r="B8" s="3357"/>
      <c r="C8" s="297"/>
      <c r="D8" s="298"/>
      <c r="E8" s="293" t="s">
        <v>698</v>
      </c>
      <c r="F8" s="294">
        <f ca="1">INDIRECT("'数据-取费表'!ai"&amp;$G$1)</f>
        <v>0</v>
      </c>
      <c r="G8" s="1291"/>
      <c r="H8" s="295"/>
      <c r="I8" s="3357"/>
      <c r="J8" s="297"/>
      <c r="K8" s="298"/>
      <c r="L8" s="293" t="s">
        <v>698</v>
      </c>
      <c r="M8" s="294">
        <f ca="1">INDIRECT("'数据-取费表'!ai"&amp;$G$1)</f>
        <v>0</v>
      </c>
    </row>
    <row r="9" spans="1:37" ht="18" customHeight="1">
      <c r="A9" s="295"/>
      <c r="B9" s="3358"/>
      <c r="C9" s="297"/>
      <c r="D9" s="298"/>
      <c r="E9" s="293" t="s">
        <v>699</v>
      </c>
      <c r="F9" s="303">
        <f ca="1">INDIRECT("'数据-取费表'!w"&amp;$G$1)</f>
        <v>0</v>
      </c>
      <c r="G9" s="1291"/>
      <c r="H9" s="295"/>
      <c r="I9" s="335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3329</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2299</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3329</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3345</v>
      </c>
      <c r="B45" s="1306"/>
      <c r="C45" s="1375" t="e">
        <f ca="1">ROUND((C68-C40)/10000,4)</f>
        <v>#DIV/0!</v>
      </c>
      <c r="D45" s="3129" t="s">
        <v>3346</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54" t="s">
        <v>837</v>
      </c>
      <c r="L53" s="3355"/>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3329</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2" t="s">
        <v>2308</v>
      </c>
      <c r="B2" s="2594" t="e">
        <f>IF(D2="——",C40,C40+E2)</f>
        <v>#DIV/0!</v>
      </c>
      <c r="C2" s="2595" t="s">
        <v>2309</v>
      </c>
      <c r="D2" s="3137" t="s">
        <v>3352</v>
      </c>
      <c r="E2" s="3138"/>
      <c r="F2" s="2597"/>
      <c r="G2" s="2598"/>
      <c r="H2" s="2599"/>
      <c r="I2" s="2600"/>
      <c r="J2" s="3359" t="s">
        <v>2310</v>
      </c>
      <c r="K2" s="3360"/>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1" t="s">
        <v>2320</v>
      </c>
      <c r="K3" s="3362"/>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1" t="s">
        <v>2322</v>
      </c>
      <c r="K4" s="3362"/>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63" t="s">
        <v>2326</v>
      </c>
      <c r="B6" s="3364"/>
      <c r="C6" s="3365"/>
      <c r="D6" s="2621"/>
      <c r="E6" s="2622"/>
      <c r="F6" s="2623"/>
      <c r="G6" s="2624"/>
      <c r="H6" s="2599"/>
      <c r="I6" s="2600"/>
      <c r="J6" s="3366">
        <v>1</v>
      </c>
      <c r="K6" s="3367"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6"/>
      <c r="K7" s="3368"/>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0" t="s">
        <v>2340</v>
      </c>
      <c r="C8" s="3371"/>
      <c r="D8" s="2640" t="s">
        <v>2341</v>
      </c>
      <c r="E8" s="2641" t="s">
        <v>2342</v>
      </c>
      <c r="F8" s="2642" t="s">
        <v>2343</v>
      </c>
      <c r="G8" s="2643"/>
      <c r="H8" s="2599"/>
      <c r="I8" s="2600"/>
      <c r="J8" s="3366"/>
      <c r="K8" s="3368"/>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0" t="s">
        <v>2346</v>
      </c>
      <c r="C9" s="3371"/>
      <c r="D9" s="2640">
        <f>ROUND(D6*E9,0)</f>
        <v>0</v>
      </c>
      <c r="E9" s="2644"/>
      <c r="F9" s="2645" t="s">
        <v>2347</v>
      </c>
      <c r="G9" s="2624"/>
      <c r="H9" s="2599"/>
      <c r="I9" s="2600"/>
      <c r="J9" s="3366"/>
      <c r="K9" s="3368"/>
      <c r="L9" s="2634" t="s">
        <v>2348</v>
      </c>
      <c r="M9" s="2635"/>
      <c r="N9" s="2611"/>
      <c r="O9" s="2636"/>
      <c r="P9" s="2636"/>
      <c r="Q9" s="2637">
        <v>365</v>
      </c>
      <c r="R9" s="2638">
        <f t="shared" si="0"/>
        <v>0</v>
      </c>
      <c r="S9" s="2592"/>
      <c r="T9" s="2592"/>
      <c r="U9" s="2592"/>
      <c r="V9" s="2600"/>
    </row>
    <row r="10" spans="1:22" s="2604" customFormat="1" ht="13.15" customHeight="1">
      <c r="A10" s="2639">
        <v>2</v>
      </c>
      <c r="B10" s="3370" t="s">
        <v>2349</v>
      </c>
      <c r="C10" s="3371"/>
      <c r="D10" s="2640">
        <f>ROUND(D6*E10,0)</f>
        <v>0</v>
      </c>
      <c r="E10" s="2644"/>
      <c r="F10" s="2645" t="s">
        <v>2350</v>
      </c>
      <c r="G10" s="2624"/>
      <c r="H10" s="2599"/>
      <c r="I10" s="2600"/>
      <c r="J10" s="3366"/>
      <c r="K10" s="3368"/>
      <c r="L10" s="2634" t="s">
        <v>2351</v>
      </c>
      <c r="M10" s="2635"/>
      <c r="N10" s="2611"/>
      <c r="O10" s="2636"/>
      <c r="P10" s="2636"/>
      <c r="Q10" s="2637">
        <v>365</v>
      </c>
      <c r="R10" s="2638">
        <f t="shared" si="0"/>
        <v>0</v>
      </c>
      <c r="S10" s="2592"/>
      <c r="T10" s="2592"/>
      <c r="U10" s="2592"/>
      <c r="V10" s="2600"/>
    </row>
    <row r="11" spans="1:22" s="2604" customFormat="1" ht="13.15" customHeight="1">
      <c r="A11" s="2639">
        <v>3</v>
      </c>
      <c r="B11" s="3370" t="s">
        <v>2352</v>
      </c>
      <c r="C11" s="3371"/>
      <c r="D11" s="2640">
        <f>D12+D14+D15+D16</f>
        <v>0</v>
      </c>
      <c r="E11" s="2646" t="e">
        <f>D11/D6</f>
        <v>#DIV/0!</v>
      </c>
      <c r="F11" s="2642"/>
      <c r="G11" s="2643"/>
      <c r="H11" s="2599"/>
      <c r="I11" s="2600"/>
      <c r="J11" s="3366"/>
      <c r="K11" s="3368"/>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2" t="s">
        <v>2355</v>
      </c>
      <c r="C12" s="3373"/>
      <c r="D12" s="2648">
        <f>ROUND(D13*1.2%*(1-30%),0)</f>
        <v>0</v>
      </c>
      <c r="E12" s="2649">
        <v>1.2E-2</v>
      </c>
      <c r="F12" s="2642" t="s">
        <v>2356</v>
      </c>
      <c r="G12" s="2643"/>
      <c r="H12" s="2599"/>
      <c r="I12" s="2600"/>
      <c r="J12" s="3366"/>
      <c r="K12" s="3368"/>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6"/>
      <c r="K13" s="3368"/>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2" t="s">
        <v>2361</v>
      </c>
      <c r="C14" s="3373"/>
      <c r="D14" s="2648">
        <f>ROUND(E14*B5/10000,0)</f>
        <v>0</v>
      </c>
      <c r="E14" s="2637"/>
      <c r="F14" s="2642" t="s">
        <v>2362</v>
      </c>
      <c r="G14" s="2643"/>
      <c r="H14" s="2599"/>
      <c r="I14" s="2600"/>
      <c r="J14" s="3366"/>
      <c r="K14" s="3369"/>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2" t="s">
        <v>2365</v>
      </c>
      <c r="C15" s="3373"/>
      <c r="D15" s="2648">
        <f>ROUND(D6*E15,0)</f>
        <v>0</v>
      </c>
      <c r="E15" s="2649">
        <v>5.5E-2</v>
      </c>
      <c r="F15" s="2642" t="s">
        <v>2366</v>
      </c>
      <c r="G15" s="2624"/>
      <c r="H15" s="2599"/>
      <c r="I15" s="2600"/>
      <c r="J15" s="3366">
        <v>2</v>
      </c>
      <c r="K15" s="3367"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2" t="s">
        <v>2374</v>
      </c>
      <c r="C16" s="3373"/>
      <c r="D16" s="2659">
        <f>D6*E16</f>
        <v>0</v>
      </c>
      <c r="E16" s="2660"/>
      <c r="F16" s="2645" t="s">
        <v>2375</v>
      </c>
      <c r="G16" s="2624"/>
      <c r="H16" s="2599"/>
      <c r="I16" s="2600"/>
      <c r="J16" s="3366"/>
      <c r="K16" s="3368"/>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74" t="s">
        <v>2377</v>
      </c>
      <c r="C17" s="3375"/>
      <c r="D17" s="2662">
        <f>ROUND(D6*E17,0)</f>
        <v>0</v>
      </c>
      <c r="E17" s="2663"/>
      <c r="F17" s="2664" t="s">
        <v>2378</v>
      </c>
      <c r="G17" s="2624"/>
      <c r="H17" s="2599"/>
      <c r="I17" s="2600"/>
      <c r="J17" s="3366"/>
      <c r="K17" s="3368"/>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6"/>
      <c r="K18" s="3368"/>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6"/>
      <c r="K19" s="3369"/>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6">
        <v>3</v>
      </c>
      <c r="K20" s="3367"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6"/>
      <c r="K21" s="3368"/>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6"/>
      <c r="K22" s="3368"/>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6"/>
      <c r="K23" s="3368"/>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6"/>
      <c r="K24" s="3369"/>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76">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7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59" t="s">
        <v>2310</v>
      </c>
      <c r="K32" s="3360"/>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1" t="s">
        <v>2320</v>
      </c>
      <c r="K33" s="3362"/>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1" t="s">
        <v>2322</v>
      </c>
      <c r="K34" s="336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6">
        <v>1</v>
      </c>
      <c r="K36" s="3367"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6"/>
      <c r="K37" s="3368"/>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6"/>
      <c r="K38" s="3368"/>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6"/>
      <c r="K39" s="3368"/>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6"/>
      <c r="K40" s="3369"/>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6">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7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4103</v>
      </c>
      <c r="C2" s="1728" t="s">
        <v>1651</v>
      </c>
      <c r="D2" s="1729" t="s">
        <v>1652</v>
      </c>
      <c r="E2" s="2392">
        <f>SUM(E6:E13)</f>
        <v>7049.7000000000007</v>
      </c>
      <c r="F2" s="2479"/>
      <c r="G2" s="458"/>
      <c r="H2" s="458"/>
      <c r="I2" s="458"/>
      <c r="J2" s="458"/>
      <c r="K2" s="458"/>
      <c r="L2" s="458"/>
      <c r="M2" s="458"/>
      <c r="N2" s="458"/>
      <c r="O2" s="458"/>
      <c r="P2" s="458"/>
      <c r="Q2" s="458"/>
      <c r="R2" s="458"/>
      <c r="S2" s="458"/>
    </row>
    <row r="3" spans="1:22" ht="15.75">
      <c r="A3" s="1727" t="s">
        <v>686</v>
      </c>
      <c r="B3" s="2386">
        <f ca="1">ROUND(B2*10000/E2,0)</f>
        <v>5820</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78" t="s">
        <v>1654</v>
      </c>
      <c r="C5" s="3379"/>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4103</v>
      </c>
      <c r="C6" s="1728" t="s">
        <v>1651</v>
      </c>
      <c r="D6" s="2479"/>
      <c r="E6" s="2391">
        <f>IF(OR(A6=0,F6="否"),0,'数据-取费表'!K6+'数据-取费表'!S6)</f>
        <v>7049.7000000000007</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7049.7000000000007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8" t="s">
        <v>1667</v>
      </c>
      <c r="D4" s="3399"/>
      <c r="E4" s="3400" t="s">
        <v>1668</v>
      </c>
      <c r="F4" s="3401"/>
      <c r="G4" s="3398" t="s">
        <v>1669</v>
      </c>
      <c r="H4" s="3399"/>
      <c r="I4" s="3398" t="s">
        <v>1670</v>
      </c>
      <c r="J4" s="3399"/>
      <c r="K4" s="1743" t="s">
        <v>1671</v>
      </c>
      <c r="L4" s="2486"/>
      <c r="M4" s="2487"/>
      <c r="N4" s="2487"/>
      <c r="O4" s="2487"/>
      <c r="P4" s="3402" t="s">
        <v>1672</v>
      </c>
      <c r="Q4" s="3403"/>
      <c r="R4" s="3385" t="s">
        <v>1668</v>
      </c>
      <c r="S4" s="3386"/>
      <c r="T4" s="3385" t="s">
        <v>1669</v>
      </c>
      <c r="U4" s="3386"/>
      <c r="V4" s="3410" t="s">
        <v>1670</v>
      </c>
      <c r="W4" s="3410"/>
      <c r="X4" s="1264"/>
      <c r="Y4" s="3385" t="s">
        <v>1672</v>
      </c>
      <c r="Z4" s="3386"/>
      <c r="AA4" s="3380" t="s">
        <v>1668</v>
      </c>
      <c r="AB4" s="3380" t="s">
        <v>1669</v>
      </c>
      <c r="AC4" s="3380" t="s">
        <v>1670</v>
      </c>
    </row>
    <row r="5" spans="1:29" ht="15">
      <c r="A5" s="347"/>
      <c r="B5" s="348"/>
      <c r="C5" s="3391" t="s">
        <v>1673</v>
      </c>
      <c r="D5" s="3392"/>
      <c r="E5" s="3389" t="s">
        <v>1674</v>
      </c>
      <c r="F5" s="3390"/>
      <c r="G5" s="3391" t="s">
        <v>1675</v>
      </c>
      <c r="H5" s="3392"/>
      <c r="I5" s="3391" t="s">
        <v>1676</v>
      </c>
      <c r="J5" s="3392"/>
      <c r="K5" s="1744"/>
      <c r="L5" s="2486"/>
      <c r="M5" s="2487"/>
      <c r="N5" s="2487"/>
      <c r="O5" s="2487"/>
      <c r="P5" s="3404"/>
      <c r="Q5" s="3405"/>
      <c r="R5" s="3387"/>
      <c r="S5" s="3388"/>
      <c r="T5" s="3387"/>
      <c r="U5" s="3388"/>
      <c r="V5" s="3410"/>
      <c r="W5" s="3410"/>
      <c r="X5" s="1264"/>
      <c r="Y5" s="3387"/>
      <c r="Z5" s="3388"/>
      <c r="AA5" s="3381"/>
      <c r="AB5" s="3381"/>
      <c r="AC5" s="3381"/>
    </row>
    <row r="6" spans="1:29" ht="15.75" thickBot="1">
      <c r="A6" s="349"/>
      <c r="B6" s="350"/>
      <c r="C6" s="3393" t="s">
        <v>1677</v>
      </c>
      <c r="D6" s="3394"/>
      <c r="E6" s="3395" t="s">
        <v>1677</v>
      </c>
      <c r="F6" s="3396"/>
      <c r="G6" s="3393" t="s">
        <v>1677</v>
      </c>
      <c r="H6" s="3394"/>
      <c r="I6" s="3393" t="s">
        <v>1677</v>
      </c>
      <c r="J6" s="3394"/>
      <c r="K6" s="1744" t="s">
        <v>1678</v>
      </c>
      <c r="L6" s="2486"/>
      <c r="M6" s="2487"/>
      <c r="N6" s="2487"/>
      <c r="O6" s="2487"/>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83" t="s">
        <v>1680</v>
      </c>
      <c r="Q7" s="3411"/>
      <c r="R7" s="663" t="s">
        <v>20</v>
      </c>
      <c r="S7" s="664">
        <f t="shared" ref="S7:S15" si="0">F7</f>
        <v>0</v>
      </c>
      <c r="T7" s="663" t="s">
        <v>20</v>
      </c>
      <c r="U7" s="664">
        <f t="shared" ref="U7:U15" si="1">H7</f>
        <v>0</v>
      </c>
      <c r="V7" s="663" t="s">
        <v>20</v>
      </c>
      <c r="W7" s="664">
        <f t="shared" ref="W7:W15" si="2">J7</f>
        <v>0</v>
      </c>
      <c r="X7" s="665"/>
      <c r="Y7" s="3383" t="s">
        <v>1680</v>
      </c>
      <c r="Z7" s="3384"/>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83" t="s">
        <v>1683</v>
      </c>
      <c r="Q8" s="3384"/>
      <c r="R8" s="663" t="s">
        <v>20</v>
      </c>
      <c r="S8" s="664">
        <f t="shared" si="0"/>
        <v>100</v>
      </c>
      <c r="T8" s="663" t="s">
        <v>20</v>
      </c>
      <c r="U8" s="664">
        <f t="shared" si="1"/>
        <v>100</v>
      </c>
      <c r="V8" s="663" t="s">
        <v>20</v>
      </c>
      <c r="W8" s="664">
        <f t="shared" si="2"/>
        <v>100</v>
      </c>
      <c r="X8" s="665"/>
      <c r="Y8" s="3383" t="s">
        <v>1683</v>
      </c>
      <c r="Z8" s="3384"/>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7"/>
      <c r="Q11" s="529" t="str">
        <f t="shared" si="6"/>
        <v>容积率</v>
      </c>
      <c r="R11" s="663" t="s">
        <v>18</v>
      </c>
      <c r="S11" s="664" t="e">
        <f t="shared" si="0"/>
        <v>#N/A</v>
      </c>
      <c r="T11" s="663" t="s">
        <v>18</v>
      </c>
      <c r="U11" s="664" t="e">
        <f t="shared" si="1"/>
        <v>#N/A</v>
      </c>
      <c r="V11" s="663" t="s">
        <v>18</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7"/>
      <c r="Q12" s="529">
        <f t="shared" si="6"/>
        <v>111</v>
      </c>
      <c r="R12" s="663" t="s">
        <v>18</v>
      </c>
      <c r="S12" s="664">
        <f t="shared" si="0"/>
        <v>100</v>
      </c>
      <c r="T12" s="663" t="s">
        <v>18</v>
      </c>
      <c r="U12" s="664">
        <f t="shared" si="1"/>
        <v>100</v>
      </c>
      <c r="V12" s="663" t="s">
        <v>18</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7"/>
      <c r="Q13" s="529">
        <f t="shared" si="6"/>
        <v>111</v>
      </c>
      <c r="R13" s="663" t="s">
        <v>18</v>
      </c>
      <c r="S13" s="664">
        <f t="shared" si="0"/>
        <v>100</v>
      </c>
      <c r="T13" s="663" t="s">
        <v>18</v>
      </c>
      <c r="U13" s="664">
        <f t="shared" si="1"/>
        <v>100</v>
      </c>
      <c r="V13" s="663" t="s">
        <v>18</v>
      </c>
      <c r="W13" s="664">
        <f t="shared" si="2"/>
        <v>100</v>
      </c>
      <c r="X13" s="665"/>
      <c r="Y13" s="3327"/>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7"/>
      <c r="Q14" s="529">
        <f t="shared" si="6"/>
        <v>111</v>
      </c>
      <c r="R14" s="663" t="s">
        <v>18</v>
      </c>
      <c r="S14" s="664">
        <f t="shared" si="0"/>
        <v>100</v>
      </c>
      <c r="T14" s="663" t="s">
        <v>18</v>
      </c>
      <c r="U14" s="664">
        <f t="shared" si="1"/>
        <v>100</v>
      </c>
      <c r="V14" s="663" t="s">
        <v>18</v>
      </c>
      <c r="W14" s="664">
        <f t="shared" si="2"/>
        <v>100</v>
      </c>
      <c r="X14" s="665"/>
      <c r="Y14" s="332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23" t="s">
        <v>1691</v>
      </c>
      <c r="Q15" s="1262" t="str">
        <f t="shared" si="6"/>
        <v>居住社区成熟度</v>
      </c>
      <c r="R15" s="666" t="s">
        <v>18</v>
      </c>
      <c r="S15" s="667">
        <f t="shared" si="0"/>
        <v>100</v>
      </c>
      <c r="T15" s="666" t="s">
        <v>18</v>
      </c>
      <c r="U15" s="667">
        <f t="shared" si="1"/>
        <v>100</v>
      </c>
      <c r="V15" s="666" t="s">
        <v>18</v>
      </c>
      <c r="W15" s="667">
        <f t="shared" si="2"/>
        <v>100</v>
      </c>
      <c r="X15" s="1264"/>
      <c r="Y15" s="3416"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24"/>
      <c r="Q16" s="1262"/>
      <c r="R16" s="666"/>
      <c r="S16" s="667"/>
      <c r="T16" s="666"/>
      <c r="U16" s="667"/>
      <c r="V16" s="666"/>
      <c r="W16" s="667"/>
      <c r="X16" s="1264"/>
      <c r="Y16" s="3417"/>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24"/>
      <c r="Q17" s="1262" t="str">
        <f>B17</f>
        <v>交通便捷度</v>
      </c>
      <c r="R17" s="666" t="s">
        <v>18</v>
      </c>
      <c r="S17" s="667">
        <f>F17</f>
        <v>100</v>
      </c>
      <c r="T17" s="666" t="s">
        <v>18</v>
      </c>
      <c r="U17" s="667">
        <f>H17</f>
        <v>100</v>
      </c>
      <c r="V17" s="666" t="s">
        <v>18</v>
      </c>
      <c r="W17" s="667">
        <f>J17</f>
        <v>100</v>
      </c>
      <c r="X17" s="1264"/>
      <c r="Y17" s="3417"/>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24"/>
      <c r="Q18" s="1262"/>
      <c r="R18" s="666"/>
      <c r="S18" s="667"/>
      <c r="T18" s="666"/>
      <c r="U18" s="667"/>
      <c r="V18" s="666"/>
      <c r="W18" s="667"/>
      <c r="X18" s="1264"/>
      <c r="Y18" s="3417"/>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24"/>
      <c r="Q19" s="1262" t="str">
        <f>B19</f>
        <v>公共配套设施</v>
      </c>
      <c r="R19" s="666" t="s">
        <v>18</v>
      </c>
      <c r="S19" s="667">
        <f>F19</f>
        <v>100</v>
      </c>
      <c r="T19" s="666" t="s">
        <v>18</v>
      </c>
      <c r="U19" s="667">
        <f>H19</f>
        <v>100</v>
      </c>
      <c r="V19" s="666" t="s">
        <v>18</v>
      </c>
      <c r="W19" s="667">
        <f>J19</f>
        <v>100</v>
      </c>
      <c r="X19" s="1264"/>
      <c r="Y19" s="3417"/>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24"/>
      <c r="Q20" s="1262"/>
      <c r="R20" s="666"/>
      <c r="S20" s="667"/>
      <c r="T20" s="666"/>
      <c r="U20" s="667"/>
      <c r="V20" s="666"/>
      <c r="W20" s="667"/>
      <c r="X20" s="1264"/>
      <c r="Y20" s="3417"/>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24"/>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24"/>
      <c r="Q22" s="1262"/>
      <c r="R22" s="666"/>
      <c r="S22" s="667"/>
      <c r="T22" s="666"/>
      <c r="U22" s="667"/>
      <c r="V22" s="666"/>
      <c r="W22" s="667"/>
      <c r="X22" s="1264"/>
      <c r="Y22" s="3417"/>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24"/>
      <c r="Q23" s="1262" t="str">
        <f>B23</f>
        <v>自然及人文环境</v>
      </c>
      <c r="R23" s="666" t="s">
        <v>18</v>
      </c>
      <c r="S23" s="667">
        <f>F23</f>
        <v>100</v>
      </c>
      <c r="T23" s="666" t="s">
        <v>18</v>
      </c>
      <c r="U23" s="667">
        <f>H23</f>
        <v>100</v>
      </c>
      <c r="V23" s="666" t="s">
        <v>18</v>
      </c>
      <c r="W23" s="667">
        <f>J23</f>
        <v>100</v>
      </c>
      <c r="X23" s="1264"/>
      <c r="Y23" s="3417"/>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24"/>
      <c r="Q24" s="1262"/>
      <c r="R24" s="666"/>
      <c r="S24" s="667"/>
      <c r="T24" s="666"/>
      <c r="U24" s="667"/>
      <c r="V24" s="666"/>
      <c r="W24" s="667"/>
      <c r="X24" s="1264"/>
      <c r="Y24" s="3417"/>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2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7"/>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24"/>
      <c r="Q26" s="1262" t="str">
        <f t="shared" si="11"/>
        <v>朝向</v>
      </c>
      <c r="R26" s="666" t="s">
        <v>18</v>
      </c>
      <c r="S26" s="667">
        <f t="shared" si="12"/>
        <v>100</v>
      </c>
      <c r="T26" s="666" t="s">
        <v>18</v>
      </c>
      <c r="U26" s="667">
        <f t="shared" si="13"/>
        <v>100</v>
      </c>
      <c r="V26" s="666" t="s">
        <v>18</v>
      </c>
      <c r="W26" s="667">
        <f t="shared" si="14"/>
        <v>100</v>
      </c>
      <c r="X26" s="1264"/>
      <c r="Y26" s="3417"/>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24"/>
      <c r="Q27" s="529">
        <f t="shared" si="11"/>
        <v>111</v>
      </c>
      <c r="R27" s="663" t="s">
        <v>18</v>
      </c>
      <c r="S27" s="664">
        <f t="shared" si="12"/>
        <v>100</v>
      </c>
      <c r="T27" s="663" t="s">
        <v>18</v>
      </c>
      <c r="U27" s="664">
        <f t="shared" si="13"/>
        <v>100</v>
      </c>
      <c r="V27" s="663" t="s">
        <v>18</v>
      </c>
      <c r="W27" s="664">
        <f t="shared" si="14"/>
        <v>100</v>
      </c>
      <c r="X27" s="665"/>
      <c r="Y27" s="3417"/>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24"/>
      <c r="Q28" s="1262">
        <f t="shared" si="11"/>
        <v>111</v>
      </c>
      <c r="R28" s="666" t="s">
        <v>18</v>
      </c>
      <c r="S28" s="667">
        <f t="shared" si="12"/>
        <v>100</v>
      </c>
      <c r="T28" s="666" t="s">
        <v>18</v>
      </c>
      <c r="U28" s="667">
        <f t="shared" si="13"/>
        <v>100</v>
      </c>
      <c r="V28" s="666" t="s">
        <v>18</v>
      </c>
      <c r="W28" s="667">
        <f t="shared" si="14"/>
        <v>100</v>
      </c>
      <c r="X28" s="1264"/>
      <c r="Y28" s="3417"/>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24"/>
      <c r="Q29" s="1262">
        <f t="shared" si="11"/>
        <v>111</v>
      </c>
      <c r="R29" s="666" t="s">
        <v>18</v>
      </c>
      <c r="S29" s="667">
        <f t="shared" si="12"/>
        <v>100</v>
      </c>
      <c r="T29" s="666" t="s">
        <v>18</v>
      </c>
      <c r="U29" s="667">
        <f t="shared" si="13"/>
        <v>100</v>
      </c>
      <c r="V29" s="666" t="s">
        <v>18</v>
      </c>
      <c r="W29" s="667">
        <f t="shared" si="14"/>
        <v>100</v>
      </c>
      <c r="X29" s="1264"/>
      <c r="Y29" s="3417"/>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24"/>
      <c r="Q30" s="1262">
        <f t="shared" si="11"/>
        <v>111</v>
      </c>
      <c r="R30" s="666" t="s">
        <v>18</v>
      </c>
      <c r="S30" s="667">
        <f t="shared" si="12"/>
        <v>100</v>
      </c>
      <c r="T30" s="666" t="s">
        <v>18</v>
      </c>
      <c r="U30" s="667">
        <f t="shared" si="13"/>
        <v>100</v>
      </c>
      <c r="V30" s="666" t="s">
        <v>18</v>
      </c>
      <c r="W30" s="667">
        <f t="shared" si="14"/>
        <v>100</v>
      </c>
      <c r="X30" s="1264"/>
      <c r="Y30" s="3417"/>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24"/>
      <c r="Q31" s="1262">
        <f t="shared" si="11"/>
        <v>111</v>
      </c>
      <c r="R31" s="666" t="s">
        <v>18</v>
      </c>
      <c r="S31" s="667">
        <f t="shared" si="12"/>
        <v>100</v>
      </c>
      <c r="T31" s="666" t="s">
        <v>18</v>
      </c>
      <c r="U31" s="667">
        <f t="shared" si="13"/>
        <v>100</v>
      </c>
      <c r="V31" s="666" t="s">
        <v>18</v>
      </c>
      <c r="W31" s="667">
        <f t="shared" si="14"/>
        <v>100</v>
      </c>
      <c r="X31" s="1264"/>
      <c r="Y31" s="3417"/>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8" t="s">
        <v>1696</v>
      </c>
      <c r="Q32" s="1262" t="str">
        <f t="shared" si="11"/>
        <v>建筑类型</v>
      </c>
      <c r="R32" s="666" t="s">
        <v>18</v>
      </c>
      <c r="S32" s="667">
        <f t="shared" si="12"/>
        <v>100</v>
      </c>
      <c r="T32" s="666" t="s">
        <v>18</v>
      </c>
      <c r="U32" s="667">
        <f t="shared" si="13"/>
        <v>100</v>
      </c>
      <c r="V32" s="666" t="s">
        <v>18</v>
      </c>
      <c r="W32" s="667">
        <f t="shared" si="14"/>
        <v>100</v>
      </c>
      <c r="X32" s="1264"/>
      <c r="Y32" s="342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9"/>
      <c r="Q33" s="530" t="str">
        <f t="shared" si="11"/>
        <v>项目建筑规模</v>
      </c>
      <c r="R33" s="668" t="s">
        <v>18</v>
      </c>
      <c r="S33" s="669" t="e">
        <f t="shared" si="12"/>
        <v>#N/A</v>
      </c>
      <c r="T33" s="668" t="s">
        <v>18</v>
      </c>
      <c r="U33" s="669" t="e">
        <f t="shared" si="13"/>
        <v>#N/A</v>
      </c>
      <c r="V33" s="668" t="s">
        <v>18</v>
      </c>
      <c r="W33" s="669" t="e">
        <f t="shared" si="14"/>
        <v>#N/A</v>
      </c>
      <c r="X33" s="670"/>
      <c r="Y33" s="342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9"/>
      <c r="Q34" s="1262" t="str">
        <f t="shared" si="11"/>
        <v>建筑结构</v>
      </c>
      <c r="R34" s="666" t="s">
        <v>18</v>
      </c>
      <c r="S34" s="667">
        <f t="shared" si="12"/>
        <v>100</v>
      </c>
      <c r="T34" s="666" t="s">
        <v>18</v>
      </c>
      <c r="U34" s="667">
        <f t="shared" si="13"/>
        <v>100</v>
      </c>
      <c r="V34" s="666" t="s">
        <v>18</v>
      </c>
      <c r="W34" s="667">
        <f t="shared" si="14"/>
        <v>100</v>
      </c>
      <c r="X34" s="1264"/>
      <c r="Y34" s="342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9"/>
      <c r="Q35" s="1262" t="str">
        <f t="shared" si="11"/>
        <v>建筑品质</v>
      </c>
      <c r="R35" s="666" t="s">
        <v>18</v>
      </c>
      <c r="S35" s="667">
        <f t="shared" si="12"/>
        <v>100</v>
      </c>
      <c r="T35" s="666" t="s">
        <v>18</v>
      </c>
      <c r="U35" s="667">
        <f t="shared" si="13"/>
        <v>100</v>
      </c>
      <c r="V35" s="666" t="s">
        <v>18</v>
      </c>
      <c r="W35" s="667">
        <f t="shared" si="14"/>
        <v>100</v>
      </c>
      <c r="X35" s="1264"/>
      <c r="Y35" s="342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9"/>
      <c r="Q36" s="1262" t="str">
        <f t="shared" si="11"/>
        <v>公共部分装修</v>
      </c>
      <c r="R36" s="666" t="s">
        <v>18</v>
      </c>
      <c r="S36" s="667">
        <f t="shared" si="12"/>
        <v>100</v>
      </c>
      <c r="T36" s="666" t="s">
        <v>18</v>
      </c>
      <c r="U36" s="667">
        <f t="shared" si="13"/>
        <v>100</v>
      </c>
      <c r="V36" s="666" t="s">
        <v>18</v>
      </c>
      <c r="W36" s="667">
        <f t="shared" si="14"/>
        <v>100</v>
      </c>
      <c r="X36" s="1264"/>
      <c r="Y36" s="3421"/>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9"/>
      <c r="Q37" s="529" t="str">
        <f t="shared" si="11"/>
        <v>成新度</v>
      </c>
      <c r="R37" s="663" t="s">
        <v>18</v>
      </c>
      <c r="S37" s="664" t="e">
        <f t="shared" si="12"/>
        <v>#N/A</v>
      </c>
      <c r="T37" s="663" t="s">
        <v>18</v>
      </c>
      <c r="U37" s="664" t="e">
        <f t="shared" si="13"/>
        <v>#N/A</v>
      </c>
      <c r="V37" s="663" t="s">
        <v>18</v>
      </c>
      <c r="W37" s="664" t="e">
        <f t="shared" si="14"/>
        <v>#N/A</v>
      </c>
      <c r="X37" s="665"/>
      <c r="Y37" s="3421"/>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9" t="s">
        <v>1696</v>
      </c>
      <c r="Q38" s="1262" t="str">
        <f t="shared" si="11"/>
        <v>物业管理</v>
      </c>
      <c r="R38" s="666" t="s">
        <v>18</v>
      </c>
      <c r="S38" s="667">
        <f t="shared" si="12"/>
        <v>100</v>
      </c>
      <c r="T38" s="666" t="s">
        <v>18</v>
      </c>
      <c r="U38" s="667">
        <f t="shared" si="13"/>
        <v>100</v>
      </c>
      <c r="V38" s="666" t="s">
        <v>18</v>
      </c>
      <c r="W38" s="667">
        <f t="shared" si="14"/>
        <v>100</v>
      </c>
      <c r="X38" s="1264"/>
      <c r="Y38" s="342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9"/>
      <c r="Q39" s="1262" t="str">
        <f t="shared" si="11"/>
        <v>市政基础设施</v>
      </c>
      <c r="R39" s="666" t="s">
        <v>18</v>
      </c>
      <c r="S39" s="667">
        <f t="shared" si="12"/>
        <v>100</v>
      </c>
      <c r="T39" s="666" t="s">
        <v>18</v>
      </c>
      <c r="U39" s="667">
        <f t="shared" si="13"/>
        <v>100</v>
      </c>
      <c r="V39" s="666" t="s">
        <v>18</v>
      </c>
      <c r="W39" s="667">
        <f t="shared" si="14"/>
        <v>100</v>
      </c>
      <c r="X39" s="1264"/>
      <c r="Y39" s="342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9"/>
      <c r="Q40" s="1262" t="str">
        <f t="shared" si="11"/>
        <v>房型</v>
      </c>
      <c r="R40" s="666" t="s">
        <v>18</v>
      </c>
      <c r="S40" s="667">
        <f t="shared" si="12"/>
        <v>100</v>
      </c>
      <c r="T40" s="666" t="s">
        <v>18</v>
      </c>
      <c r="U40" s="667">
        <f t="shared" si="13"/>
        <v>100</v>
      </c>
      <c r="V40" s="666" t="s">
        <v>18</v>
      </c>
      <c r="W40" s="667">
        <f t="shared" si="14"/>
        <v>100</v>
      </c>
      <c r="X40" s="1264"/>
      <c r="Y40" s="3421"/>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9"/>
      <c r="Q41" s="530" t="str">
        <f t="shared" si="11"/>
        <v>单套/主力户型建筑面积</v>
      </c>
      <c r="R41" s="668" t="s">
        <v>18</v>
      </c>
      <c r="S41" s="669">
        <f t="shared" si="12"/>
        <v>100</v>
      </c>
      <c r="T41" s="668" t="s">
        <v>18</v>
      </c>
      <c r="U41" s="669">
        <f t="shared" si="13"/>
        <v>100</v>
      </c>
      <c r="V41" s="668" t="s">
        <v>18</v>
      </c>
      <c r="W41" s="669">
        <f t="shared" si="14"/>
        <v>100</v>
      </c>
      <c r="X41" s="670"/>
      <c r="Y41" s="342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9"/>
      <c r="Q42" s="1262" t="str">
        <f t="shared" si="11"/>
        <v>内部装修</v>
      </c>
      <c r="R42" s="666" t="s">
        <v>18</v>
      </c>
      <c r="S42" s="667">
        <f t="shared" si="12"/>
        <v>100</v>
      </c>
      <c r="T42" s="666" t="s">
        <v>18</v>
      </c>
      <c r="U42" s="667">
        <f t="shared" si="13"/>
        <v>100</v>
      </c>
      <c r="V42" s="666" t="s">
        <v>18</v>
      </c>
      <c r="W42" s="667">
        <f t="shared" si="14"/>
        <v>100</v>
      </c>
      <c r="X42" s="1264"/>
      <c r="Y42" s="3421"/>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9"/>
      <c r="Q43" s="1262" t="str">
        <f t="shared" si="11"/>
        <v>内部装修维护情况</v>
      </c>
      <c r="R43" s="666" t="s">
        <v>18</v>
      </c>
      <c r="S43" s="667">
        <f t="shared" si="12"/>
        <v>100</v>
      </c>
      <c r="T43" s="666" t="s">
        <v>18</v>
      </c>
      <c r="U43" s="667">
        <f t="shared" si="13"/>
        <v>100</v>
      </c>
      <c r="V43" s="666" t="s">
        <v>18</v>
      </c>
      <c r="W43" s="667">
        <f t="shared" si="14"/>
        <v>100</v>
      </c>
      <c r="X43" s="1264"/>
      <c r="Y43" s="3421"/>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9"/>
      <c r="Q44" s="529">
        <f t="shared" si="11"/>
        <v>111</v>
      </c>
      <c r="R44" s="663" t="s">
        <v>18</v>
      </c>
      <c r="S44" s="664">
        <f t="shared" si="12"/>
        <v>100</v>
      </c>
      <c r="T44" s="663" t="s">
        <v>18</v>
      </c>
      <c r="U44" s="664">
        <f t="shared" si="13"/>
        <v>100</v>
      </c>
      <c r="V44" s="663" t="s">
        <v>18</v>
      </c>
      <c r="W44" s="664">
        <f t="shared" si="14"/>
        <v>100</v>
      </c>
      <c r="X44" s="665"/>
      <c r="Y44" s="3421"/>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9"/>
      <c r="Q45" s="1262">
        <f t="shared" si="11"/>
        <v>111</v>
      </c>
      <c r="R45" s="666" t="s">
        <v>18</v>
      </c>
      <c r="S45" s="667">
        <f t="shared" si="12"/>
        <v>100</v>
      </c>
      <c r="T45" s="666" t="s">
        <v>18</v>
      </c>
      <c r="U45" s="667">
        <f t="shared" si="13"/>
        <v>100</v>
      </c>
      <c r="V45" s="666" t="s">
        <v>18</v>
      </c>
      <c r="W45" s="667">
        <f t="shared" si="14"/>
        <v>100</v>
      </c>
      <c r="X45" s="1264"/>
      <c r="Y45" s="3421"/>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20"/>
      <c r="Q46" s="1262">
        <f t="shared" si="11"/>
        <v>111</v>
      </c>
      <c r="R46" s="666" t="s">
        <v>17</v>
      </c>
      <c r="S46" s="667">
        <f t="shared" si="12"/>
        <v>100</v>
      </c>
      <c r="T46" s="666" t="s">
        <v>17</v>
      </c>
      <c r="U46" s="667">
        <f t="shared" si="13"/>
        <v>100</v>
      </c>
      <c r="V46" s="666" t="s">
        <v>17</v>
      </c>
      <c r="W46" s="667">
        <f t="shared" si="14"/>
        <v>100</v>
      </c>
      <c r="X46" s="1264"/>
      <c r="Y46" s="3422"/>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15" t="str">
        <f>A47</f>
        <v>成交单价（元/平方米）</v>
      </c>
      <c r="Q47" s="3415"/>
      <c r="R47" s="3410">
        <f>E47</f>
        <v>0</v>
      </c>
      <c r="S47" s="3410"/>
      <c r="T47" s="3410">
        <f>G47</f>
        <v>0</v>
      </c>
      <c r="U47" s="3410"/>
      <c r="V47" s="3410">
        <f>I47</f>
        <v>0</v>
      </c>
      <c r="W47" s="3410"/>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7049.7000000000007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5" t="s">
        <v>1771</v>
      </c>
      <c r="S4" s="3386"/>
      <c r="T4" s="3385" t="s">
        <v>1772</v>
      </c>
      <c r="U4" s="3386"/>
      <c r="V4" s="3410" t="s">
        <v>1773</v>
      </c>
      <c r="W4" s="3410"/>
      <c r="X4" s="1264"/>
      <c r="Y4" s="3385" t="s">
        <v>1775</v>
      </c>
      <c r="Z4" s="3386"/>
      <c r="AA4" s="3380" t="s">
        <v>1771</v>
      </c>
      <c r="AB4" s="3410" t="s">
        <v>1772</v>
      </c>
      <c r="AC4" s="3380" t="s">
        <v>1773</v>
      </c>
    </row>
    <row r="5" spans="1:29" ht="15">
      <c r="A5" s="347"/>
      <c r="B5" s="348"/>
      <c r="C5" s="3391" t="s">
        <v>1673</v>
      </c>
      <c r="D5" s="3392"/>
      <c r="E5" s="3389" t="s">
        <v>1674</v>
      </c>
      <c r="F5" s="3390"/>
      <c r="G5" s="3391" t="s">
        <v>1675</v>
      </c>
      <c r="H5" s="3392"/>
      <c r="I5" s="3391" t="s">
        <v>1676</v>
      </c>
      <c r="J5" s="3392"/>
      <c r="K5" s="536"/>
      <c r="L5" s="2486"/>
      <c r="M5" s="2487"/>
      <c r="N5" s="2487"/>
      <c r="O5" s="2487"/>
      <c r="P5" s="3404"/>
      <c r="Q5" s="3405"/>
      <c r="R5" s="3387"/>
      <c r="S5" s="3388"/>
      <c r="T5" s="3387"/>
      <c r="U5" s="3388"/>
      <c r="V5" s="3410"/>
      <c r="W5" s="3410"/>
      <c r="X5" s="1264"/>
      <c r="Y5" s="3387"/>
      <c r="Z5" s="3388"/>
      <c r="AA5" s="3381"/>
      <c r="AB5" s="3410"/>
      <c r="AC5" s="3381"/>
    </row>
    <row r="6" spans="1:29" ht="15.75" thickBot="1">
      <c r="A6" s="349"/>
      <c r="B6" s="350"/>
      <c r="C6" s="3393" t="s">
        <v>1677</v>
      </c>
      <c r="D6" s="3394"/>
      <c r="E6" s="3395" t="s">
        <v>1677</v>
      </c>
      <c r="F6" s="3396"/>
      <c r="G6" s="3393" t="s">
        <v>1677</v>
      </c>
      <c r="H6" s="3394"/>
      <c r="I6" s="3393" t="s">
        <v>1677</v>
      </c>
      <c r="J6" s="3394"/>
      <c r="K6" s="536" t="s">
        <v>1678</v>
      </c>
      <c r="L6" s="2486"/>
      <c r="M6" s="2487"/>
      <c r="N6" s="2487"/>
      <c r="O6" s="2487"/>
      <c r="P6" s="3406"/>
      <c r="Q6" s="3407"/>
      <c r="R6" s="3387"/>
      <c r="S6" s="3388"/>
      <c r="T6" s="3408"/>
      <c r="U6" s="3409"/>
      <c r="V6" s="3410"/>
      <c r="W6" s="3410"/>
      <c r="X6" s="1264"/>
      <c r="Y6" s="3408"/>
      <c r="Z6" s="3409"/>
      <c r="AA6" s="3382"/>
      <c r="AB6" s="3410"/>
      <c r="AC6" s="3382"/>
    </row>
    <row r="7" spans="1:29" s="101" customFormat="1" ht="15.75" thickBot="1">
      <c r="A7" s="351" t="s">
        <v>1679</v>
      </c>
      <c r="B7" s="352"/>
      <c r="C7" s="353">
        <f>'数据-取费表'!B2</f>
        <v>45561</v>
      </c>
      <c r="D7" s="354">
        <v>100</v>
      </c>
      <c r="E7" s="355"/>
      <c r="F7" s="356">
        <f>SUMIF(58:58,YEAR(E7)&amp;"-"&amp;MONTH(E7),59:59)</f>
        <v>0</v>
      </c>
      <c r="G7" s="355"/>
      <c r="H7" s="354">
        <f>SUMIF(58:58,YEAR(G7)&amp;"-"&amp;MONTH(G7),59:59)</f>
        <v>0</v>
      </c>
      <c r="I7" s="355"/>
      <c r="J7" s="354">
        <f>SUMIF(58:58,YEAR(I7)&amp;"-"&amp;MONTH(I7),59:59)</f>
        <v>0</v>
      </c>
      <c r="K7" s="38"/>
      <c r="L7" s="2488"/>
      <c r="M7" s="2439"/>
      <c r="N7" s="2439"/>
      <c r="O7" s="2439"/>
      <c r="P7" s="3383" t="s">
        <v>1680</v>
      </c>
      <c r="Q7" s="3411"/>
      <c r="R7" s="663" t="s">
        <v>14</v>
      </c>
      <c r="S7" s="664">
        <f t="shared" ref="S7:S15" si="0">F7</f>
        <v>0</v>
      </c>
      <c r="T7" s="663" t="s">
        <v>14</v>
      </c>
      <c r="U7" s="664">
        <f t="shared" ref="U7:U15" si="1">H7</f>
        <v>0</v>
      </c>
      <c r="V7" s="663" t="s">
        <v>14</v>
      </c>
      <c r="W7" s="664">
        <f t="shared" ref="W7:W15" si="2">J7</f>
        <v>0</v>
      </c>
      <c r="X7" s="665"/>
      <c r="Y7" s="3383" t="s">
        <v>1680</v>
      </c>
      <c r="Z7" s="3384"/>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83" t="s">
        <v>1683</v>
      </c>
      <c r="Q8" s="3384"/>
      <c r="R8" s="663" t="s">
        <v>14</v>
      </c>
      <c r="S8" s="664">
        <f t="shared" si="0"/>
        <v>100</v>
      </c>
      <c r="T8" s="663" t="s">
        <v>14</v>
      </c>
      <c r="U8" s="664">
        <f t="shared" si="1"/>
        <v>100</v>
      </c>
      <c r="V8" s="663" t="s">
        <v>14</v>
      </c>
      <c r="W8" s="664">
        <f t="shared" si="2"/>
        <v>100</v>
      </c>
      <c r="X8" s="665"/>
      <c r="Y8" s="3383" t="s">
        <v>1683</v>
      </c>
      <c r="Z8" s="3384"/>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97"/>
      <c r="Q11" s="529" t="str">
        <f t="shared" si="6"/>
        <v>容积率</v>
      </c>
      <c r="R11" s="663" t="s">
        <v>14</v>
      </c>
      <c r="S11" s="664" t="e">
        <f t="shared" si="0"/>
        <v>#N/A</v>
      </c>
      <c r="T11" s="663" t="s">
        <v>14</v>
      </c>
      <c r="U11" s="664" t="e">
        <f t="shared" si="1"/>
        <v>#N/A</v>
      </c>
      <c r="V11" s="663" t="s">
        <v>14</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23" t="s">
        <v>1691</v>
      </c>
      <c r="Q15" s="1262" t="str">
        <f t="shared" si="6"/>
        <v>商业繁华度</v>
      </c>
      <c r="R15" s="666" t="s">
        <v>14</v>
      </c>
      <c r="S15" s="667">
        <f t="shared" si="0"/>
        <v>100</v>
      </c>
      <c r="T15" s="666" t="s">
        <v>14</v>
      </c>
      <c r="U15" s="667">
        <f t="shared" si="1"/>
        <v>100</v>
      </c>
      <c r="V15" s="666" t="s">
        <v>14</v>
      </c>
      <c r="W15" s="667">
        <f t="shared" si="2"/>
        <v>100</v>
      </c>
      <c r="X15" s="1264"/>
      <c r="Y15" s="3416"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24"/>
      <c r="Q16" s="1262"/>
      <c r="R16" s="666"/>
      <c r="S16" s="667"/>
      <c r="T16" s="666"/>
      <c r="U16" s="667"/>
      <c r="V16" s="666"/>
      <c r="W16" s="667"/>
      <c r="X16" s="1264"/>
      <c r="Y16" s="3417"/>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24"/>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24"/>
      <c r="Q18" s="1262"/>
      <c r="R18" s="666"/>
      <c r="S18" s="667"/>
      <c r="T18" s="666"/>
      <c r="U18" s="667"/>
      <c r="V18" s="666"/>
      <c r="W18" s="667"/>
      <c r="X18" s="1264"/>
      <c r="Y18" s="3417"/>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24"/>
      <c r="Q19" s="1262" t="str">
        <f>B19</f>
        <v>公共配套设施</v>
      </c>
      <c r="R19" s="666" t="s">
        <v>14</v>
      </c>
      <c r="S19" s="667">
        <f>F19</f>
        <v>100</v>
      </c>
      <c r="T19" s="666" t="s">
        <v>14</v>
      </c>
      <c r="U19" s="667">
        <f>H19</f>
        <v>100</v>
      </c>
      <c r="V19" s="666" t="s">
        <v>14</v>
      </c>
      <c r="W19" s="667">
        <f>J19</f>
        <v>100</v>
      </c>
      <c r="X19" s="1264"/>
      <c r="Y19" s="341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24"/>
      <c r="Q20" s="1262"/>
      <c r="R20" s="666"/>
      <c r="S20" s="667"/>
      <c r="T20" s="666"/>
      <c r="U20" s="667"/>
      <c r="V20" s="666"/>
      <c r="W20" s="667"/>
      <c r="X20" s="1264"/>
      <c r="Y20" s="3417"/>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24"/>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24"/>
      <c r="Q22" s="1262"/>
      <c r="R22" s="666"/>
      <c r="S22" s="667"/>
      <c r="T22" s="666"/>
      <c r="U22" s="667"/>
      <c r="V22" s="666"/>
      <c r="W22" s="667"/>
      <c r="X22" s="1264"/>
      <c r="Y22" s="3417"/>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24"/>
      <c r="Q23" s="1262" t="str">
        <f>B23</f>
        <v>自然及人文环境</v>
      </c>
      <c r="R23" s="666" t="s">
        <v>14</v>
      </c>
      <c r="S23" s="667">
        <f>F23</f>
        <v>100</v>
      </c>
      <c r="T23" s="666" t="s">
        <v>14</v>
      </c>
      <c r="U23" s="667">
        <f>H23</f>
        <v>100</v>
      </c>
      <c r="V23" s="666" t="s">
        <v>14</v>
      </c>
      <c r="W23" s="667">
        <f>J23</f>
        <v>100</v>
      </c>
      <c r="X23" s="1264"/>
      <c r="Y23" s="3417"/>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24"/>
      <c r="Q24" s="1262"/>
      <c r="R24" s="666"/>
      <c r="S24" s="667"/>
      <c r="T24" s="666"/>
      <c r="U24" s="667"/>
      <c r="V24" s="666"/>
      <c r="W24" s="667"/>
      <c r="X24" s="1264"/>
      <c r="Y24" s="3417"/>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24"/>
      <c r="Q25" s="1262" t="str">
        <f t="shared" ref="Q25:Q46" si="11">B25</f>
        <v>临街状况</v>
      </c>
      <c r="R25" s="666" t="s">
        <v>14</v>
      </c>
      <c r="S25" s="667">
        <f>F25</f>
        <v>100</v>
      </c>
      <c r="T25" s="666" t="s">
        <v>14</v>
      </c>
      <c r="U25" s="667">
        <f>H25</f>
        <v>100</v>
      </c>
      <c r="V25" s="666" t="s">
        <v>14</v>
      </c>
      <c r="W25" s="667">
        <f>J25</f>
        <v>100</v>
      </c>
      <c r="X25" s="1264"/>
      <c r="Y25" s="3417"/>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24"/>
      <c r="Q26" s="1262" t="str">
        <f t="shared" si="11"/>
        <v>平面位置/可视性</v>
      </c>
      <c r="R26" s="666" t="s">
        <v>14</v>
      </c>
      <c r="S26" s="667">
        <f>F26</f>
        <v>100</v>
      </c>
      <c r="T26" s="666" t="s">
        <v>14</v>
      </c>
      <c r="U26" s="667">
        <f>H26</f>
        <v>100</v>
      </c>
      <c r="V26" s="666" t="s">
        <v>14</v>
      </c>
      <c r="W26" s="667">
        <f>J26</f>
        <v>100</v>
      </c>
      <c r="X26" s="1264"/>
      <c r="Y26" s="3417"/>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24"/>
      <c r="Q27" s="529" t="str">
        <f t="shared" si="11"/>
        <v>人流量</v>
      </c>
      <c r="R27" s="663" t="s">
        <v>14</v>
      </c>
      <c r="S27" s="664">
        <f>F27</f>
        <v>100</v>
      </c>
      <c r="T27" s="663" t="s">
        <v>14</v>
      </c>
      <c r="U27" s="664">
        <f>H27</f>
        <v>100</v>
      </c>
      <c r="V27" s="663" t="s">
        <v>14</v>
      </c>
      <c r="W27" s="664">
        <f>J27</f>
        <v>100</v>
      </c>
      <c r="X27" s="665"/>
      <c r="Y27" s="3417"/>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2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7"/>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24"/>
      <c r="Q29" s="1262">
        <f t="shared" si="11"/>
        <v>111</v>
      </c>
      <c r="R29" s="666" t="s">
        <v>14</v>
      </c>
      <c r="S29" s="667">
        <f t="shared" si="12"/>
        <v>100</v>
      </c>
      <c r="T29" s="666" t="s">
        <v>14</v>
      </c>
      <c r="U29" s="667">
        <f t="shared" si="13"/>
        <v>100</v>
      </c>
      <c r="V29" s="666" t="s">
        <v>14</v>
      </c>
      <c r="W29" s="667">
        <f t="shared" si="14"/>
        <v>100</v>
      </c>
      <c r="X29" s="1264"/>
      <c r="Y29" s="3417"/>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24"/>
      <c r="Q30" s="1262">
        <f t="shared" si="11"/>
        <v>111</v>
      </c>
      <c r="R30" s="666" t="s">
        <v>14</v>
      </c>
      <c r="S30" s="667">
        <f t="shared" si="12"/>
        <v>100</v>
      </c>
      <c r="T30" s="666" t="s">
        <v>14</v>
      </c>
      <c r="U30" s="667">
        <f t="shared" si="13"/>
        <v>100</v>
      </c>
      <c r="V30" s="666" t="s">
        <v>14</v>
      </c>
      <c r="W30" s="667">
        <f t="shared" si="14"/>
        <v>100</v>
      </c>
      <c r="X30" s="1264"/>
      <c r="Y30" s="3417"/>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24"/>
      <c r="Q31" s="1262">
        <f t="shared" si="11"/>
        <v>111</v>
      </c>
      <c r="R31" s="666" t="s">
        <v>14</v>
      </c>
      <c r="S31" s="667">
        <f t="shared" si="12"/>
        <v>100</v>
      </c>
      <c r="T31" s="666" t="s">
        <v>14</v>
      </c>
      <c r="U31" s="667">
        <f t="shared" si="13"/>
        <v>100</v>
      </c>
      <c r="V31" s="666" t="s">
        <v>14</v>
      </c>
      <c r="W31" s="667">
        <f t="shared" si="14"/>
        <v>100</v>
      </c>
      <c r="X31" s="1264"/>
      <c r="Y31" s="3417"/>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8" t="s">
        <v>1696</v>
      </c>
      <c r="Q32" s="1262" t="str">
        <f t="shared" si="11"/>
        <v>商业类型</v>
      </c>
      <c r="R32" s="666" t="s">
        <v>14</v>
      </c>
      <c r="S32" s="667">
        <f t="shared" si="12"/>
        <v>100</v>
      </c>
      <c r="T32" s="666" t="s">
        <v>14</v>
      </c>
      <c r="U32" s="667">
        <f t="shared" si="13"/>
        <v>100</v>
      </c>
      <c r="V32" s="666" t="s">
        <v>14</v>
      </c>
      <c r="W32" s="667">
        <f t="shared" si="14"/>
        <v>100</v>
      </c>
      <c r="X32" s="1264"/>
      <c r="Y32" s="342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19"/>
      <c r="Q33" s="530" t="str">
        <f t="shared" si="11"/>
        <v>项目建筑规模</v>
      </c>
      <c r="R33" s="668" t="s">
        <v>14</v>
      </c>
      <c r="S33" s="669" t="e">
        <f t="shared" si="12"/>
        <v>#N/A</v>
      </c>
      <c r="T33" s="668" t="s">
        <v>14</v>
      </c>
      <c r="U33" s="669" t="e">
        <f t="shared" si="13"/>
        <v>#N/A</v>
      </c>
      <c r="V33" s="668" t="s">
        <v>14</v>
      </c>
      <c r="W33" s="669" t="e">
        <f t="shared" si="14"/>
        <v>#N/A</v>
      </c>
      <c r="X33" s="670"/>
      <c r="Y33" s="342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9"/>
      <c r="Q34" s="1262" t="str">
        <f t="shared" si="11"/>
        <v>建筑结构</v>
      </c>
      <c r="R34" s="666" t="s">
        <v>14</v>
      </c>
      <c r="S34" s="667">
        <f t="shared" si="12"/>
        <v>100</v>
      </c>
      <c r="T34" s="666" t="s">
        <v>14</v>
      </c>
      <c r="U34" s="667">
        <f t="shared" si="13"/>
        <v>100</v>
      </c>
      <c r="V34" s="666" t="s">
        <v>14</v>
      </c>
      <c r="W34" s="667">
        <f t="shared" si="14"/>
        <v>100</v>
      </c>
      <c r="X34" s="1264"/>
      <c r="Y34" s="342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9"/>
      <c r="Q35" s="1262" t="str">
        <f t="shared" si="11"/>
        <v>公共部分装修</v>
      </c>
      <c r="R35" s="666" t="s">
        <v>14</v>
      </c>
      <c r="S35" s="667">
        <f t="shared" si="12"/>
        <v>100</v>
      </c>
      <c r="T35" s="666" t="s">
        <v>14</v>
      </c>
      <c r="U35" s="667">
        <f t="shared" si="13"/>
        <v>100</v>
      </c>
      <c r="V35" s="666" t="s">
        <v>14</v>
      </c>
      <c r="W35" s="667">
        <f t="shared" si="14"/>
        <v>100</v>
      </c>
      <c r="X35" s="1264"/>
      <c r="Y35" s="342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19"/>
      <c r="Q36" s="1262" t="str">
        <f t="shared" si="11"/>
        <v>成新度</v>
      </c>
      <c r="R36" s="666" t="s">
        <v>14</v>
      </c>
      <c r="S36" s="667" t="e">
        <f t="shared" si="12"/>
        <v>#N/A</v>
      </c>
      <c r="T36" s="666" t="s">
        <v>14</v>
      </c>
      <c r="U36" s="667" t="e">
        <f t="shared" si="13"/>
        <v>#N/A</v>
      </c>
      <c r="V36" s="666" t="s">
        <v>14</v>
      </c>
      <c r="W36" s="667" t="e">
        <f t="shared" si="14"/>
        <v>#N/A</v>
      </c>
      <c r="X36" s="1264"/>
      <c r="Y36" s="3421"/>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9"/>
      <c r="Q37" s="529" t="str">
        <f t="shared" si="11"/>
        <v>市政基础设施</v>
      </c>
      <c r="R37" s="663" t="s">
        <v>14</v>
      </c>
      <c r="S37" s="664">
        <f t="shared" si="12"/>
        <v>100</v>
      </c>
      <c r="T37" s="663" t="s">
        <v>14</v>
      </c>
      <c r="U37" s="664">
        <f t="shared" si="13"/>
        <v>100</v>
      </c>
      <c r="V37" s="663" t="s">
        <v>14</v>
      </c>
      <c r="W37" s="664">
        <f t="shared" si="14"/>
        <v>100</v>
      </c>
      <c r="X37" s="665"/>
      <c r="Y37" s="3421"/>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9" t="s">
        <v>1696</v>
      </c>
      <c r="Q38" s="1262" t="str">
        <f t="shared" si="11"/>
        <v>业态</v>
      </c>
      <c r="R38" s="666" t="s">
        <v>14</v>
      </c>
      <c r="S38" s="667">
        <f t="shared" si="12"/>
        <v>100</v>
      </c>
      <c r="T38" s="666" t="s">
        <v>14</v>
      </c>
      <c r="U38" s="667">
        <f t="shared" si="13"/>
        <v>100</v>
      </c>
      <c r="V38" s="666" t="s">
        <v>14</v>
      </c>
      <c r="W38" s="667">
        <f t="shared" si="14"/>
        <v>100</v>
      </c>
      <c r="X38" s="1264"/>
      <c r="Y38" s="342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9"/>
      <c r="Q39" s="1262" t="str">
        <f t="shared" si="11"/>
        <v>层高</v>
      </c>
      <c r="R39" s="666" t="s">
        <v>14</v>
      </c>
      <c r="S39" s="667">
        <f t="shared" si="12"/>
        <v>100</v>
      </c>
      <c r="T39" s="666" t="s">
        <v>14</v>
      </c>
      <c r="U39" s="667">
        <f t="shared" si="13"/>
        <v>100</v>
      </c>
      <c r="V39" s="666" t="s">
        <v>14</v>
      </c>
      <c r="W39" s="667">
        <f t="shared" si="14"/>
        <v>100</v>
      </c>
      <c r="X39" s="1264"/>
      <c r="Y39" s="342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9"/>
      <c r="Q40" s="1262" t="str">
        <f t="shared" si="11"/>
        <v>单套建筑面积</v>
      </c>
      <c r="R40" s="666" t="s">
        <v>14</v>
      </c>
      <c r="S40" s="667">
        <f t="shared" si="12"/>
        <v>100</v>
      </c>
      <c r="T40" s="666" t="s">
        <v>14</v>
      </c>
      <c r="U40" s="667">
        <f t="shared" si="13"/>
        <v>100</v>
      </c>
      <c r="V40" s="666" t="s">
        <v>14</v>
      </c>
      <c r="W40" s="667">
        <f t="shared" si="14"/>
        <v>100</v>
      </c>
      <c r="X40" s="1264"/>
      <c r="Y40" s="342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9"/>
      <c r="Q41" s="530" t="str">
        <f t="shared" si="11"/>
        <v>进深比</v>
      </c>
      <c r="R41" s="668" t="s">
        <v>14</v>
      </c>
      <c r="S41" s="669">
        <f t="shared" si="12"/>
        <v>100</v>
      </c>
      <c r="T41" s="668" t="s">
        <v>14</v>
      </c>
      <c r="U41" s="669">
        <f t="shared" si="13"/>
        <v>100</v>
      </c>
      <c r="V41" s="668" t="s">
        <v>14</v>
      </c>
      <c r="W41" s="669">
        <f t="shared" si="14"/>
        <v>100</v>
      </c>
      <c r="X41" s="670"/>
      <c r="Y41" s="342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9"/>
      <c r="Q42" s="1262" t="str">
        <f t="shared" si="11"/>
        <v>内部装修</v>
      </c>
      <c r="R42" s="666" t="s">
        <v>14</v>
      </c>
      <c r="S42" s="667">
        <f t="shared" si="12"/>
        <v>100</v>
      </c>
      <c r="T42" s="666" t="s">
        <v>14</v>
      </c>
      <c r="U42" s="667">
        <f t="shared" si="13"/>
        <v>100</v>
      </c>
      <c r="V42" s="666" t="s">
        <v>14</v>
      </c>
      <c r="W42" s="667">
        <f t="shared" si="14"/>
        <v>100</v>
      </c>
      <c r="X42" s="1264"/>
      <c r="Y42" s="3421"/>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9"/>
      <c r="Q43" s="1262" t="str">
        <f t="shared" si="11"/>
        <v>内部装修维护情况</v>
      </c>
      <c r="R43" s="666" t="s">
        <v>14</v>
      </c>
      <c r="S43" s="667">
        <f t="shared" si="12"/>
        <v>100</v>
      </c>
      <c r="T43" s="666" t="s">
        <v>14</v>
      </c>
      <c r="U43" s="667">
        <f t="shared" si="13"/>
        <v>100</v>
      </c>
      <c r="V43" s="666" t="s">
        <v>14</v>
      </c>
      <c r="W43" s="667">
        <f t="shared" si="14"/>
        <v>100</v>
      </c>
      <c r="X43" s="1264"/>
      <c r="Y43" s="3421"/>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9"/>
      <c r="Q44" s="529">
        <f t="shared" si="11"/>
        <v>111</v>
      </c>
      <c r="R44" s="663" t="s">
        <v>14</v>
      </c>
      <c r="S44" s="664">
        <f t="shared" si="12"/>
        <v>100</v>
      </c>
      <c r="T44" s="663" t="s">
        <v>14</v>
      </c>
      <c r="U44" s="664">
        <f t="shared" si="13"/>
        <v>100</v>
      </c>
      <c r="V44" s="663" t="s">
        <v>14</v>
      </c>
      <c r="W44" s="664">
        <f t="shared" si="14"/>
        <v>100</v>
      </c>
      <c r="X44" s="665"/>
      <c r="Y44" s="3421"/>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9"/>
      <c r="Q45" s="1262">
        <f t="shared" si="11"/>
        <v>111</v>
      </c>
      <c r="R45" s="666" t="s">
        <v>14</v>
      </c>
      <c r="S45" s="667">
        <f t="shared" si="12"/>
        <v>100</v>
      </c>
      <c r="T45" s="666" t="s">
        <v>14</v>
      </c>
      <c r="U45" s="667">
        <f t="shared" si="13"/>
        <v>100</v>
      </c>
      <c r="V45" s="666" t="s">
        <v>14</v>
      </c>
      <c r="W45" s="667">
        <f t="shared" si="14"/>
        <v>100</v>
      </c>
      <c r="X45" s="1264"/>
      <c r="Y45" s="3421"/>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20"/>
      <c r="Q46" s="1262">
        <f t="shared" si="11"/>
        <v>111</v>
      </c>
      <c r="R46" s="666" t="s">
        <v>14</v>
      </c>
      <c r="S46" s="667">
        <f t="shared" si="12"/>
        <v>100</v>
      </c>
      <c r="T46" s="666" t="s">
        <v>14</v>
      </c>
      <c r="U46" s="667">
        <f t="shared" si="13"/>
        <v>100</v>
      </c>
      <c r="V46" s="666" t="s">
        <v>14</v>
      </c>
      <c r="W46" s="667">
        <f t="shared" si="14"/>
        <v>100</v>
      </c>
      <c r="X46" s="1264"/>
      <c r="Y46" s="3422"/>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415" t="str">
        <f>A47</f>
        <v>成交单价（元/平方米）</v>
      </c>
      <c r="Q47" s="3415"/>
      <c r="R47" s="3410">
        <f>E47</f>
        <v>0</v>
      </c>
      <c r="S47" s="3410"/>
      <c r="T47" s="3410">
        <f>G47</f>
        <v>0</v>
      </c>
      <c r="U47" s="3410"/>
      <c r="V47" s="3410">
        <f>I47</f>
        <v>0</v>
      </c>
      <c r="W47" s="3410"/>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7049.7000000000007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859"/>
      <c r="M4" s="860"/>
      <c r="N4" s="860"/>
      <c r="O4" s="860"/>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7"/>
      <c r="B5" s="348"/>
      <c r="C5" s="3391" t="s">
        <v>1673</v>
      </c>
      <c r="D5" s="3392"/>
      <c r="E5" s="3389" t="s">
        <v>1674</v>
      </c>
      <c r="F5" s="3390"/>
      <c r="G5" s="3391" t="s">
        <v>1675</v>
      </c>
      <c r="H5" s="3392"/>
      <c r="I5" s="3391" t="s">
        <v>1676</v>
      </c>
      <c r="J5" s="3392"/>
      <c r="K5" s="536"/>
      <c r="L5" s="859"/>
      <c r="M5" s="860"/>
      <c r="N5" s="860"/>
      <c r="O5" s="860"/>
      <c r="P5" s="3404"/>
      <c r="Q5" s="3405"/>
      <c r="R5" s="3387"/>
      <c r="S5" s="3388"/>
      <c r="T5" s="3387"/>
      <c r="U5" s="3388"/>
      <c r="V5" s="3410"/>
      <c r="W5" s="3410"/>
      <c r="X5" s="1264"/>
      <c r="Y5" s="3387"/>
      <c r="Z5" s="3388"/>
      <c r="AA5" s="3381"/>
      <c r="AB5" s="3381"/>
      <c r="AC5" s="3381"/>
    </row>
    <row r="6" spans="1:29" ht="15.75" thickBot="1">
      <c r="A6" s="349"/>
      <c r="B6" s="350"/>
      <c r="C6" s="3393" t="s">
        <v>1677</v>
      </c>
      <c r="D6" s="3394"/>
      <c r="E6" s="3395" t="s">
        <v>1677</v>
      </c>
      <c r="F6" s="3396"/>
      <c r="G6" s="3393" t="s">
        <v>1677</v>
      </c>
      <c r="H6" s="3394"/>
      <c r="I6" s="3393" t="s">
        <v>1677</v>
      </c>
      <c r="J6" s="3394"/>
      <c r="K6" s="536" t="s">
        <v>1678</v>
      </c>
      <c r="L6" s="859"/>
      <c r="M6" s="860"/>
      <c r="N6" s="860"/>
      <c r="O6" s="860"/>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SUMIF(52:52,YEAR(E7)&amp;"-"&amp;MONTH(E7),53:53)</f>
        <v>0</v>
      </c>
      <c r="G7" s="355"/>
      <c r="H7" s="354">
        <f>SUMIF(52:52,YEAR(G7)&amp;"-"&amp;MONTH(G7),53:53)</f>
        <v>0</v>
      </c>
      <c r="I7" s="355"/>
      <c r="J7" s="354">
        <f>SUMIF(52:52,YEAR(I7)&amp;"-"&amp;MONTH(I7),53:53)</f>
        <v>0</v>
      </c>
      <c r="K7" s="38"/>
      <c r="L7" s="861"/>
      <c r="M7" s="862"/>
      <c r="N7" s="862"/>
      <c r="O7" s="862"/>
      <c r="P7" s="3383" t="s">
        <v>1680</v>
      </c>
      <c r="Q7" s="3411"/>
      <c r="R7" s="663" t="s">
        <v>14</v>
      </c>
      <c r="S7" s="664">
        <f t="shared" ref="S7:S15" si="0">F7</f>
        <v>0</v>
      </c>
      <c r="T7" s="663" t="s">
        <v>14</v>
      </c>
      <c r="U7" s="664">
        <f t="shared" ref="U7:U15" si="1">H7</f>
        <v>0</v>
      </c>
      <c r="V7" s="663" t="s">
        <v>14</v>
      </c>
      <c r="W7" s="664">
        <f t="shared" ref="W7:W15" si="2">J7</f>
        <v>0</v>
      </c>
      <c r="X7" s="665"/>
      <c r="Y7" s="3383" t="s">
        <v>1680</v>
      </c>
      <c r="Z7" s="3384"/>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3" t="s">
        <v>1683</v>
      </c>
      <c r="Q8" s="3384"/>
      <c r="R8" s="663" t="s">
        <v>14</v>
      </c>
      <c r="S8" s="664">
        <f t="shared" si="0"/>
        <v>100</v>
      </c>
      <c r="T8" s="663" t="s">
        <v>14</v>
      </c>
      <c r="U8" s="664">
        <f t="shared" si="1"/>
        <v>100</v>
      </c>
      <c r="V8" s="663" t="s">
        <v>14</v>
      </c>
      <c r="W8" s="664">
        <f t="shared" si="2"/>
        <v>100</v>
      </c>
      <c r="X8" s="665"/>
      <c r="Y8" s="3383" t="s">
        <v>1683</v>
      </c>
      <c r="Z8" s="3384"/>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5"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15"/>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5"/>
      <c r="Q11" s="529" t="str">
        <f t="shared" si="6"/>
        <v>容积率</v>
      </c>
      <c r="R11" s="663" t="s">
        <v>14</v>
      </c>
      <c r="S11" s="664">
        <f t="shared" si="0"/>
        <v>100</v>
      </c>
      <c r="T11" s="663" t="s">
        <v>14</v>
      </c>
      <c r="U11" s="664">
        <f t="shared" si="1"/>
        <v>100</v>
      </c>
      <c r="V11" s="663" t="s">
        <v>14</v>
      </c>
      <c r="W11" s="664">
        <f t="shared" si="2"/>
        <v>100</v>
      </c>
      <c r="X11" s="665"/>
      <c r="Y11" s="332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5"/>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5"/>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5"/>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6" t="s">
        <v>1691</v>
      </c>
      <c r="Q15" s="1262" t="str">
        <f t="shared" si="6"/>
        <v>产业集聚程度</v>
      </c>
      <c r="R15" s="666" t="s">
        <v>14</v>
      </c>
      <c r="S15" s="667">
        <f t="shared" si="0"/>
        <v>100</v>
      </c>
      <c r="T15" s="666" t="s">
        <v>14</v>
      </c>
      <c r="U15" s="667">
        <f t="shared" si="1"/>
        <v>100</v>
      </c>
      <c r="V15" s="666" t="s">
        <v>14</v>
      </c>
      <c r="W15" s="667">
        <f t="shared" si="2"/>
        <v>100</v>
      </c>
      <c r="X15" s="1264"/>
      <c r="Y15" s="3416"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7"/>
      <c r="Q16" s="1262"/>
      <c r="R16" s="666"/>
      <c r="S16" s="667"/>
      <c r="T16" s="666"/>
      <c r="U16" s="667"/>
      <c r="V16" s="666"/>
      <c r="W16" s="667"/>
      <c r="X16" s="1264"/>
      <c r="Y16" s="3417"/>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7"/>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7"/>
      <c r="Q18" s="1262"/>
      <c r="R18" s="666"/>
      <c r="S18" s="667"/>
      <c r="T18" s="666"/>
      <c r="U18" s="667"/>
      <c r="V18" s="666"/>
      <c r="W18" s="667"/>
      <c r="X18" s="1264"/>
      <c r="Y18" s="3417"/>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7"/>
      <c r="Q19" s="1262" t="str">
        <f>B19</f>
        <v>公共配套设施</v>
      </c>
      <c r="R19" s="666" t="s">
        <v>14</v>
      </c>
      <c r="S19" s="667">
        <f>F19</f>
        <v>100</v>
      </c>
      <c r="T19" s="666" t="s">
        <v>14</v>
      </c>
      <c r="U19" s="667">
        <f>H19</f>
        <v>100</v>
      </c>
      <c r="V19" s="666" t="s">
        <v>14</v>
      </c>
      <c r="W19" s="667">
        <f>J19</f>
        <v>100</v>
      </c>
      <c r="X19" s="1264"/>
      <c r="Y19" s="341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7"/>
      <c r="Q20" s="1262"/>
      <c r="R20" s="666"/>
      <c r="S20" s="667"/>
      <c r="T20" s="666"/>
      <c r="U20" s="667"/>
      <c r="V20" s="666"/>
      <c r="W20" s="667"/>
      <c r="X20" s="1264"/>
      <c r="Y20" s="3417"/>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7"/>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7"/>
      <c r="Q22" s="1262"/>
      <c r="R22" s="666"/>
      <c r="S22" s="667"/>
      <c r="T22" s="666"/>
      <c r="U22" s="667"/>
      <c r="V22" s="666"/>
      <c r="W22" s="667"/>
      <c r="X22" s="1264"/>
      <c r="Y22" s="3417"/>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7"/>
      <c r="Q23" s="1262" t="str">
        <f>B23</f>
        <v>环境质量</v>
      </c>
      <c r="R23" s="666" t="s">
        <v>14</v>
      </c>
      <c r="S23" s="667">
        <f>F23</f>
        <v>100</v>
      </c>
      <c r="T23" s="666" t="s">
        <v>14</v>
      </c>
      <c r="U23" s="667">
        <f>H23</f>
        <v>100</v>
      </c>
      <c r="V23" s="666" t="s">
        <v>14</v>
      </c>
      <c r="W23" s="667">
        <f>J23</f>
        <v>100</v>
      </c>
      <c r="X23" s="1264"/>
      <c r="Y23" s="3417"/>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7"/>
      <c r="Q24" s="1262"/>
      <c r="R24" s="666"/>
      <c r="S24" s="667"/>
      <c r="T24" s="666"/>
      <c r="U24" s="667"/>
      <c r="V24" s="666"/>
      <c r="W24" s="667"/>
      <c r="X24" s="1264"/>
      <c r="Y24" s="3417"/>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7"/>
      <c r="Q25" s="1262">
        <f>B25</f>
        <v>111</v>
      </c>
      <c r="R25" s="666" t="s">
        <v>14</v>
      </c>
      <c r="S25" s="667">
        <f>F25</f>
        <v>100</v>
      </c>
      <c r="T25" s="666" t="s">
        <v>14</v>
      </c>
      <c r="U25" s="667">
        <f>H25</f>
        <v>100</v>
      </c>
      <c r="V25" s="666" t="s">
        <v>14</v>
      </c>
      <c r="W25" s="667">
        <f>J25</f>
        <v>100</v>
      </c>
      <c r="X25" s="1264"/>
      <c r="Y25" s="3417"/>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7"/>
      <c r="Q26" s="1262">
        <f t="shared" ref="Q26:Q40" si="11">B26</f>
        <v>111</v>
      </c>
      <c r="R26" s="666" t="s">
        <v>14</v>
      </c>
      <c r="S26" s="667">
        <f>F26</f>
        <v>100</v>
      </c>
      <c r="T26" s="666" t="s">
        <v>14</v>
      </c>
      <c r="U26" s="667">
        <f>H26</f>
        <v>100</v>
      </c>
      <c r="V26" s="666" t="s">
        <v>14</v>
      </c>
      <c r="W26" s="667">
        <f>J26</f>
        <v>100</v>
      </c>
      <c r="X26" s="1264"/>
      <c r="Y26" s="3417"/>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7"/>
      <c r="Q27" s="529">
        <f t="shared" si="11"/>
        <v>111</v>
      </c>
      <c r="R27" s="663" t="s">
        <v>14</v>
      </c>
      <c r="S27" s="664">
        <f>F27</f>
        <v>100</v>
      </c>
      <c r="T27" s="663" t="s">
        <v>14</v>
      </c>
      <c r="U27" s="664">
        <f>H27</f>
        <v>100</v>
      </c>
      <c r="V27" s="663" t="s">
        <v>14</v>
      </c>
      <c r="W27" s="664">
        <f>J27</f>
        <v>100</v>
      </c>
      <c r="X27" s="665"/>
      <c r="Y27" s="3417"/>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7"/>
      <c r="Q28" s="1262">
        <f t="shared" si="11"/>
        <v>111</v>
      </c>
      <c r="R28" s="666" t="s">
        <v>14</v>
      </c>
      <c r="S28" s="667">
        <f t="shared" ref="S28:S40" si="12">F28</f>
        <v>100</v>
      </c>
      <c r="T28" s="666" t="s">
        <v>14</v>
      </c>
      <c r="U28" s="667">
        <f t="shared" ref="U28:U40" si="13">H28</f>
        <v>100</v>
      </c>
      <c r="V28" s="666" t="s">
        <v>14</v>
      </c>
      <c r="W28" s="667">
        <f t="shared" ref="W28:W40" si="14">J28</f>
        <v>100</v>
      </c>
      <c r="X28" s="1264"/>
      <c r="Y28" s="3417"/>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25" t="s">
        <v>1696</v>
      </c>
      <c r="Q29" s="1262" t="str">
        <f t="shared" si="11"/>
        <v>建筑类型</v>
      </c>
      <c r="R29" s="666" t="s">
        <v>14</v>
      </c>
      <c r="S29" s="667">
        <f t="shared" si="12"/>
        <v>100</v>
      </c>
      <c r="T29" s="666" t="s">
        <v>14</v>
      </c>
      <c r="U29" s="667">
        <f t="shared" si="13"/>
        <v>100</v>
      </c>
      <c r="V29" s="666" t="s">
        <v>14</v>
      </c>
      <c r="W29" s="667">
        <f t="shared" si="14"/>
        <v>100</v>
      </c>
      <c r="X29" s="1264"/>
      <c r="Y29" s="342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1"/>
      <c r="Q30" s="530" t="str">
        <f t="shared" si="11"/>
        <v>项目建筑规模</v>
      </c>
      <c r="R30" s="668" t="s">
        <v>14</v>
      </c>
      <c r="S30" s="669" t="e">
        <f t="shared" si="12"/>
        <v>#N/A</v>
      </c>
      <c r="T30" s="668" t="s">
        <v>14</v>
      </c>
      <c r="U30" s="669" t="e">
        <f t="shared" si="13"/>
        <v>#N/A</v>
      </c>
      <c r="V30" s="668" t="s">
        <v>14</v>
      </c>
      <c r="W30" s="669" t="e">
        <f t="shared" si="14"/>
        <v>#N/A</v>
      </c>
      <c r="X30" s="670"/>
      <c r="Y30" s="342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1"/>
      <c r="Q31" s="1262" t="str">
        <f t="shared" si="11"/>
        <v>建筑结构</v>
      </c>
      <c r="R31" s="666" t="s">
        <v>14</v>
      </c>
      <c r="S31" s="667">
        <f t="shared" si="12"/>
        <v>100</v>
      </c>
      <c r="T31" s="666" t="s">
        <v>14</v>
      </c>
      <c r="U31" s="667">
        <f t="shared" si="13"/>
        <v>100</v>
      </c>
      <c r="V31" s="666" t="s">
        <v>14</v>
      </c>
      <c r="W31" s="667">
        <f t="shared" si="14"/>
        <v>100</v>
      </c>
      <c r="X31" s="1264"/>
      <c r="Y31" s="342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1"/>
      <c r="Q32" s="1262" t="str">
        <f t="shared" si="11"/>
        <v>公共部分装修</v>
      </c>
      <c r="R32" s="666" t="s">
        <v>14</v>
      </c>
      <c r="S32" s="667">
        <f t="shared" si="12"/>
        <v>100</v>
      </c>
      <c r="T32" s="666" t="s">
        <v>14</v>
      </c>
      <c r="U32" s="667">
        <f t="shared" si="13"/>
        <v>100</v>
      </c>
      <c r="V32" s="666" t="s">
        <v>14</v>
      </c>
      <c r="W32" s="667">
        <f t="shared" si="14"/>
        <v>100</v>
      </c>
      <c r="X32" s="1264"/>
      <c r="Y32" s="342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1"/>
      <c r="Q33" s="1262" t="str">
        <f t="shared" si="11"/>
        <v>成新度</v>
      </c>
      <c r="R33" s="666" t="s">
        <v>14</v>
      </c>
      <c r="S33" s="667" t="e">
        <f t="shared" si="12"/>
        <v>#N/A</v>
      </c>
      <c r="T33" s="666" t="s">
        <v>14</v>
      </c>
      <c r="U33" s="667" t="e">
        <f t="shared" si="13"/>
        <v>#N/A</v>
      </c>
      <c r="V33" s="666" t="s">
        <v>14</v>
      </c>
      <c r="W33" s="667" t="e">
        <f t="shared" si="14"/>
        <v>#N/A</v>
      </c>
      <c r="X33" s="1264"/>
      <c r="Y33" s="3421"/>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1"/>
      <c r="Q34" s="529" t="str">
        <f t="shared" si="11"/>
        <v>物业管理</v>
      </c>
      <c r="R34" s="663" t="s">
        <v>14</v>
      </c>
      <c r="S34" s="664">
        <f t="shared" si="12"/>
        <v>100</v>
      </c>
      <c r="T34" s="663" t="s">
        <v>14</v>
      </c>
      <c r="U34" s="664">
        <f t="shared" si="13"/>
        <v>100</v>
      </c>
      <c r="V34" s="663" t="s">
        <v>14</v>
      </c>
      <c r="W34" s="664">
        <f t="shared" si="14"/>
        <v>100</v>
      </c>
      <c r="X34" s="665"/>
      <c r="Y34" s="342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1" t="s">
        <v>1696</v>
      </c>
      <c r="Q35" s="1262" t="str">
        <f t="shared" si="11"/>
        <v>市政基础设施</v>
      </c>
      <c r="R35" s="666" t="s">
        <v>14</v>
      </c>
      <c r="S35" s="667">
        <f t="shared" si="12"/>
        <v>100</v>
      </c>
      <c r="T35" s="666" t="s">
        <v>14</v>
      </c>
      <c r="U35" s="667">
        <f t="shared" si="13"/>
        <v>100</v>
      </c>
      <c r="V35" s="666" t="s">
        <v>14</v>
      </c>
      <c r="W35" s="667">
        <f t="shared" si="14"/>
        <v>100</v>
      </c>
      <c r="X35" s="1264"/>
      <c r="Y35" s="342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1"/>
      <c r="Q36" s="1262" t="str">
        <f t="shared" si="11"/>
        <v>内部装修</v>
      </c>
      <c r="R36" s="666" t="s">
        <v>14</v>
      </c>
      <c r="S36" s="667">
        <f t="shared" si="12"/>
        <v>100</v>
      </c>
      <c r="T36" s="666" t="s">
        <v>14</v>
      </c>
      <c r="U36" s="667">
        <f t="shared" si="13"/>
        <v>100</v>
      </c>
      <c r="V36" s="666" t="s">
        <v>14</v>
      </c>
      <c r="W36" s="667">
        <f t="shared" si="14"/>
        <v>100</v>
      </c>
      <c r="X36" s="1264"/>
      <c r="Y36" s="342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1"/>
      <c r="Q37" s="1262" t="str">
        <f t="shared" si="11"/>
        <v>内部装修状况</v>
      </c>
      <c r="R37" s="666" t="s">
        <v>14</v>
      </c>
      <c r="S37" s="667">
        <f t="shared" si="12"/>
        <v>100</v>
      </c>
      <c r="T37" s="666" t="s">
        <v>14</v>
      </c>
      <c r="U37" s="667">
        <f t="shared" si="13"/>
        <v>100</v>
      </c>
      <c r="V37" s="666" t="s">
        <v>14</v>
      </c>
      <c r="W37" s="667">
        <f t="shared" si="14"/>
        <v>100</v>
      </c>
      <c r="X37" s="1264"/>
      <c r="Y37" s="342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1"/>
      <c r="Q38" s="530">
        <f t="shared" si="11"/>
        <v>111</v>
      </c>
      <c r="R38" s="668" t="s">
        <v>14</v>
      </c>
      <c r="S38" s="669">
        <f t="shared" si="12"/>
        <v>100</v>
      </c>
      <c r="T38" s="668" t="s">
        <v>14</v>
      </c>
      <c r="U38" s="669">
        <f t="shared" si="13"/>
        <v>100</v>
      </c>
      <c r="V38" s="668" t="s">
        <v>14</v>
      </c>
      <c r="W38" s="669">
        <f t="shared" si="14"/>
        <v>100</v>
      </c>
      <c r="X38" s="670"/>
      <c r="Y38" s="342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1"/>
      <c r="Q39" s="1262">
        <f t="shared" si="11"/>
        <v>111</v>
      </c>
      <c r="R39" s="666" t="s">
        <v>14</v>
      </c>
      <c r="S39" s="667">
        <f t="shared" si="12"/>
        <v>100</v>
      </c>
      <c r="T39" s="666" t="s">
        <v>14</v>
      </c>
      <c r="U39" s="667">
        <f t="shared" si="13"/>
        <v>100</v>
      </c>
      <c r="V39" s="666" t="s">
        <v>14</v>
      </c>
      <c r="W39" s="667">
        <f t="shared" si="14"/>
        <v>100</v>
      </c>
      <c r="X39" s="1264"/>
      <c r="Y39" s="3421"/>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2"/>
      <c r="Q40" s="1262">
        <f t="shared" si="11"/>
        <v>111</v>
      </c>
      <c r="R40" s="666" t="s">
        <v>14</v>
      </c>
      <c r="S40" s="667">
        <f t="shared" si="12"/>
        <v>100</v>
      </c>
      <c r="T40" s="666" t="s">
        <v>14</v>
      </c>
      <c r="U40" s="667">
        <f t="shared" si="13"/>
        <v>100</v>
      </c>
      <c r="V40" s="666" t="s">
        <v>14</v>
      </c>
      <c r="W40" s="667">
        <f t="shared" si="14"/>
        <v>100</v>
      </c>
      <c r="X40" s="1264"/>
      <c r="Y40" s="3422"/>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15" t="str">
        <f>A41</f>
        <v>成交单价（元/平方米）</v>
      </c>
      <c r="Q41" s="3415"/>
      <c r="R41" s="3410">
        <f>E41</f>
        <v>0</v>
      </c>
      <c r="S41" s="3410"/>
      <c r="T41" s="3410">
        <f>G41</f>
        <v>0</v>
      </c>
      <c r="U41" s="3410"/>
      <c r="V41" s="3410">
        <f>I41</f>
        <v>0</v>
      </c>
      <c r="W41" s="3410"/>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7"/>
      <c r="B5" s="348"/>
      <c r="C5" s="3391" t="s">
        <v>1673</v>
      </c>
      <c r="D5" s="3392"/>
      <c r="E5" s="3389" t="s">
        <v>1674</v>
      </c>
      <c r="F5" s="3390"/>
      <c r="G5" s="3391" t="s">
        <v>1675</v>
      </c>
      <c r="H5" s="3392"/>
      <c r="I5" s="3391" t="s">
        <v>1676</v>
      </c>
      <c r="J5" s="3392"/>
      <c r="K5" s="536"/>
      <c r="L5" s="2486"/>
      <c r="M5" s="2487"/>
      <c r="N5" s="2487"/>
      <c r="O5" s="2487"/>
      <c r="P5" s="3404"/>
      <c r="Q5" s="3405"/>
      <c r="R5" s="3387"/>
      <c r="S5" s="3388"/>
      <c r="T5" s="3387"/>
      <c r="U5" s="3388"/>
      <c r="V5" s="3410"/>
      <c r="W5" s="3410"/>
      <c r="X5" s="1264"/>
      <c r="Y5" s="3387"/>
      <c r="Z5" s="3388"/>
      <c r="AA5" s="3381"/>
      <c r="AB5" s="3381"/>
      <c r="AC5" s="3381"/>
    </row>
    <row r="6" spans="1:29" ht="15.75" thickBot="1">
      <c r="A6" s="349"/>
      <c r="B6" s="350"/>
      <c r="C6" s="3393" t="s">
        <v>1677</v>
      </c>
      <c r="D6" s="3394"/>
      <c r="E6" s="3395" t="s">
        <v>1677</v>
      </c>
      <c r="F6" s="3396"/>
      <c r="G6" s="3393" t="s">
        <v>1677</v>
      </c>
      <c r="H6" s="3394"/>
      <c r="I6" s="3393" t="s">
        <v>1677</v>
      </c>
      <c r="J6" s="3394"/>
      <c r="K6" s="536" t="s">
        <v>1678</v>
      </c>
      <c r="L6" s="2486"/>
      <c r="M6" s="2487"/>
      <c r="N6" s="2487"/>
      <c r="O6" s="2487"/>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SUMIF(48:48,YEAR(E7)&amp;"-"&amp;MONTH(E7),49:49)</f>
        <v>0</v>
      </c>
      <c r="G7" s="355"/>
      <c r="H7" s="354">
        <f>SUMIF(48:48,YEAR(G7)&amp;"-"&amp;MONTH(G7),49:49)</f>
        <v>0</v>
      </c>
      <c r="I7" s="355"/>
      <c r="J7" s="354">
        <f>SUMIF(48:48,YEAR(I7)&amp;"-"&amp;MONTH(I7),49:49)</f>
        <v>0</v>
      </c>
      <c r="K7" s="38"/>
      <c r="L7" s="2488"/>
      <c r="M7" s="2439"/>
      <c r="N7" s="2439"/>
      <c r="O7" s="2439"/>
      <c r="P7" s="3383" t="s">
        <v>1680</v>
      </c>
      <c r="Q7" s="3411"/>
      <c r="R7" s="663" t="s">
        <v>14</v>
      </c>
      <c r="S7" s="664">
        <f t="shared" ref="S7:S14" si="0">F7</f>
        <v>0</v>
      </c>
      <c r="T7" s="663" t="s">
        <v>14</v>
      </c>
      <c r="U7" s="664">
        <f t="shared" ref="U7:U14" si="1">H7</f>
        <v>0</v>
      </c>
      <c r="V7" s="663" t="s">
        <v>14</v>
      </c>
      <c r="W7" s="664">
        <f t="shared" ref="W7:W14" si="2">J7</f>
        <v>0</v>
      </c>
      <c r="X7" s="665"/>
      <c r="Y7" s="3383" t="s">
        <v>1680</v>
      </c>
      <c r="Z7" s="3384"/>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83" t="s">
        <v>1683</v>
      </c>
      <c r="Q8" s="3384"/>
      <c r="R8" s="663" t="s">
        <v>14</v>
      </c>
      <c r="S8" s="664">
        <f t="shared" si="0"/>
        <v>100</v>
      </c>
      <c r="T8" s="663" t="s">
        <v>14</v>
      </c>
      <c r="U8" s="664">
        <f t="shared" si="1"/>
        <v>100</v>
      </c>
      <c r="V8" s="663" t="s">
        <v>14</v>
      </c>
      <c r="W8" s="664">
        <f t="shared" si="2"/>
        <v>100</v>
      </c>
      <c r="X8" s="665"/>
      <c r="Y8" s="3383" t="s">
        <v>1683</v>
      </c>
      <c r="Z8" s="3384"/>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15" t="s">
        <v>1686</v>
      </c>
      <c r="Q9" s="529" t="str">
        <f t="shared" ref="Q9:Q14" si="6">B9</f>
        <v>用途</v>
      </c>
      <c r="R9" s="663" t="s">
        <v>14</v>
      </c>
      <c r="S9" s="664">
        <f t="shared" si="0"/>
        <v>100</v>
      </c>
      <c r="T9" s="663" t="s">
        <v>14</v>
      </c>
      <c r="U9" s="664">
        <f t="shared" si="1"/>
        <v>100</v>
      </c>
      <c r="V9" s="663" t="s">
        <v>14</v>
      </c>
      <c r="W9" s="664">
        <f t="shared" si="2"/>
        <v>100</v>
      </c>
      <c r="X9" s="665"/>
      <c r="Y9" s="3327"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9"/>
      <c r="M10" s="2490"/>
      <c r="N10" s="2490"/>
      <c r="O10" s="2490"/>
      <c r="P10" s="3415"/>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15"/>
      <c r="Q11" s="529">
        <f t="shared" si="6"/>
        <v>111</v>
      </c>
      <c r="R11" s="663" t="s">
        <v>14</v>
      </c>
      <c r="S11" s="664">
        <f t="shared" si="0"/>
        <v>100</v>
      </c>
      <c r="T11" s="663" t="s">
        <v>14</v>
      </c>
      <c r="U11" s="664">
        <f t="shared" si="1"/>
        <v>100</v>
      </c>
      <c r="V11" s="663" t="s">
        <v>14</v>
      </c>
      <c r="W11" s="664">
        <f t="shared" si="2"/>
        <v>100</v>
      </c>
      <c r="X11" s="665"/>
      <c r="Y11" s="332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15"/>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15"/>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6" t="s">
        <v>1691</v>
      </c>
      <c r="Q14" s="1262" t="str">
        <f t="shared" si="6"/>
        <v>交通便捷度</v>
      </c>
      <c r="R14" s="666" t="s">
        <v>14</v>
      </c>
      <c r="S14" s="667">
        <f t="shared" si="0"/>
        <v>100</v>
      </c>
      <c r="T14" s="666" t="s">
        <v>14</v>
      </c>
      <c r="U14" s="667">
        <f t="shared" si="1"/>
        <v>100</v>
      </c>
      <c r="V14" s="666" t="s">
        <v>14</v>
      </c>
      <c r="W14" s="667">
        <f t="shared" si="2"/>
        <v>100</v>
      </c>
      <c r="X14" s="1264"/>
      <c r="Y14" s="3416"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17"/>
      <c r="Q15" s="1262"/>
      <c r="R15" s="666"/>
      <c r="S15" s="667"/>
      <c r="T15" s="666"/>
      <c r="U15" s="667"/>
      <c r="V15" s="666"/>
      <c r="W15" s="667"/>
      <c r="X15" s="1264"/>
      <c r="Y15" s="3417"/>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17"/>
      <c r="Q16" s="1262" t="str">
        <f>B16</f>
        <v>公共配套设施</v>
      </c>
      <c r="R16" s="666" t="s">
        <v>14</v>
      </c>
      <c r="S16" s="667">
        <f>F16</f>
        <v>100</v>
      </c>
      <c r="T16" s="666" t="s">
        <v>14</v>
      </c>
      <c r="U16" s="667">
        <f>H16</f>
        <v>100</v>
      </c>
      <c r="V16" s="666" t="s">
        <v>14</v>
      </c>
      <c r="W16" s="667">
        <f>J16</f>
        <v>100</v>
      </c>
      <c r="X16" s="1264"/>
      <c r="Y16" s="3417"/>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17"/>
      <c r="Q17" s="1262"/>
      <c r="R17" s="666"/>
      <c r="S17" s="667"/>
      <c r="T17" s="666"/>
      <c r="U17" s="667"/>
      <c r="V17" s="666"/>
      <c r="W17" s="667"/>
      <c r="X17" s="1264"/>
      <c r="Y17" s="3417"/>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17"/>
      <c r="Q18" s="1262" t="str">
        <f>B18</f>
        <v>基础设施水平</v>
      </c>
      <c r="R18" s="666" t="s">
        <v>14</v>
      </c>
      <c r="S18" s="667">
        <f>F18</f>
        <v>100</v>
      </c>
      <c r="T18" s="666" t="s">
        <v>14</v>
      </c>
      <c r="U18" s="667">
        <f>H18</f>
        <v>100</v>
      </c>
      <c r="V18" s="666" t="s">
        <v>14</v>
      </c>
      <c r="W18" s="667">
        <f>J18</f>
        <v>100</v>
      </c>
      <c r="X18" s="1264"/>
      <c r="Y18" s="3417"/>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17"/>
      <c r="Q19" s="1262"/>
      <c r="R19" s="666"/>
      <c r="S19" s="667"/>
      <c r="T19" s="666"/>
      <c r="U19" s="667"/>
      <c r="V19" s="666"/>
      <c r="W19" s="667"/>
      <c r="X19" s="1264"/>
      <c r="Y19" s="3417"/>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17"/>
      <c r="Q20" s="1262" t="str">
        <f>B20</f>
        <v>自然及人文环境</v>
      </c>
      <c r="R20" s="666" t="s">
        <v>14</v>
      </c>
      <c r="S20" s="667">
        <f>F20</f>
        <v>100</v>
      </c>
      <c r="T20" s="666" t="s">
        <v>14</v>
      </c>
      <c r="U20" s="667">
        <f>H20</f>
        <v>100</v>
      </c>
      <c r="V20" s="666" t="s">
        <v>14</v>
      </c>
      <c r="W20" s="667">
        <f>J20</f>
        <v>100</v>
      </c>
      <c r="X20" s="1264"/>
      <c r="Y20" s="3417"/>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17"/>
      <c r="Q21" s="1262"/>
      <c r="R21" s="666"/>
      <c r="S21" s="667"/>
      <c r="T21" s="666"/>
      <c r="U21" s="667"/>
      <c r="V21" s="666"/>
      <c r="W21" s="667"/>
      <c r="X21" s="1264"/>
      <c r="Y21" s="3417"/>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17"/>
      <c r="Q22" s="1262" t="str">
        <f>B22</f>
        <v>楼层</v>
      </c>
      <c r="R22" s="666" t="s">
        <v>14</v>
      </c>
      <c r="S22" s="667">
        <f>F22</f>
        <v>100</v>
      </c>
      <c r="T22" s="666" t="s">
        <v>14</v>
      </c>
      <c r="U22" s="667">
        <f>H22</f>
        <v>100</v>
      </c>
      <c r="V22" s="666" t="s">
        <v>14</v>
      </c>
      <c r="W22" s="667">
        <f>J22</f>
        <v>100</v>
      </c>
      <c r="X22" s="1264"/>
      <c r="Y22" s="3417"/>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17"/>
      <c r="Q23" s="1262">
        <f>B23</f>
        <v>111</v>
      </c>
      <c r="R23" s="666" t="s">
        <v>14</v>
      </c>
      <c r="S23" s="667">
        <f>F23</f>
        <v>100</v>
      </c>
      <c r="T23" s="666" t="s">
        <v>14</v>
      </c>
      <c r="U23" s="667">
        <f>H23</f>
        <v>100</v>
      </c>
      <c r="V23" s="666" t="s">
        <v>14</v>
      </c>
      <c r="W23" s="667">
        <f>J23</f>
        <v>100</v>
      </c>
      <c r="X23" s="1264"/>
      <c r="Y23" s="3417"/>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17"/>
      <c r="Q24" s="1262">
        <f t="shared" ref="Q24:Q36" si="11">B24</f>
        <v>111</v>
      </c>
      <c r="R24" s="666" t="s">
        <v>14</v>
      </c>
      <c r="S24" s="667">
        <f>F24</f>
        <v>100</v>
      </c>
      <c r="T24" s="666" t="s">
        <v>14</v>
      </c>
      <c r="U24" s="667">
        <f>H24</f>
        <v>100</v>
      </c>
      <c r="V24" s="666" t="s">
        <v>14</v>
      </c>
      <c r="W24" s="667">
        <f>J24</f>
        <v>100</v>
      </c>
      <c r="X24" s="1264"/>
      <c r="Y24" s="3417"/>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17"/>
      <c r="Q25" s="529">
        <f t="shared" si="11"/>
        <v>111</v>
      </c>
      <c r="R25" s="663" t="s">
        <v>14</v>
      </c>
      <c r="S25" s="664">
        <f>F25</f>
        <v>100</v>
      </c>
      <c r="T25" s="663" t="s">
        <v>14</v>
      </c>
      <c r="U25" s="664">
        <f>H25</f>
        <v>100</v>
      </c>
      <c r="V25" s="663" t="s">
        <v>14</v>
      </c>
      <c r="W25" s="664">
        <f>J25</f>
        <v>100</v>
      </c>
      <c r="X25" s="665"/>
      <c r="Y25" s="3417"/>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2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21"/>
      <c r="Q27" s="530" t="str">
        <f t="shared" si="11"/>
        <v>项目停车位配比</v>
      </c>
      <c r="R27" s="668" t="s">
        <v>14</v>
      </c>
      <c r="S27" s="669">
        <f t="shared" si="12"/>
        <v>100</v>
      </c>
      <c r="T27" s="668" t="s">
        <v>14</v>
      </c>
      <c r="U27" s="669">
        <f t="shared" si="13"/>
        <v>100</v>
      </c>
      <c r="V27" s="668" t="s">
        <v>14</v>
      </c>
      <c r="W27" s="669">
        <f t="shared" si="14"/>
        <v>100</v>
      </c>
      <c r="X27" s="670"/>
      <c r="Y27" s="342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21"/>
      <c r="Q28" s="1262" t="str">
        <f t="shared" si="11"/>
        <v>公共部分装修</v>
      </c>
      <c r="R28" s="666" t="s">
        <v>14</v>
      </c>
      <c r="S28" s="667">
        <f t="shared" si="12"/>
        <v>100</v>
      </c>
      <c r="T28" s="666" t="s">
        <v>14</v>
      </c>
      <c r="U28" s="667">
        <f t="shared" si="13"/>
        <v>100</v>
      </c>
      <c r="V28" s="666" t="s">
        <v>14</v>
      </c>
      <c r="W28" s="667">
        <f t="shared" si="14"/>
        <v>100</v>
      </c>
      <c r="X28" s="1264"/>
      <c r="Y28" s="342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21"/>
      <c r="Q29" s="1262" t="str">
        <f t="shared" si="11"/>
        <v>成新率</v>
      </c>
      <c r="R29" s="666" t="s">
        <v>14</v>
      </c>
      <c r="S29" s="667" t="e">
        <f t="shared" si="12"/>
        <v>#N/A</v>
      </c>
      <c r="T29" s="666" t="s">
        <v>14</v>
      </c>
      <c r="U29" s="667" t="e">
        <f t="shared" si="13"/>
        <v>#N/A</v>
      </c>
      <c r="V29" s="666" t="s">
        <v>14</v>
      </c>
      <c r="W29" s="667" t="e">
        <f t="shared" si="14"/>
        <v>#N/A</v>
      </c>
      <c r="X29" s="1264"/>
      <c r="Y29" s="342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21"/>
      <c r="Q30" s="1262" t="str">
        <f t="shared" si="11"/>
        <v>物业等级</v>
      </c>
      <c r="R30" s="666" t="s">
        <v>14</v>
      </c>
      <c r="S30" s="667">
        <f t="shared" si="12"/>
        <v>100</v>
      </c>
      <c r="T30" s="666" t="s">
        <v>14</v>
      </c>
      <c r="U30" s="667">
        <f t="shared" si="13"/>
        <v>100</v>
      </c>
      <c r="V30" s="666" t="s">
        <v>14</v>
      </c>
      <c r="W30" s="667">
        <f t="shared" si="14"/>
        <v>100</v>
      </c>
      <c r="X30" s="1264"/>
      <c r="Y30" s="3421"/>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21"/>
      <c r="Q31" s="529" t="str">
        <f t="shared" si="11"/>
        <v>停车位面积</v>
      </c>
      <c r="R31" s="663" t="s">
        <v>14</v>
      </c>
      <c r="S31" s="664" t="e">
        <f t="shared" si="12"/>
        <v>#N/A</v>
      </c>
      <c r="T31" s="663" t="s">
        <v>14</v>
      </c>
      <c r="U31" s="664" t="e">
        <f t="shared" si="13"/>
        <v>#N/A</v>
      </c>
      <c r="V31" s="663" t="s">
        <v>14</v>
      </c>
      <c r="W31" s="664" t="e">
        <f t="shared" si="14"/>
        <v>#N/A</v>
      </c>
      <c r="X31" s="665"/>
      <c r="Y31" s="3421"/>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21" t="s">
        <v>1696</v>
      </c>
      <c r="Q32" s="1262" t="str">
        <f t="shared" si="11"/>
        <v>车位类型</v>
      </c>
      <c r="R32" s="666" t="s">
        <v>14</v>
      </c>
      <c r="S32" s="667">
        <f t="shared" si="12"/>
        <v>100</v>
      </c>
      <c r="T32" s="666" t="s">
        <v>14</v>
      </c>
      <c r="U32" s="667">
        <f t="shared" si="13"/>
        <v>100</v>
      </c>
      <c r="V32" s="666" t="s">
        <v>14</v>
      </c>
      <c r="W32" s="667">
        <f t="shared" si="14"/>
        <v>100</v>
      </c>
      <c r="X32" s="1264"/>
      <c r="Y32" s="342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21"/>
      <c r="Q33" s="1262" t="str">
        <f t="shared" si="11"/>
        <v>是否直接入户</v>
      </c>
      <c r="R33" s="666" t="s">
        <v>14</v>
      </c>
      <c r="S33" s="667">
        <f t="shared" si="12"/>
        <v>100</v>
      </c>
      <c r="T33" s="666" t="s">
        <v>14</v>
      </c>
      <c r="U33" s="667">
        <f t="shared" si="13"/>
        <v>100</v>
      </c>
      <c r="V33" s="666" t="s">
        <v>14</v>
      </c>
      <c r="W33" s="667">
        <f t="shared" si="14"/>
        <v>100</v>
      </c>
      <c r="X33" s="1264"/>
      <c r="Y33" s="342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21"/>
      <c r="Q34" s="1262">
        <f t="shared" si="11"/>
        <v>111</v>
      </c>
      <c r="R34" s="666" t="s">
        <v>14</v>
      </c>
      <c r="S34" s="667">
        <f t="shared" si="12"/>
        <v>100</v>
      </c>
      <c r="T34" s="666" t="s">
        <v>14</v>
      </c>
      <c r="U34" s="667">
        <f t="shared" si="13"/>
        <v>100</v>
      </c>
      <c r="V34" s="666" t="s">
        <v>14</v>
      </c>
      <c r="W34" s="667">
        <f t="shared" si="14"/>
        <v>100</v>
      </c>
      <c r="X34" s="1264"/>
      <c r="Y34" s="342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21"/>
      <c r="Q35" s="530">
        <f t="shared" si="11"/>
        <v>111</v>
      </c>
      <c r="R35" s="668" t="s">
        <v>14</v>
      </c>
      <c r="S35" s="669">
        <f t="shared" si="12"/>
        <v>100</v>
      </c>
      <c r="T35" s="668" t="s">
        <v>14</v>
      </c>
      <c r="U35" s="669">
        <f t="shared" si="13"/>
        <v>100</v>
      </c>
      <c r="V35" s="668" t="s">
        <v>14</v>
      </c>
      <c r="W35" s="669">
        <f t="shared" si="14"/>
        <v>100</v>
      </c>
      <c r="X35" s="670"/>
      <c r="Y35" s="3421"/>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21"/>
      <c r="Q36" s="1262">
        <f t="shared" si="11"/>
        <v>111</v>
      </c>
      <c r="R36" s="666" t="s">
        <v>14</v>
      </c>
      <c r="S36" s="667">
        <f t="shared" si="12"/>
        <v>100</v>
      </c>
      <c r="T36" s="666" t="s">
        <v>14</v>
      </c>
      <c r="U36" s="667">
        <f t="shared" si="13"/>
        <v>100</v>
      </c>
      <c r="V36" s="666" t="s">
        <v>14</v>
      </c>
      <c r="W36" s="667">
        <f t="shared" si="14"/>
        <v>100</v>
      </c>
      <c r="X36" s="1264"/>
      <c r="Y36" s="3421"/>
      <c r="Z36" s="1263">
        <f t="shared" si="15"/>
        <v>111</v>
      </c>
      <c r="AA36" s="1263">
        <f t="shared" si="3"/>
        <v>1</v>
      </c>
      <c r="AB36" s="1263">
        <f t="shared" si="4"/>
        <v>1</v>
      </c>
      <c r="AC36" s="1263">
        <f t="shared" si="5"/>
        <v>1</v>
      </c>
    </row>
    <row r="37" spans="1:29" ht="15">
      <c r="A37" s="415" t="s">
        <v>1844</v>
      </c>
      <c r="B37" s="1820" t="s">
        <v>3347</v>
      </c>
      <c r="C37" s="1080" t="s">
        <v>0</v>
      </c>
      <c r="D37" s="417"/>
      <c r="E37" s="418"/>
      <c r="F37" s="419"/>
      <c r="G37" s="420"/>
      <c r="H37" s="421"/>
      <c r="I37" s="418"/>
      <c r="J37" s="421"/>
      <c r="K37" s="544"/>
      <c r="L37" s="2494"/>
      <c r="M37" s="2487"/>
      <c r="N37" s="2487"/>
      <c r="O37" s="2487"/>
      <c r="P37" s="3415" t="str">
        <f>A37</f>
        <v>成交单价</v>
      </c>
      <c r="Q37" s="3415"/>
      <c r="R37" s="3410">
        <f>E37</f>
        <v>0</v>
      </c>
      <c r="S37" s="3410"/>
      <c r="T37" s="3410">
        <f>G37</f>
        <v>0</v>
      </c>
      <c r="U37" s="3410"/>
      <c r="V37" s="3410">
        <f>I37</f>
        <v>0</v>
      </c>
      <c r="W37" s="3410"/>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12" t="str">
        <f>A39</f>
        <v>估价对象XX用房的比较价值（楼面单价，元/平方米）</v>
      </c>
      <c r="Q39" s="3413"/>
      <c r="R39" s="3426" t="e">
        <f>IF(F1="售价",ROUND(IF(D38="简单平均",AVERAGE(R38:W38),R38*F38+T38*H38+V38*J38),0),ROUND(IF(D38="简单平均",AVERAGE(R38:V38),R38*F38+T38*H38+V38*J38),1))</f>
        <v>#DIV/0!</v>
      </c>
      <c r="S39" s="3426"/>
      <c r="T39" s="3426"/>
      <c r="U39" s="3426"/>
      <c r="V39" s="3426"/>
      <c r="W39" s="3426"/>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估价对象为北京市房地产，为所有。根据《国有土地使用证》[]，估价对象（分摊）出让国有建设用地使用权面积为0平方米，建筑面积为7049.7平方米。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估价对象为北京市房地产,属开发建设的，该项目尚在开发建设中。根据《国有土地使用证》[]，估价对象（分摊）出让国有建设用地使用权面积为0平方米，规划建筑面积为7049.7平方米。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2024年9月26日（评估专业人员实地查勘之日）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7"/>
      <c r="B5" s="348"/>
      <c r="C5" s="3391" t="s">
        <v>1673</v>
      </c>
      <c r="D5" s="3392"/>
      <c r="E5" s="3389" t="s">
        <v>1674</v>
      </c>
      <c r="F5" s="3390"/>
      <c r="G5" s="3391" t="s">
        <v>1675</v>
      </c>
      <c r="H5" s="3392"/>
      <c r="I5" s="3391" t="s">
        <v>1676</v>
      </c>
      <c r="J5" s="3392"/>
      <c r="K5" s="536"/>
      <c r="L5" s="2486"/>
      <c r="M5" s="2487"/>
      <c r="N5" s="2487"/>
      <c r="O5" s="2487"/>
      <c r="P5" s="3404"/>
      <c r="Q5" s="3405"/>
      <c r="R5" s="3387"/>
      <c r="S5" s="3388"/>
      <c r="T5" s="3387"/>
      <c r="U5" s="3388"/>
      <c r="V5" s="3410"/>
      <c r="W5" s="3410"/>
      <c r="X5" s="1264"/>
      <c r="Y5" s="3387"/>
      <c r="Z5" s="3388"/>
      <c r="AA5" s="3381"/>
      <c r="AB5" s="3381"/>
      <c r="AC5" s="3381"/>
    </row>
    <row r="6" spans="1:29" ht="15.75" thickBot="1">
      <c r="A6" s="349"/>
      <c r="B6" s="350"/>
      <c r="C6" s="3393" t="s">
        <v>1677</v>
      </c>
      <c r="D6" s="3394"/>
      <c r="E6" s="3395" t="s">
        <v>1677</v>
      </c>
      <c r="F6" s="3396"/>
      <c r="G6" s="3393" t="s">
        <v>1677</v>
      </c>
      <c r="H6" s="3394"/>
      <c r="I6" s="3393" t="s">
        <v>1677</v>
      </c>
      <c r="J6" s="3394"/>
      <c r="K6" s="536" t="s">
        <v>1678</v>
      </c>
      <c r="L6" s="2486"/>
      <c r="M6" s="2487"/>
      <c r="N6" s="2487"/>
      <c r="O6" s="2487"/>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83" t="s">
        <v>1680</v>
      </c>
      <c r="Q7" s="3411"/>
      <c r="R7" s="663" t="s">
        <v>14</v>
      </c>
      <c r="S7" s="664">
        <f t="shared" ref="S7:S14" si="0">F7</f>
        <v>0</v>
      </c>
      <c r="T7" s="663" t="s">
        <v>14</v>
      </c>
      <c r="U7" s="664">
        <f t="shared" ref="U7:U14" si="1">H7</f>
        <v>0</v>
      </c>
      <c r="V7" s="663" t="s">
        <v>14</v>
      </c>
      <c r="W7" s="664">
        <f t="shared" ref="W7:W14" si="2">J7</f>
        <v>0</v>
      </c>
      <c r="X7" s="665"/>
      <c r="Y7" s="3383" t="s">
        <v>1680</v>
      </c>
      <c r="Z7" s="3384"/>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83" t="s">
        <v>1683</v>
      </c>
      <c r="Q8" s="3384"/>
      <c r="R8" s="663" t="s">
        <v>14</v>
      </c>
      <c r="S8" s="664">
        <f t="shared" si="0"/>
        <v>100</v>
      </c>
      <c r="T8" s="663" t="s">
        <v>14</v>
      </c>
      <c r="U8" s="664">
        <f t="shared" si="1"/>
        <v>100</v>
      </c>
      <c r="V8" s="663" t="s">
        <v>14</v>
      </c>
      <c r="W8" s="664">
        <f t="shared" si="2"/>
        <v>100</v>
      </c>
      <c r="X8" s="665"/>
      <c r="Y8" s="3383" t="s">
        <v>1683</v>
      </c>
      <c r="Z8" s="3384"/>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15" t="s">
        <v>1686</v>
      </c>
      <c r="Q9" s="529" t="str">
        <f t="shared" ref="Q9:Q14" si="6">B9</f>
        <v>用途</v>
      </c>
      <c r="R9" s="663" t="s">
        <v>14</v>
      </c>
      <c r="S9" s="664">
        <f t="shared" si="0"/>
        <v>100</v>
      </c>
      <c r="T9" s="663" t="s">
        <v>14</v>
      </c>
      <c r="U9" s="664">
        <f t="shared" si="1"/>
        <v>100</v>
      </c>
      <c r="V9" s="663" t="s">
        <v>14</v>
      </c>
      <c r="W9" s="664">
        <f t="shared" si="2"/>
        <v>100</v>
      </c>
      <c r="X9" s="665"/>
      <c r="Y9" s="3327"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9"/>
      <c r="M10" s="2490"/>
      <c r="N10" s="2490"/>
      <c r="O10" s="2541"/>
      <c r="P10" s="3415"/>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15"/>
      <c r="Q11" s="529">
        <f t="shared" si="6"/>
        <v>111</v>
      </c>
      <c r="R11" s="663" t="s">
        <v>14</v>
      </c>
      <c r="S11" s="664">
        <f t="shared" si="0"/>
        <v>100</v>
      </c>
      <c r="T11" s="663" t="s">
        <v>14</v>
      </c>
      <c r="U11" s="664">
        <f t="shared" si="1"/>
        <v>100</v>
      </c>
      <c r="V11" s="663" t="s">
        <v>14</v>
      </c>
      <c r="W11" s="664">
        <f t="shared" si="2"/>
        <v>100</v>
      </c>
      <c r="X11" s="665"/>
      <c r="Y11" s="332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15"/>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15"/>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6" t="s">
        <v>1691</v>
      </c>
      <c r="Q14" s="1262" t="str">
        <f t="shared" si="6"/>
        <v>交通便捷度</v>
      </c>
      <c r="R14" s="666" t="s">
        <v>14</v>
      </c>
      <c r="S14" s="667">
        <f t="shared" si="0"/>
        <v>100</v>
      </c>
      <c r="T14" s="666" t="s">
        <v>14</v>
      </c>
      <c r="U14" s="667">
        <f t="shared" si="1"/>
        <v>100</v>
      </c>
      <c r="V14" s="666" t="s">
        <v>14</v>
      </c>
      <c r="W14" s="667">
        <f t="shared" si="2"/>
        <v>100</v>
      </c>
      <c r="X14" s="1264"/>
      <c r="Y14" s="3416"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17"/>
      <c r="Q15" s="1262"/>
      <c r="R15" s="666"/>
      <c r="S15" s="667"/>
      <c r="T15" s="666"/>
      <c r="U15" s="667"/>
      <c r="V15" s="666"/>
      <c r="W15" s="667"/>
      <c r="X15" s="1264"/>
      <c r="Y15" s="3417"/>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17"/>
      <c r="Q16" s="1262" t="str">
        <f>B16</f>
        <v>公共配套设施</v>
      </c>
      <c r="R16" s="666" t="s">
        <v>14</v>
      </c>
      <c r="S16" s="667">
        <f>F16</f>
        <v>100</v>
      </c>
      <c r="T16" s="666" t="s">
        <v>14</v>
      </c>
      <c r="U16" s="667">
        <f>H16</f>
        <v>100</v>
      </c>
      <c r="V16" s="666" t="s">
        <v>14</v>
      </c>
      <c r="W16" s="667">
        <f>J16</f>
        <v>100</v>
      </c>
      <c r="X16" s="1264"/>
      <c r="Y16" s="3417"/>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17"/>
      <c r="Q17" s="1262"/>
      <c r="R17" s="666"/>
      <c r="S17" s="667"/>
      <c r="T17" s="666"/>
      <c r="U17" s="667"/>
      <c r="V17" s="666"/>
      <c r="W17" s="667"/>
      <c r="X17" s="1264"/>
      <c r="Y17" s="3417"/>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17"/>
      <c r="Q18" s="1262" t="str">
        <f>B18</f>
        <v>基础设施水平</v>
      </c>
      <c r="R18" s="666" t="s">
        <v>14</v>
      </c>
      <c r="S18" s="667">
        <f>F18</f>
        <v>100</v>
      </c>
      <c r="T18" s="666" t="s">
        <v>14</v>
      </c>
      <c r="U18" s="667">
        <f>H18</f>
        <v>100</v>
      </c>
      <c r="V18" s="666" t="s">
        <v>14</v>
      </c>
      <c r="W18" s="667">
        <f>J18</f>
        <v>100</v>
      </c>
      <c r="X18" s="1264"/>
      <c r="Y18" s="3417"/>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17"/>
      <c r="Q19" s="1262"/>
      <c r="R19" s="666"/>
      <c r="S19" s="667"/>
      <c r="T19" s="666"/>
      <c r="U19" s="667"/>
      <c r="V19" s="666"/>
      <c r="W19" s="667"/>
      <c r="X19" s="1264"/>
      <c r="Y19" s="3417"/>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17"/>
      <c r="Q20" s="1262" t="str">
        <f>B20</f>
        <v>自然及人文环境</v>
      </c>
      <c r="R20" s="666" t="s">
        <v>14</v>
      </c>
      <c r="S20" s="667">
        <f>F20</f>
        <v>100</v>
      </c>
      <c r="T20" s="666" t="s">
        <v>14</v>
      </c>
      <c r="U20" s="667">
        <f>H20</f>
        <v>100</v>
      </c>
      <c r="V20" s="666" t="s">
        <v>14</v>
      </c>
      <c r="W20" s="667">
        <f>J20</f>
        <v>100</v>
      </c>
      <c r="X20" s="1264"/>
      <c r="Y20" s="3417"/>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17"/>
      <c r="Q21" s="1262"/>
      <c r="R21" s="666"/>
      <c r="S21" s="667"/>
      <c r="T21" s="666"/>
      <c r="U21" s="667"/>
      <c r="V21" s="666"/>
      <c r="W21" s="667"/>
      <c r="X21" s="1264"/>
      <c r="Y21" s="3417"/>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17"/>
      <c r="Q22" s="1262" t="str">
        <f>B22</f>
        <v>楼层</v>
      </c>
      <c r="R22" s="666" t="s">
        <v>14</v>
      </c>
      <c r="S22" s="667">
        <f>F22</f>
        <v>100</v>
      </c>
      <c r="T22" s="666" t="s">
        <v>14</v>
      </c>
      <c r="U22" s="667">
        <f>H22</f>
        <v>100</v>
      </c>
      <c r="V22" s="666" t="s">
        <v>14</v>
      </c>
      <c r="W22" s="667">
        <f>J22</f>
        <v>100</v>
      </c>
      <c r="X22" s="1264"/>
      <c r="Y22" s="3417"/>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17"/>
      <c r="Q23" s="1262">
        <f>B23</f>
        <v>111</v>
      </c>
      <c r="R23" s="666" t="s">
        <v>14</v>
      </c>
      <c r="S23" s="667">
        <f>F23</f>
        <v>100</v>
      </c>
      <c r="T23" s="666" t="s">
        <v>14</v>
      </c>
      <c r="U23" s="667">
        <f>H23</f>
        <v>100</v>
      </c>
      <c r="V23" s="666" t="s">
        <v>14</v>
      </c>
      <c r="W23" s="667">
        <f>J23</f>
        <v>100</v>
      </c>
      <c r="X23" s="1264"/>
      <c r="Y23" s="3417"/>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17"/>
      <c r="Q24" s="1262">
        <f t="shared" ref="Q24:Q34" si="11">B24</f>
        <v>111</v>
      </c>
      <c r="R24" s="666" t="s">
        <v>14</v>
      </c>
      <c r="S24" s="667">
        <f>F24</f>
        <v>100</v>
      </c>
      <c r="T24" s="666" t="s">
        <v>14</v>
      </c>
      <c r="U24" s="667">
        <f>H24</f>
        <v>100</v>
      </c>
      <c r="V24" s="666" t="s">
        <v>14</v>
      </c>
      <c r="W24" s="667">
        <f>J24</f>
        <v>100</v>
      </c>
      <c r="X24" s="1264"/>
      <c r="Y24" s="3417"/>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17"/>
      <c r="Q25" s="529">
        <f t="shared" si="11"/>
        <v>111</v>
      </c>
      <c r="R25" s="663" t="s">
        <v>14</v>
      </c>
      <c r="S25" s="664">
        <f>F25</f>
        <v>100</v>
      </c>
      <c r="T25" s="663" t="s">
        <v>14</v>
      </c>
      <c r="U25" s="664">
        <f>H25</f>
        <v>100</v>
      </c>
      <c r="V25" s="663" t="s">
        <v>14</v>
      </c>
      <c r="W25" s="664">
        <f>J25</f>
        <v>100</v>
      </c>
      <c r="X25" s="665"/>
      <c r="Y25" s="3417"/>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2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21"/>
      <c r="Q27" s="530" t="str">
        <f t="shared" si="11"/>
        <v>成新率</v>
      </c>
      <c r="R27" s="668" t="s">
        <v>14</v>
      </c>
      <c r="S27" s="669" t="e">
        <f t="shared" si="12"/>
        <v>#N/A</v>
      </c>
      <c r="T27" s="668" t="s">
        <v>14</v>
      </c>
      <c r="U27" s="669" t="e">
        <f t="shared" si="13"/>
        <v>#N/A</v>
      </c>
      <c r="V27" s="668" t="s">
        <v>14</v>
      </c>
      <c r="W27" s="669" t="e">
        <f t="shared" si="14"/>
        <v>#N/A</v>
      </c>
      <c r="X27" s="670"/>
      <c r="Y27" s="342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21"/>
      <c r="Q28" s="1262" t="str">
        <f t="shared" si="11"/>
        <v>物业等级</v>
      </c>
      <c r="R28" s="666" t="s">
        <v>14</v>
      </c>
      <c r="S28" s="667">
        <f t="shared" si="12"/>
        <v>100</v>
      </c>
      <c r="T28" s="666" t="s">
        <v>14</v>
      </c>
      <c r="U28" s="667">
        <f t="shared" si="13"/>
        <v>100</v>
      </c>
      <c r="V28" s="666" t="s">
        <v>14</v>
      </c>
      <c r="W28" s="667">
        <f t="shared" si="14"/>
        <v>100</v>
      </c>
      <c r="X28" s="1264"/>
      <c r="Y28" s="342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21"/>
      <c r="Q29" s="1262" t="str">
        <f t="shared" si="11"/>
        <v>有无电梯</v>
      </c>
      <c r="R29" s="666" t="s">
        <v>14</v>
      </c>
      <c r="S29" s="667">
        <f t="shared" si="12"/>
        <v>100</v>
      </c>
      <c r="T29" s="666" t="s">
        <v>14</v>
      </c>
      <c r="U29" s="667">
        <f t="shared" si="13"/>
        <v>100</v>
      </c>
      <c r="V29" s="666" t="s">
        <v>14</v>
      </c>
      <c r="W29" s="667">
        <f t="shared" si="14"/>
        <v>100</v>
      </c>
      <c r="X29" s="1264"/>
      <c r="Y29" s="342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21"/>
      <c r="Q30" s="1262" t="str">
        <f t="shared" si="11"/>
        <v>建筑面积</v>
      </c>
      <c r="R30" s="666" t="s">
        <v>14</v>
      </c>
      <c r="S30" s="667" t="e">
        <f t="shared" si="12"/>
        <v>#N/A</v>
      </c>
      <c r="T30" s="666" t="s">
        <v>14</v>
      </c>
      <c r="U30" s="667" t="e">
        <f t="shared" si="13"/>
        <v>#N/A</v>
      </c>
      <c r="V30" s="666" t="s">
        <v>14</v>
      </c>
      <c r="W30" s="667" t="e">
        <f t="shared" si="14"/>
        <v>#N/A</v>
      </c>
      <c r="X30" s="1264"/>
      <c r="Y30" s="3421"/>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21"/>
      <c r="Q31" s="529" t="str">
        <f t="shared" si="11"/>
        <v>是否封闭</v>
      </c>
      <c r="R31" s="663" t="s">
        <v>14</v>
      </c>
      <c r="S31" s="664">
        <f t="shared" si="12"/>
        <v>100</v>
      </c>
      <c r="T31" s="663" t="s">
        <v>14</v>
      </c>
      <c r="U31" s="664">
        <f t="shared" si="13"/>
        <v>100</v>
      </c>
      <c r="V31" s="663" t="s">
        <v>14</v>
      </c>
      <c r="W31" s="664">
        <f t="shared" si="14"/>
        <v>100</v>
      </c>
      <c r="X31" s="665"/>
      <c r="Y31" s="342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21" t="s">
        <v>1696</v>
      </c>
      <c r="Q32" s="1262">
        <f t="shared" si="11"/>
        <v>111</v>
      </c>
      <c r="R32" s="666" t="s">
        <v>14</v>
      </c>
      <c r="S32" s="667">
        <f t="shared" si="12"/>
        <v>100</v>
      </c>
      <c r="T32" s="666" t="s">
        <v>14</v>
      </c>
      <c r="U32" s="667">
        <f t="shared" si="13"/>
        <v>100</v>
      </c>
      <c r="V32" s="666" t="s">
        <v>14</v>
      </c>
      <c r="W32" s="667">
        <f t="shared" si="14"/>
        <v>100</v>
      </c>
      <c r="X32" s="1264"/>
      <c r="Y32" s="342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21"/>
      <c r="Q33" s="1262">
        <f t="shared" si="11"/>
        <v>111</v>
      </c>
      <c r="R33" s="666" t="s">
        <v>14</v>
      </c>
      <c r="S33" s="667">
        <f t="shared" si="12"/>
        <v>100</v>
      </c>
      <c r="T33" s="666" t="s">
        <v>14</v>
      </c>
      <c r="U33" s="667">
        <f t="shared" si="13"/>
        <v>100</v>
      </c>
      <c r="V33" s="666" t="s">
        <v>14</v>
      </c>
      <c r="W33" s="667">
        <f t="shared" si="14"/>
        <v>100</v>
      </c>
      <c r="X33" s="1264"/>
      <c r="Y33" s="3421"/>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21"/>
      <c r="Q34" s="1262">
        <f t="shared" si="11"/>
        <v>111</v>
      </c>
      <c r="R34" s="666" t="s">
        <v>14</v>
      </c>
      <c r="S34" s="667">
        <f t="shared" si="12"/>
        <v>100</v>
      </c>
      <c r="T34" s="666" t="s">
        <v>14</v>
      </c>
      <c r="U34" s="667">
        <f t="shared" si="13"/>
        <v>100</v>
      </c>
      <c r="V34" s="666" t="s">
        <v>14</v>
      </c>
      <c r="W34" s="667">
        <f t="shared" si="14"/>
        <v>100</v>
      </c>
      <c r="X34" s="1264"/>
      <c r="Y34" s="3421"/>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15" t="str">
        <f>A35</f>
        <v>成交单价（元/平方米）</v>
      </c>
      <c r="Q35" s="3415"/>
      <c r="R35" s="3410">
        <f>E35</f>
        <v>0</v>
      </c>
      <c r="S35" s="3410"/>
      <c r="T35" s="3410">
        <f>G35</f>
        <v>0</v>
      </c>
      <c r="U35" s="3410"/>
      <c r="V35" s="3410">
        <f>I35</f>
        <v>0</v>
      </c>
      <c r="W35" s="3410"/>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12" t="str">
        <f>A37</f>
        <v>估价对象XX用房的比较价值（楼面单价，元/平方米）</v>
      </c>
      <c r="Q37" s="3413"/>
      <c r="R37" s="3426" t="e">
        <f>IF(F1="售价",ROUND(IF(D36="简单平均",AVERAGE(R36:W36),R36*F36+T36*H36+V36*J36),0),ROUND(IF(D36="简单平均",AVERAGE(R36:V36),R36*F36+T36*H36+V36*J36),1))</f>
        <v>#DIV/0!</v>
      </c>
      <c r="S37" s="3426"/>
      <c r="T37" s="3426"/>
      <c r="U37" s="3426"/>
      <c r="V37" s="3426"/>
      <c r="W37" s="3426"/>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7"/>
      <c r="B5" s="348"/>
      <c r="C5" s="3391" t="s">
        <v>1673</v>
      </c>
      <c r="D5" s="3392"/>
      <c r="E5" s="3389" t="s">
        <v>1674</v>
      </c>
      <c r="F5" s="3390"/>
      <c r="G5" s="3391" t="s">
        <v>1675</v>
      </c>
      <c r="H5" s="3392"/>
      <c r="I5" s="3391" t="s">
        <v>1676</v>
      </c>
      <c r="J5" s="3392"/>
      <c r="K5" s="536"/>
      <c r="L5" s="2486"/>
      <c r="M5" s="2487"/>
      <c r="N5" s="2487"/>
      <c r="O5" s="2487"/>
      <c r="P5" s="3404"/>
      <c r="Q5" s="3405"/>
      <c r="R5" s="3387"/>
      <c r="S5" s="3388"/>
      <c r="T5" s="3387"/>
      <c r="U5" s="3388"/>
      <c r="V5" s="3410"/>
      <c r="W5" s="3410"/>
      <c r="X5" s="1264"/>
      <c r="Y5" s="3387"/>
      <c r="Z5" s="3388"/>
      <c r="AA5" s="3381"/>
      <c r="AB5" s="3381"/>
      <c r="AC5" s="3381"/>
    </row>
    <row r="6" spans="1:29" ht="15.75" thickBot="1">
      <c r="A6" s="349"/>
      <c r="B6" s="350"/>
      <c r="C6" s="3393" t="s">
        <v>1677</v>
      </c>
      <c r="D6" s="3394"/>
      <c r="E6" s="3395" t="s">
        <v>1677</v>
      </c>
      <c r="F6" s="3396"/>
      <c r="G6" s="3393" t="s">
        <v>1677</v>
      </c>
      <c r="H6" s="3394"/>
      <c r="I6" s="3393" t="s">
        <v>1677</v>
      </c>
      <c r="J6" s="3394"/>
      <c r="K6" s="536" t="s">
        <v>1678</v>
      </c>
      <c r="L6" s="2486"/>
      <c r="M6" s="2487"/>
      <c r="N6" s="2487"/>
      <c r="O6" s="2487"/>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83" t="s">
        <v>1680</v>
      </c>
      <c r="Q7" s="3411"/>
      <c r="R7" s="663" t="s">
        <v>14</v>
      </c>
      <c r="S7" s="664">
        <f t="shared" ref="S7:S15" si="0">F7</f>
        <v>0</v>
      </c>
      <c r="T7" s="663" t="s">
        <v>14</v>
      </c>
      <c r="U7" s="664">
        <f t="shared" ref="U7:U15" si="1">H7</f>
        <v>0</v>
      </c>
      <c r="V7" s="663" t="s">
        <v>14</v>
      </c>
      <c r="W7" s="664">
        <f t="shared" ref="W7:W15" si="2">J7</f>
        <v>0</v>
      </c>
      <c r="X7" s="665"/>
      <c r="Y7" s="3383" t="s">
        <v>1680</v>
      </c>
      <c r="Z7" s="3384"/>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83" t="s">
        <v>1683</v>
      </c>
      <c r="Q8" s="3384"/>
      <c r="R8" s="663" t="s">
        <v>14</v>
      </c>
      <c r="S8" s="664">
        <f t="shared" si="0"/>
        <v>0</v>
      </c>
      <c r="T8" s="663" t="s">
        <v>14</v>
      </c>
      <c r="U8" s="664">
        <f t="shared" si="1"/>
        <v>0</v>
      </c>
      <c r="V8" s="663" t="s">
        <v>14</v>
      </c>
      <c r="W8" s="664">
        <f t="shared" si="2"/>
        <v>0</v>
      </c>
      <c r="X8" s="665"/>
      <c r="Y8" s="3383" t="s">
        <v>1683</v>
      </c>
      <c r="Z8" s="3384"/>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5"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121</v>
      </c>
      <c r="G10" s="401"/>
      <c r="H10" s="118">
        <f>ROUND(100/'数据-取费表'!G16,0)</f>
        <v>121</v>
      </c>
      <c r="I10" s="401"/>
      <c r="J10" s="118">
        <f>ROUND(100/'数据-取费表'!G16,0)</f>
        <v>121</v>
      </c>
      <c r="K10" s="591"/>
      <c r="L10" s="2489"/>
      <c r="M10" s="2490"/>
      <c r="N10" s="2490"/>
      <c r="O10" s="2541"/>
      <c r="P10" s="3415"/>
      <c r="Q10" s="529" t="str">
        <f t="shared" si="6"/>
        <v>土地使用年限（年）</v>
      </c>
      <c r="R10" s="663" t="s">
        <v>14</v>
      </c>
      <c r="S10" s="664">
        <f t="shared" si="0"/>
        <v>121</v>
      </c>
      <c r="T10" s="663" t="s">
        <v>14</v>
      </c>
      <c r="U10" s="664">
        <f t="shared" si="1"/>
        <v>121</v>
      </c>
      <c r="V10" s="663" t="s">
        <v>14</v>
      </c>
      <c r="W10" s="664">
        <f t="shared" si="2"/>
        <v>121</v>
      </c>
      <c r="X10" s="665"/>
      <c r="Y10" s="3327"/>
      <c r="Z10" s="50" t="str">
        <f t="shared" si="7"/>
        <v>土地使用年限（年）</v>
      </c>
      <c r="AA10" s="50">
        <f t="shared" si="3"/>
        <v>0.82644628099173556</v>
      </c>
      <c r="AB10" s="50">
        <f t="shared" si="4"/>
        <v>0.82644628099173556</v>
      </c>
      <c r="AC10" s="50">
        <f t="shared" si="5"/>
        <v>0.82644628099173556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15"/>
      <c r="Q11" s="529" t="str">
        <f t="shared" si="6"/>
        <v>容积率</v>
      </c>
      <c r="R11" s="663" t="s">
        <v>14</v>
      </c>
      <c r="S11" s="664" t="e">
        <f t="shared" si="0"/>
        <v>#N/A</v>
      </c>
      <c r="T11" s="663" t="s">
        <v>14</v>
      </c>
      <c r="U11" s="664" t="e">
        <f t="shared" si="1"/>
        <v>#N/A</v>
      </c>
      <c r="V11" s="663" t="s">
        <v>14</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15"/>
      <c r="Q12" s="529" t="str">
        <f t="shared" si="6"/>
        <v>配建</v>
      </c>
      <c r="R12" s="663" t="s">
        <v>14</v>
      </c>
      <c r="S12" s="664">
        <f t="shared" si="0"/>
        <v>100</v>
      </c>
      <c r="T12" s="663" t="s">
        <v>14</v>
      </c>
      <c r="U12" s="664">
        <f t="shared" si="1"/>
        <v>100</v>
      </c>
      <c r="V12" s="663" t="s">
        <v>14</v>
      </c>
      <c r="W12" s="664">
        <f t="shared" si="2"/>
        <v>100</v>
      </c>
      <c r="X12" s="665"/>
      <c r="Y12" s="332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15"/>
      <c r="Q13" s="529">
        <f t="shared" si="6"/>
        <v>111</v>
      </c>
      <c r="R13" s="663" t="s">
        <v>14</v>
      </c>
      <c r="S13" s="664">
        <f t="shared" si="0"/>
        <v>100</v>
      </c>
      <c r="T13" s="663" t="s">
        <v>14</v>
      </c>
      <c r="U13" s="664">
        <f t="shared" si="1"/>
        <v>100</v>
      </c>
      <c r="V13" s="663" t="s">
        <v>14</v>
      </c>
      <c r="W13" s="664">
        <f t="shared" si="2"/>
        <v>100</v>
      </c>
      <c r="X13" s="665"/>
      <c r="Y13" s="3327"/>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15"/>
      <c r="Q14" s="529">
        <f t="shared" si="6"/>
        <v>111</v>
      </c>
      <c r="R14" s="663" t="s">
        <v>14</v>
      </c>
      <c r="S14" s="664">
        <f t="shared" si="0"/>
        <v>100</v>
      </c>
      <c r="T14" s="663" t="s">
        <v>14</v>
      </c>
      <c r="U14" s="664">
        <f t="shared" si="1"/>
        <v>100</v>
      </c>
      <c r="V14" s="663" t="s">
        <v>14</v>
      </c>
      <c r="W14" s="664">
        <f t="shared" si="2"/>
        <v>100</v>
      </c>
      <c r="X14" s="665"/>
      <c r="Y14" s="332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6" t="s">
        <v>1691</v>
      </c>
      <c r="Q15" s="1262" t="str">
        <f t="shared" si="6"/>
        <v>居住社区成熟度</v>
      </c>
      <c r="R15" s="666" t="s">
        <v>14</v>
      </c>
      <c r="S15" s="667">
        <f t="shared" si="0"/>
        <v>100</v>
      </c>
      <c r="T15" s="666" t="s">
        <v>14</v>
      </c>
      <c r="U15" s="667">
        <f t="shared" si="1"/>
        <v>100</v>
      </c>
      <c r="V15" s="666" t="s">
        <v>14</v>
      </c>
      <c r="W15" s="667">
        <f t="shared" si="2"/>
        <v>100</v>
      </c>
      <c r="X15" s="1264"/>
      <c r="Y15" s="3416"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17"/>
      <c r="Q16" s="1262"/>
      <c r="R16" s="666"/>
      <c r="S16" s="667"/>
      <c r="T16" s="666"/>
      <c r="U16" s="667"/>
      <c r="V16" s="666"/>
      <c r="W16" s="667"/>
      <c r="X16" s="1264"/>
      <c r="Y16" s="3417"/>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17"/>
      <c r="Q17" s="1262" t="str">
        <f>B17</f>
        <v>商业繁华度</v>
      </c>
      <c r="R17" s="666" t="s">
        <v>14</v>
      </c>
      <c r="S17" s="667">
        <f>F17</f>
        <v>100</v>
      </c>
      <c r="T17" s="666" t="s">
        <v>14</v>
      </c>
      <c r="U17" s="667">
        <f>H17</f>
        <v>100</v>
      </c>
      <c r="V17" s="666" t="s">
        <v>14</v>
      </c>
      <c r="W17" s="667">
        <f>J17</f>
        <v>100</v>
      </c>
      <c r="X17" s="1264"/>
      <c r="Y17" s="3417"/>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17"/>
      <c r="Q18" s="1262"/>
      <c r="R18" s="666"/>
      <c r="S18" s="667"/>
      <c r="T18" s="666"/>
      <c r="U18" s="667"/>
      <c r="V18" s="666"/>
      <c r="W18" s="667"/>
      <c r="X18" s="1264"/>
      <c r="Y18" s="3417"/>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17"/>
      <c r="Q19" s="1262" t="str">
        <f>B19</f>
        <v>办公集聚程度</v>
      </c>
      <c r="R19" s="666" t="s">
        <v>14</v>
      </c>
      <c r="S19" s="667">
        <f>F19</f>
        <v>100</v>
      </c>
      <c r="T19" s="666" t="s">
        <v>14</v>
      </c>
      <c r="U19" s="667">
        <f>H19</f>
        <v>100</v>
      </c>
      <c r="V19" s="666" t="s">
        <v>14</v>
      </c>
      <c r="W19" s="667">
        <f>J19</f>
        <v>100</v>
      </c>
      <c r="X19" s="1264"/>
      <c r="Y19" s="3417"/>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17"/>
      <c r="Q20" s="1262"/>
      <c r="R20" s="666"/>
      <c r="S20" s="667"/>
      <c r="T20" s="666"/>
      <c r="U20" s="667"/>
      <c r="V20" s="666"/>
      <c r="W20" s="667"/>
      <c r="X20" s="1264"/>
      <c r="Y20" s="3417"/>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17"/>
      <c r="Q21" s="1262" t="str">
        <f>B21</f>
        <v>交通便捷度</v>
      </c>
      <c r="R21" s="666" t="s">
        <v>14</v>
      </c>
      <c r="S21" s="667">
        <f>F21</f>
        <v>100</v>
      </c>
      <c r="T21" s="666" t="s">
        <v>14</v>
      </c>
      <c r="U21" s="667">
        <f>H21</f>
        <v>100</v>
      </c>
      <c r="V21" s="666" t="s">
        <v>14</v>
      </c>
      <c r="W21" s="667">
        <f>J21</f>
        <v>100</v>
      </c>
      <c r="X21" s="1264"/>
      <c r="Y21" s="3417"/>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17"/>
      <c r="Q22" s="1262"/>
      <c r="R22" s="666"/>
      <c r="S22" s="667"/>
      <c r="T22" s="666"/>
      <c r="U22" s="667"/>
      <c r="V22" s="666"/>
      <c r="W22" s="667"/>
      <c r="X22" s="1264"/>
      <c r="Y22" s="3417"/>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17"/>
      <c r="Q23" s="1262" t="str">
        <f t="shared" ref="Q23:Q37" si="8">B23</f>
        <v>区域土地利用方向</v>
      </c>
      <c r="R23" s="666" t="s">
        <v>14</v>
      </c>
      <c r="S23" s="667">
        <f>F23</f>
        <v>100</v>
      </c>
      <c r="T23" s="666" t="s">
        <v>14</v>
      </c>
      <c r="U23" s="667">
        <f>H23</f>
        <v>100</v>
      </c>
      <c r="V23" s="666" t="s">
        <v>14</v>
      </c>
      <c r="W23" s="667">
        <f>J23</f>
        <v>100</v>
      </c>
      <c r="X23" s="1264"/>
      <c r="Y23" s="3417"/>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17"/>
      <c r="Q24" s="1262"/>
      <c r="R24" s="666"/>
      <c r="S24" s="667"/>
      <c r="T24" s="666"/>
      <c r="U24" s="667"/>
      <c r="V24" s="666"/>
      <c r="W24" s="667"/>
      <c r="X24" s="1264"/>
      <c r="Y24" s="3417"/>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17"/>
      <c r="Q25" s="1262" t="str">
        <f t="shared" si="8"/>
        <v>自然及人文环境状况</v>
      </c>
      <c r="R25" s="666" t="s">
        <v>14</v>
      </c>
      <c r="S25" s="667">
        <f>F25</f>
        <v>100</v>
      </c>
      <c r="T25" s="666" t="s">
        <v>14</v>
      </c>
      <c r="U25" s="667">
        <f>H25</f>
        <v>100</v>
      </c>
      <c r="V25" s="666" t="s">
        <v>14</v>
      </c>
      <c r="W25" s="667">
        <f>J25</f>
        <v>100</v>
      </c>
      <c r="X25" s="1264"/>
      <c r="Y25" s="3417"/>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17"/>
      <c r="Q26" s="1262"/>
      <c r="R26" s="666"/>
      <c r="S26" s="667"/>
      <c r="T26" s="666"/>
      <c r="U26" s="667"/>
      <c r="V26" s="666"/>
      <c r="W26" s="667"/>
      <c r="X26" s="1264"/>
      <c r="Y26" s="3417"/>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17"/>
      <c r="Q27" s="529" t="str">
        <f t="shared" si="8"/>
        <v>公共配套设施</v>
      </c>
      <c r="R27" s="663" t="s">
        <v>14</v>
      </c>
      <c r="S27" s="664">
        <f>F27</f>
        <v>100</v>
      </c>
      <c r="T27" s="663" t="s">
        <v>14</v>
      </c>
      <c r="U27" s="664">
        <f>H27</f>
        <v>100</v>
      </c>
      <c r="V27" s="663" t="s">
        <v>14</v>
      </c>
      <c r="W27" s="664">
        <f>J27</f>
        <v>100</v>
      </c>
      <c r="X27" s="665"/>
      <c r="Y27" s="3417"/>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417"/>
      <c r="Q28" s="529"/>
      <c r="R28" s="663"/>
      <c r="S28" s="664"/>
      <c r="T28" s="663"/>
      <c r="U28" s="664"/>
      <c r="V28" s="663"/>
      <c r="W28" s="664"/>
      <c r="X28" s="665"/>
      <c r="Y28" s="3417"/>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17"/>
      <c r="Q29" s="529" t="str">
        <f t="shared" ref="Q29" si="9">B29</f>
        <v>基础设施水平</v>
      </c>
      <c r="R29" s="663" t="s">
        <v>14</v>
      </c>
      <c r="S29" s="664">
        <f>F29</f>
        <v>100</v>
      </c>
      <c r="T29" s="663" t="s">
        <v>14</v>
      </c>
      <c r="U29" s="664">
        <f>H29</f>
        <v>100</v>
      </c>
      <c r="V29" s="663" t="s">
        <v>14</v>
      </c>
      <c r="W29" s="664">
        <f>J29</f>
        <v>100</v>
      </c>
      <c r="X29" s="665"/>
      <c r="Y29" s="3417"/>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417"/>
      <c r="Q30" s="529"/>
      <c r="R30" s="663"/>
      <c r="S30" s="664"/>
      <c r="T30" s="663"/>
      <c r="U30" s="664"/>
      <c r="V30" s="663"/>
      <c r="W30" s="664"/>
      <c r="X30" s="665"/>
      <c r="Y30" s="3417"/>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1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7"/>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17"/>
      <c r="Q32" s="1262" t="str">
        <f t="shared" si="8"/>
        <v>毗邻道路的类型与等级</v>
      </c>
      <c r="R32" s="666" t="s">
        <v>14</v>
      </c>
      <c r="S32" s="667">
        <f t="shared" si="10"/>
        <v>100</v>
      </c>
      <c r="T32" s="666" t="s">
        <v>14</v>
      </c>
      <c r="U32" s="667">
        <f t="shared" si="11"/>
        <v>100</v>
      </c>
      <c r="V32" s="666" t="s">
        <v>14</v>
      </c>
      <c r="W32" s="667">
        <f t="shared" si="12"/>
        <v>100</v>
      </c>
      <c r="X32" s="1264"/>
      <c r="Y32" s="3417"/>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17"/>
      <c r="Q33" s="1262"/>
      <c r="R33" s="666"/>
      <c r="S33" s="667"/>
      <c r="T33" s="666"/>
      <c r="U33" s="667"/>
      <c r="V33" s="666"/>
      <c r="W33" s="667"/>
      <c r="X33" s="1264"/>
      <c r="Y33" s="3417"/>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17"/>
      <c r="Q34" s="1262" t="str">
        <f t="shared" si="8"/>
        <v>土地级别</v>
      </c>
      <c r="R34" s="666" t="s">
        <v>14</v>
      </c>
      <c r="S34" s="667">
        <f t="shared" si="10"/>
        <v>100</v>
      </c>
      <c r="T34" s="666" t="s">
        <v>14</v>
      </c>
      <c r="U34" s="667">
        <f t="shared" si="11"/>
        <v>100</v>
      </c>
      <c r="V34" s="666" t="s">
        <v>14</v>
      </c>
      <c r="W34" s="667">
        <f t="shared" si="12"/>
        <v>100</v>
      </c>
      <c r="X34" s="1264"/>
      <c r="Y34" s="3417"/>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17"/>
      <c r="Q35" s="1262">
        <f t="shared" si="8"/>
        <v>111</v>
      </c>
      <c r="R35" s="666" t="s">
        <v>14</v>
      </c>
      <c r="S35" s="667">
        <f t="shared" si="10"/>
        <v>100</v>
      </c>
      <c r="T35" s="666" t="s">
        <v>14</v>
      </c>
      <c r="U35" s="667">
        <f t="shared" si="11"/>
        <v>100</v>
      </c>
      <c r="V35" s="666" t="s">
        <v>14</v>
      </c>
      <c r="W35" s="667">
        <f t="shared" si="12"/>
        <v>100</v>
      </c>
      <c r="X35" s="1264"/>
      <c r="Y35" s="3417"/>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25" t="s">
        <v>1696</v>
      </c>
      <c r="Q36" s="1262">
        <f t="shared" si="8"/>
        <v>111</v>
      </c>
      <c r="R36" s="666" t="s">
        <v>14</v>
      </c>
      <c r="S36" s="667">
        <f t="shared" si="10"/>
        <v>100</v>
      </c>
      <c r="T36" s="666" t="s">
        <v>14</v>
      </c>
      <c r="U36" s="667">
        <f t="shared" si="11"/>
        <v>100</v>
      </c>
      <c r="V36" s="666" t="s">
        <v>14</v>
      </c>
      <c r="W36" s="667">
        <f t="shared" si="12"/>
        <v>100</v>
      </c>
      <c r="X36" s="1264"/>
      <c r="Y36" s="3421"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21"/>
      <c r="Q37" s="1262">
        <f t="shared" si="8"/>
        <v>111</v>
      </c>
      <c r="R37" s="668" t="s">
        <v>14</v>
      </c>
      <c r="S37" s="669">
        <f t="shared" si="10"/>
        <v>100</v>
      </c>
      <c r="T37" s="668" t="s">
        <v>14</v>
      </c>
      <c r="U37" s="669">
        <f t="shared" si="11"/>
        <v>100</v>
      </c>
      <c r="V37" s="668" t="s">
        <v>14</v>
      </c>
      <c r="W37" s="669">
        <f t="shared" si="12"/>
        <v>100</v>
      </c>
      <c r="X37" s="670"/>
      <c r="Y37" s="3421"/>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21"/>
      <c r="Q38" s="1262" t="str">
        <f>B38</f>
        <v>宗地面积</v>
      </c>
      <c r="R38" s="666" t="s">
        <v>14</v>
      </c>
      <c r="S38" s="667" t="e">
        <f t="shared" si="10"/>
        <v>#N/A</v>
      </c>
      <c r="T38" s="666" t="s">
        <v>14</v>
      </c>
      <c r="U38" s="667" t="e">
        <f t="shared" si="11"/>
        <v>#N/A</v>
      </c>
      <c r="V38" s="666" t="s">
        <v>14</v>
      </c>
      <c r="W38" s="667" t="e">
        <f t="shared" si="12"/>
        <v>#N/A</v>
      </c>
      <c r="X38" s="1264"/>
      <c r="Y38" s="3421"/>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21"/>
      <c r="Q39" s="1262" t="str">
        <f t="shared" ref="Q39:Q45" si="14">B39</f>
        <v>宗地形状</v>
      </c>
      <c r="R39" s="666" t="s">
        <v>14</v>
      </c>
      <c r="S39" s="667">
        <f t="shared" si="10"/>
        <v>100</v>
      </c>
      <c r="T39" s="666" t="s">
        <v>14</v>
      </c>
      <c r="U39" s="667">
        <f t="shared" si="11"/>
        <v>100</v>
      </c>
      <c r="V39" s="666" t="s">
        <v>14</v>
      </c>
      <c r="W39" s="667">
        <f t="shared" si="12"/>
        <v>100</v>
      </c>
      <c r="X39" s="1264"/>
      <c r="Y39" s="342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21"/>
      <c r="Q40" s="1262" t="str">
        <f t="shared" si="14"/>
        <v>临街宽度及深度</v>
      </c>
      <c r="R40" s="666" t="s">
        <v>14</v>
      </c>
      <c r="S40" s="667">
        <f t="shared" si="10"/>
        <v>100</v>
      </c>
      <c r="T40" s="666" t="s">
        <v>14</v>
      </c>
      <c r="U40" s="667">
        <f t="shared" si="11"/>
        <v>100</v>
      </c>
      <c r="V40" s="666" t="s">
        <v>14</v>
      </c>
      <c r="W40" s="667">
        <f t="shared" si="12"/>
        <v>100</v>
      </c>
      <c r="X40" s="1264"/>
      <c r="Y40" s="3421"/>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21"/>
      <c r="Q41" s="1262" t="str">
        <f t="shared" si="14"/>
        <v>宗地开发程度</v>
      </c>
      <c r="R41" s="663" t="s">
        <v>14</v>
      </c>
      <c r="S41" s="664">
        <f t="shared" si="10"/>
        <v>100</v>
      </c>
      <c r="T41" s="663" t="s">
        <v>14</v>
      </c>
      <c r="U41" s="664">
        <f t="shared" si="11"/>
        <v>100</v>
      </c>
      <c r="V41" s="663" t="s">
        <v>14</v>
      </c>
      <c r="W41" s="664">
        <f t="shared" si="12"/>
        <v>100</v>
      </c>
      <c r="X41" s="665"/>
      <c r="Y41" s="3421"/>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21" t="s">
        <v>1696</v>
      </c>
      <c r="Q42" s="1262" t="str">
        <f t="shared" si="14"/>
        <v>工程地质条件</v>
      </c>
      <c r="R42" s="666" t="s">
        <v>14</v>
      </c>
      <c r="S42" s="667">
        <f t="shared" si="10"/>
        <v>100</v>
      </c>
      <c r="T42" s="666" t="s">
        <v>14</v>
      </c>
      <c r="U42" s="667">
        <f t="shared" si="11"/>
        <v>100</v>
      </c>
      <c r="V42" s="666" t="s">
        <v>14</v>
      </c>
      <c r="W42" s="667">
        <f t="shared" si="12"/>
        <v>100</v>
      </c>
      <c r="X42" s="1264"/>
      <c r="Y42" s="342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21"/>
      <c r="Q43" s="1262">
        <f t="shared" si="14"/>
        <v>111</v>
      </c>
      <c r="R43" s="666" t="s">
        <v>14</v>
      </c>
      <c r="S43" s="667">
        <f t="shared" si="10"/>
        <v>100</v>
      </c>
      <c r="T43" s="666" t="s">
        <v>14</v>
      </c>
      <c r="U43" s="667">
        <f t="shared" si="11"/>
        <v>100</v>
      </c>
      <c r="V43" s="666" t="s">
        <v>14</v>
      </c>
      <c r="W43" s="667">
        <f t="shared" si="12"/>
        <v>100</v>
      </c>
      <c r="X43" s="1264"/>
      <c r="Y43" s="342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21"/>
      <c r="Q44" s="1262">
        <f t="shared" si="14"/>
        <v>111</v>
      </c>
      <c r="R44" s="666" t="s">
        <v>14</v>
      </c>
      <c r="S44" s="667">
        <f t="shared" si="10"/>
        <v>100</v>
      </c>
      <c r="T44" s="666" t="s">
        <v>14</v>
      </c>
      <c r="U44" s="667">
        <f t="shared" si="11"/>
        <v>100</v>
      </c>
      <c r="V44" s="666" t="s">
        <v>14</v>
      </c>
      <c r="W44" s="667">
        <f t="shared" si="12"/>
        <v>100</v>
      </c>
      <c r="X44" s="1264"/>
      <c r="Y44" s="3421"/>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21"/>
      <c r="Q45" s="1262">
        <f t="shared" si="14"/>
        <v>111</v>
      </c>
      <c r="R45" s="668" t="s">
        <v>14</v>
      </c>
      <c r="S45" s="669">
        <f t="shared" si="10"/>
        <v>100</v>
      </c>
      <c r="T45" s="668" t="s">
        <v>14</v>
      </c>
      <c r="U45" s="669">
        <f t="shared" si="11"/>
        <v>100</v>
      </c>
      <c r="V45" s="668" t="s">
        <v>14</v>
      </c>
      <c r="W45" s="669">
        <f t="shared" si="12"/>
        <v>100</v>
      </c>
      <c r="X45" s="670"/>
      <c r="Y45" s="3421"/>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15" t="str">
        <f>A46</f>
        <v>成交单价</v>
      </c>
      <c r="Q46" s="3415"/>
      <c r="R46" s="3410">
        <f>E46</f>
        <v>0</v>
      </c>
      <c r="S46" s="3410"/>
      <c r="T46" s="3410">
        <f>G46</f>
        <v>0</v>
      </c>
      <c r="U46" s="3410"/>
      <c r="V46" s="3410">
        <f>I46</f>
        <v>0</v>
      </c>
      <c r="W46" s="3410"/>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15" t="str">
        <f>A47</f>
        <v>比较价值（元/平方米）</v>
      </c>
      <c r="Q47" s="3415"/>
      <c r="R47" s="3427" t="e">
        <f>ROUND(PRODUCT(R46,AA7:AA45),0)</f>
        <v>#DIV/0!</v>
      </c>
      <c r="S47" s="3427"/>
      <c r="T47" s="3427" t="e">
        <f>ROUND(PRODUCT(T46,AB7:AB45),0)</f>
        <v>#DIV/0!</v>
      </c>
      <c r="U47" s="3427"/>
      <c r="V47" s="3427" t="e">
        <f>ROUND(PRODUCT(V46,AC7:AC45),0)</f>
        <v>#DIV/0!</v>
      </c>
      <c r="W47" s="3427"/>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12" t="str">
        <f>A48</f>
        <v>估价对象XX用房的比较价值（楼面单价，元/平方米）</v>
      </c>
      <c r="Q48" s="3413"/>
      <c r="R48" s="3428" t="e">
        <f>ROUND(IF(D47="简单平均",AVERAGE(R47:W47),R47*F47+T47*H47+V47*J47),0)</f>
        <v>#DIV/0!</v>
      </c>
      <c r="S48" s="3428"/>
      <c r="T48" s="3428"/>
      <c r="U48" s="3428"/>
      <c r="V48" s="3428"/>
      <c r="W48" s="3428"/>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8" t="s">
        <v>1887</v>
      </c>
      <c r="H55" s="3429"/>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6042.6</v>
      </c>
      <c r="F56" s="832" t="e">
        <f t="shared" ref="F56:F64" si="15">ROUND(B56*E56/10000,0)</f>
        <v>#DIV/0!</v>
      </c>
      <c r="G56" s="3397"/>
      <c r="H56" s="341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6042.6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7"/>
      <c r="B5" s="348"/>
      <c r="C5" s="3391" t="s">
        <v>1673</v>
      </c>
      <c r="D5" s="3392"/>
      <c r="E5" s="3389" t="s">
        <v>1674</v>
      </c>
      <c r="F5" s="3390"/>
      <c r="G5" s="3391" t="s">
        <v>1675</v>
      </c>
      <c r="H5" s="3392"/>
      <c r="I5" s="3391" t="s">
        <v>1676</v>
      </c>
      <c r="J5" s="3392"/>
      <c r="K5" s="536"/>
      <c r="L5" s="2486"/>
      <c r="M5" s="2487"/>
      <c r="N5" s="2487"/>
      <c r="O5" s="2487"/>
      <c r="P5" s="3404"/>
      <c r="Q5" s="3405"/>
      <c r="R5" s="3387"/>
      <c r="S5" s="3388"/>
      <c r="T5" s="3387"/>
      <c r="U5" s="3388"/>
      <c r="V5" s="3410"/>
      <c r="W5" s="3410"/>
      <c r="X5" s="1264"/>
      <c r="Y5" s="3387"/>
      <c r="Z5" s="3388"/>
      <c r="AA5" s="3381"/>
      <c r="AB5" s="3381"/>
      <c r="AC5" s="3381"/>
    </row>
    <row r="6" spans="1:29" ht="15.75" thickBot="1">
      <c r="A6" s="349"/>
      <c r="B6" s="350"/>
      <c r="C6" s="3430" t="s">
        <v>1919</v>
      </c>
      <c r="D6" s="3431"/>
      <c r="E6" s="3432" t="s">
        <v>1919</v>
      </c>
      <c r="F6" s="3433"/>
      <c r="G6" s="3430" t="s">
        <v>1919</v>
      </c>
      <c r="H6" s="3431"/>
      <c r="I6" s="3430" t="s">
        <v>1919</v>
      </c>
      <c r="J6" s="3431"/>
      <c r="K6" s="536" t="s">
        <v>1678</v>
      </c>
      <c r="L6" s="2486"/>
      <c r="M6" s="2487"/>
      <c r="N6" s="2487"/>
      <c r="O6" s="2487"/>
      <c r="P6" s="3406"/>
      <c r="Q6" s="3407"/>
      <c r="R6" s="3387"/>
      <c r="S6" s="3388"/>
      <c r="T6" s="3408"/>
      <c r="U6" s="3409"/>
      <c r="V6" s="3410"/>
      <c r="W6" s="3410"/>
      <c r="X6" s="1264"/>
      <c r="Y6" s="3408"/>
      <c r="Z6" s="3409"/>
      <c r="AA6" s="3382"/>
      <c r="AB6" s="3382"/>
      <c r="AC6" s="3382"/>
    </row>
    <row r="7" spans="1:29" s="101" customFormat="1" ht="15.75" thickBot="1">
      <c r="A7" s="351" t="s">
        <v>1679</v>
      </c>
      <c r="B7" s="352"/>
      <c r="C7" s="353">
        <f>'数据-取费表'!B2</f>
        <v>45561</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83" t="s">
        <v>1680</v>
      </c>
      <c r="Q7" s="3411"/>
      <c r="R7" s="663" t="s">
        <v>14</v>
      </c>
      <c r="S7" s="664">
        <f t="shared" ref="S7:S15" si="0">F7</f>
        <v>0</v>
      </c>
      <c r="T7" s="663" t="s">
        <v>14</v>
      </c>
      <c r="U7" s="664">
        <f t="shared" ref="U7:U15" si="1">H7</f>
        <v>0</v>
      </c>
      <c r="V7" s="663" t="s">
        <v>14</v>
      </c>
      <c r="W7" s="664">
        <f t="shared" ref="W7:W15" si="2">J7</f>
        <v>0</v>
      </c>
      <c r="X7" s="665"/>
      <c r="Y7" s="3383" t="s">
        <v>1680</v>
      </c>
      <c r="Z7" s="3384"/>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83" t="s">
        <v>1683</v>
      </c>
      <c r="Q8" s="3384"/>
      <c r="R8" s="663" t="s">
        <v>14</v>
      </c>
      <c r="S8" s="664">
        <f t="shared" si="0"/>
        <v>0</v>
      </c>
      <c r="T8" s="663" t="s">
        <v>14</v>
      </c>
      <c r="U8" s="664">
        <f t="shared" si="1"/>
        <v>0</v>
      </c>
      <c r="V8" s="663" t="s">
        <v>14</v>
      </c>
      <c r="W8" s="664">
        <f t="shared" si="2"/>
        <v>0</v>
      </c>
      <c r="X8" s="665"/>
      <c r="Y8" s="3383" t="s">
        <v>1683</v>
      </c>
      <c r="Z8" s="3384"/>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5"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121</v>
      </c>
      <c r="G10" s="370"/>
      <c r="H10" s="118">
        <f>ROUND(100/'数据-取费表'!G16,0)</f>
        <v>121</v>
      </c>
      <c r="I10" s="370"/>
      <c r="J10" s="118">
        <f>ROUND(100/'数据-取费表'!G16,0)</f>
        <v>121</v>
      </c>
      <c r="K10" s="591"/>
      <c r="L10" s="2489"/>
      <c r="M10" s="2490"/>
      <c r="N10" s="2490"/>
      <c r="O10" s="2541"/>
      <c r="P10" s="3415"/>
      <c r="Q10" s="529" t="str">
        <f t="shared" si="6"/>
        <v>土地使用年限（年）</v>
      </c>
      <c r="R10" s="663" t="s">
        <v>14</v>
      </c>
      <c r="S10" s="664">
        <f t="shared" si="0"/>
        <v>121</v>
      </c>
      <c r="T10" s="663" t="s">
        <v>14</v>
      </c>
      <c r="U10" s="664">
        <f t="shared" si="1"/>
        <v>121</v>
      </c>
      <c r="V10" s="663" t="s">
        <v>14</v>
      </c>
      <c r="W10" s="664">
        <f t="shared" si="2"/>
        <v>121</v>
      </c>
      <c r="X10" s="665"/>
      <c r="Y10" s="3327"/>
      <c r="Z10" s="50" t="str">
        <f t="shared" si="7"/>
        <v>土地使用年限（年）</v>
      </c>
      <c r="AA10" s="50">
        <f t="shared" si="3"/>
        <v>0.82644628099173556</v>
      </c>
      <c r="AB10" s="50">
        <f t="shared" si="4"/>
        <v>0.82644628099173556</v>
      </c>
      <c r="AC10" s="50">
        <f t="shared" si="5"/>
        <v>0.82644628099173556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15"/>
      <c r="Q11" s="529" t="str">
        <f t="shared" si="6"/>
        <v>容积率</v>
      </c>
      <c r="R11" s="663" t="s">
        <v>14</v>
      </c>
      <c r="S11" s="664" t="e">
        <f t="shared" si="0"/>
        <v>#N/A</v>
      </c>
      <c r="T11" s="663" t="s">
        <v>14</v>
      </c>
      <c r="U11" s="664" t="e">
        <f t="shared" si="1"/>
        <v>#N/A</v>
      </c>
      <c r="V11" s="663" t="s">
        <v>14</v>
      </c>
      <c r="W11" s="664" t="e">
        <f t="shared" si="2"/>
        <v>#N/A</v>
      </c>
      <c r="X11" s="665"/>
      <c r="Y11" s="332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15"/>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15"/>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15"/>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6" t="s">
        <v>1691</v>
      </c>
      <c r="Q15" s="1262" t="str">
        <f t="shared" si="6"/>
        <v>产业集聚程度</v>
      </c>
      <c r="R15" s="666" t="s">
        <v>14</v>
      </c>
      <c r="S15" s="667">
        <f t="shared" si="0"/>
        <v>100</v>
      </c>
      <c r="T15" s="666" t="s">
        <v>14</v>
      </c>
      <c r="U15" s="667">
        <f t="shared" si="1"/>
        <v>100</v>
      </c>
      <c r="V15" s="666" t="s">
        <v>14</v>
      </c>
      <c r="W15" s="667">
        <f t="shared" si="2"/>
        <v>100</v>
      </c>
      <c r="X15" s="1264"/>
      <c r="Y15" s="3416"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17"/>
      <c r="Q16" s="1262"/>
      <c r="R16" s="666"/>
      <c r="S16" s="667"/>
      <c r="T16" s="666"/>
      <c r="U16" s="667"/>
      <c r="V16" s="666"/>
      <c r="W16" s="667"/>
      <c r="X16" s="1264"/>
      <c r="Y16" s="3417"/>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17"/>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17"/>
      <c r="Q18" s="1262"/>
      <c r="R18" s="666"/>
      <c r="S18" s="667"/>
      <c r="T18" s="666"/>
      <c r="U18" s="667"/>
      <c r="V18" s="666"/>
      <c r="W18" s="667"/>
      <c r="X18" s="1264"/>
      <c r="Y18" s="3417"/>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17"/>
      <c r="Q19" s="1262" t="str">
        <f t="shared" ref="Q19:Q33" si="8">B19</f>
        <v>区域土地利用方向</v>
      </c>
      <c r="R19" s="666" t="s">
        <v>14</v>
      </c>
      <c r="S19" s="667">
        <f>F19</f>
        <v>100</v>
      </c>
      <c r="T19" s="666" t="s">
        <v>14</v>
      </c>
      <c r="U19" s="667">
        <f>H19</f>
        <v>100</v>
      </c>
      <c r="V19" s="666" t="s">
        <v>14</v>
      </c>
      <c r="W19" s="667">
        <f>J19</f>
        <v>100</v>
      </c>
      <c r="X19" s="1264"/>
      <c r="Y19" s="3417"/>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17"/>
      <c r="Q20" s="1262"/>
      <c r="R20" s="666"/>
      <c r="S20" s="667"/>
      <c r="T20" s="666"/>
      <c r="U20" s="667"/>
      <c r="V20" s="666"/>
      <c r="W20" s="667"/>
      <c r="X20" s="1264"/>
      <c r="Y20" s="3417"/>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17"/>
      <c r="Q21" s="1262" t="str">
        <f t="shared" si="8"/>
        <v>环境状况</v>
      </c>
      <c r="R21" s="666" t="s">
        <v>14</v>
      </c>
      <c r="S21" s="667">
        <f>F21</f>
        <v>100</v>
      </c>
      <c r="T21" s="666" t="s">
        <v>14</v>
      </c>
      <c r="U21" s="667">
        <f>H21</f>
        <v>100</v>
      </c>
      <c r="V21" s="666" t="s">
        <v>14</v>
      </c>
      <c r="W21" s="667">
        <f>J21</f>
        <v>100</v>
      </c>
      <c r="X21" s="1264"/>
      <c r="Y21" s="3417"/>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17"/>
      <c r="Q22" s="1262"/>
      <c r="R22" s="666"/>
      <c r="S22" s="667"/>
      <c r="T22" s="666"/>
      <c r="U22" s="667"/>
      <c r="V22" s="666"/>
      <c r="W22" s="667"/>
      <c r="X22" s="1264"/>
      <c r="Y22" s="3417"/>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17"/>
      <c r="Q23" s="529" t="str">
        <f t="shared" si="8"/>
        <v>公共配套设施</v>
      </c>
      <c r="R23" s="663" t="s">
        <v>14</v>
      </c>
      <c r="S23" s="664">
        <f>F23</f>
        <v>100</v>
      </c>
      <c r="T23" s="663" t="s">
        <v>14</v>
      </c>
      <c r="U23" s="664">
        <f>H23</f>
        <v>100</v>
      </c>
      <c r="V23" s="663" t="s">
        <v>14</v>
      </c>
      <c r="W23" s="664">
        <f>J23</f>
        <v>100</v>
      </c>
      <c r="X23" s="665"/>
      <c r="Y23" s="3417"/>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417"/>
      <c r="Q24" s="529"/>
      <c r="R24" s="663"/>
      <c r="S24" s="664"/>
      <c r="T24" s="663"/>
      <c r="U24" s="664"/>
      <c r="V24" s="663"/>
      <c r="W24" s="664"/>
      <c r="X24" s="665"/>
      <c r="Y24" s="3417"/>
      <c r="Z24" s="50"/>
      <c r="AA24" s="50">
        <v>1</v>
      </c>
      <c r="AB24" s="50">
        <v>1</v>
      </c>
      <c r="AC24" s="50">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17"/>
      <c r="Q25" s="529" t="str">
        <f t="shared" ref="Q25" si="9">B25</f>
        <v>基础设施水平</v>
      </c>
      <c r="R25" s="663" t="s">
        <v>14</v>
      </c>
      <c r="S25" s="664">
        <f>F25</f>
        <v>100</v>
      </c>
      <c r="T25" s="663" t="s">
        <v>14</v>
      </c>
      <c r="U25" s="664">
        <f>H25</f>
        <v>100</v>
      </c>
      <c r="V25" s="663" t="s">
        <v>14</v>
      </c>
      <c r="W25" s="664">
        <f>J25</f>
        <v>100</v>
      </c>
      <c r="X25" s="665"/>
      <c r="Y25" s="3417"/>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417"/>
      <c r="Q26" s="529"/>
      <c r="R26" s="663"/>
      <c r="S26" s="664"/>
      <c r="T26" s="663"/>
      <c r="U26" s="664"/>
      <c r="V26" s="663"/>
      <c r="W26" s="664"/>
      <c r="X26" s="665"/>
      <c r="Y26" s="341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1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7"/>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17"/>
      <c r="Q28" s="1262" t="str">
        <f t="shared" si="8"/>
        <v>毗邻道路的类型与等级</v>
      </c>
      <c r="R28" s="666" t="s">
        <v>14</v>
      </c>
      <c r="S28" s="667">
        <f t="shared" si="10"/>
        <v>100</v>
      </c>
      <c r="T28" s="666" t="s">
        <v>14</v>
      </c>
      <c r="U28" s="667">
        <f t="shared" si="11"/>
        <v>100</v>
      </c>
      <c r="V28" s="666" t="s">
        <v>14</v>
      </c>
      <c r="W28" s="667">
        <f t="shared" si="12"/>
        <v>100</v>
      </c>
      <c r="X28" s="1264"/>
      <c r="Y28" s="3417"/>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17"/>
      <c r="Q29" s="1262"/>
      <c r="R29" s="666"/>
      <c r="S29" s="667"/>
      <c r="T29" s="666"/>
      <c r="U29" s="667"/>
      <c r="V29" s="666"/>
      <c r="W29" s="667"/>
      <c r="X29" s="1264"/>
      <c r="Y29" s="3417"/>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17"/>
      <c r="Q30" s="1262" t="str">
        <f t="shared" si="8"/>
        <v>土地级别</v>
      </c>
      <c r="R30" s="666" t="s">
        <v>14</v>
      </c>
      <c r="S30" s="667">
        <f t="shared" si="10"/>
        <v>100</v>
      </c>
      <c r="T30" s="666" t="s">
        <v>14</v>
      </c>
      <c r="U30" s="667">
        <f t="shared" si="11"/>
        <v>100</v>
      </c>
      <c r="V30" s="666" t="s">
        <v>14</v>
      </c>
      <c r="W30" s="667">
        <f t="shared" si="12"/>
        <v>100</v>
      </c>
      <c r="X30" s="1264"/>
      <c r="Y30" s="3417"/>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17"/>
      <c r="Q31" s="1262">
        <f t="shared" si="8"/>
        <v>111</v>
      </c>
      <c r="R31" s="666" t="s">
        <v>14</v>
      </c>
      <c r="S31" s="667">
        <f t="shared" si="10"/>
        <v>100</v>
      </c>
      <c r="T31" s="666" t="s">
        <v>14</v>
      </c>
      <c r="U31" s="667">
        <f t="shared" si="11"/>
        <v>100</v>
      </c>
      <c r="V31" s="666" t="s">
        <v>14</v>
      </c>
      <c r="W31" s="667">
        <f t="shared" si="12"/>
        <v>100</v>
      </c>
      <c r="X31" s="1264"/>
      <c r="Y31" s="3417"/>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25" t="s">
        <v>1696</v>
      </c>
      <c r="Q32" s="1262">
        <f t="shared" si="8"/>
        <v>111</v>
      </c>
      <c r="R32" s="666" t="s">
        <v>14</v>
      </c>
      <c r="S32" s="667">
        <f t="shared" si="10"/>
        <v>100</v>
      </c>
      <c r="T32" s="666" t="s">
        <v>14</v>
      </c>
      <c r="U32" s="667">
        <f t="shared" si="11"/>
        <v>100</v>
      </c>
      <c r="V32" s="666" t="s">
        <v>14</v>
      </c>
      <c r="W32" s="667">
        <f t="shared" si="12"/>
        <v>100</v>
      </c>
      <c r="X32" s="1264"/>
      <c r="Y32" s="3421"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21"/>
      <c r="Q33" s="1262">
        <f t="shared" si="8"/>
        <v>111</v>
      </c>
      <c r="R33" s="668" t="s">
        <v>14</v>
      </c>
      <c r="S33" s="669">
        <f t="shared" si="10"/>
        <v>100</v>
      </c>
      <c r="T33" s="668" t="s">
        <v>14</v>
      </c>
      <c r="U33" s="669">
        <f t="shared" si="11"/>
        <v>100</v>
      </c>
      <c r="V33" s="668" t="s">
        <v>14</v>
      </c>
      <c r="W33" s="669">
        <f t="shared" si="12"/>
        <v>100</v>
      </c>
      <c r="X33" s="670"/>
      <c r="Y33" s="3421"/>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21"/>
      <c r="Q34" s="1262" t="str">
        <f>B34</f>
        <v>宗地面积</v>
      </c>
      <c r="R34" s="666" t="s">
        <v>14</v>
      </c>
      <c r="S34" s="667" t="e">
        <f t="shared" si="10"/>
        <v>#N/A</v>
      </c>
      <c r="T34" s="666" t="s">
        <v>14</v>
      </c>
      <c r="U34" s="667" t="e">
        <f t="shared" si="11"/>
        <v>#N/A</v>
      </c>
      <c r="V34" s="666" t="s">
        <v>14</v>
      </c>
      <c r="W34" s="667" t="e">
        <f t="shared" si="12"/>
        <v>#N/A</v>
      </c>
      <c r="X34" s="1264"/>
      <c r="Y34" s="3421"/>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21"/>
      <c r="Q35" s="1262" t="str">
        <f t="shared" ref="Q35:Q40" si="14">B35</f>
        <v>宗地形状</v>
      </c>
      <c r="R35" s="666" t="s">
        <v>14</v>
      </c>
      <c r="S35" s="667">
        <f t="shared" si="10"/>
        <v>100</v>
      </c>
      <c r="T35" s="666" t="s">
        <v>14</v>
      </c>
      <c r="U35" s="667">
        <f t="shared" si="11"/>
        <v>100</v>
      </c>
      <c r="V35" s="666" t="s">
        <v>14</v>
      </c>
      <c r="W35" s="667">
        <f t="shared" si="12"/>
        <v>100</v>
      </c>
      <c r="X35" s="1264"/>
      <c r="Y35" s="3421"/>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21"/>
      <c r="Q36" s="1262" t="str">
        <f t="shared" si="14"/>
        <v>宗地开发程度</v>
      </c>
      <c r="R36" s="663" t="s">
        <v>14</v>
      </c>
      <c r="S36" s="664">
        <f t="shared" si="10"/>
        <v>100</v>
      </c>
      <c r="T36" s="663" t="s">
        <v>14</v>
      </c>
      <c r="U36" s="664">
        <f t="shared" si="11"/>
        <v>100</v>
      </c>
      <c r="V36" s="663" t="s">
        <v>14</v>
      </c>
      <c r="W36" s="664">
        <f t="shared" si="12"/>
        <v>100</v>
      </c>
      <c r="X36" s="665"/>
      <c r="Y36" s="3421"/>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21" t="s">
        <v>1696</v>
      </c>
      <c r="Q37" s="1262" t="str">
        <f t="shared" si="14"/>
        <v>工程地质条件</v>
      </c>
      <c r="R37" s="666" t="s">
        <v>14</v>
      </c>
      <c r="S37" s="667">
        <f t="shared" si="10"/>
        <v>100</v>
      </c>
      <c r="T37" s="666" t="s">
        <v>14</v>
      </c>
      <c r="U37" s="667">
        <f t="shared" si="11"/>
        <v>100</v>
      </c>
      <c r="V37" s="666" t="s">
        <v>14</v>
      </c>
      <c r="W37" s="667">
        <f t="shared" si="12"/>
        <v>100</v>
      </c>
      <c r="X37" s="1264"/>
      <c r="Y37" s="342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21"/>
      <c r="Q38" s="1262">
        <f t="shared" si="14"/>
        <v>111</v>
      </c>
      <c r="R38" s="666" t="s">
        <v>14</v>
      </c>
      <c r="S38" s="667">
        <f t="shared" si="10"/>
        <v>100</v>
      </c>
      <c r="T38" s="666" t="s">
        <v>14</v>
      </c>
      <c r="U38" s="667">
        <f t="shared" si="11"/>
        <v>100</v>
      </c>
      <c r="V38" s="666" t="s">
        <v>14</v>
      </c>
      <c r="W38" s="667">
        <f t="shared" si="12"/>
        <v>100</v>
      </c>
      <c r="X38" s="1264"/>
      <c r="Y38" s="342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21"/>
      <c r="Q39" s="1262">
        <f t="shared" si="14"/>
        <v>111</v>
      </c>
      <c r="R39" s="666" t="s">
        <v>14</v>
      </c>
      <c r="S39" s="667">
        <f t="shared" si="10"/>
        <v>100</v>
      </c>
      <c r="T39" s="666" t="s">
        <v>14</v>
      </c>
      <c r="U39" s="667">
        <f t="shared" si="11"/>
        <v>100</v>
      </c>
      <c r="V39" s="666" t="s">
        <v>14</v>
      </c>
      <c r="W39" s="667">
        <f t="shared" si="12"/>
        <v>100</v>
      </c>
      <c r="X39" s="1264"/>
      <c r="Y39" s="3421"/>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21"/>
      <c r="Q40" s="1262">
        <f t="shared" si="14"/>
        <v>111</v>
      </c>
      <c r="R40" s="668" t="s">
        <v>14</v>
      </c>
      <c r="S40" s="669">
        <f t="shared" si="10"/>
        <v>100</v>
      </c>
      <c r="T40" s="668" t="s">
        <v>14</v>
      </c>
      <c r="U40" s="669">
        <f t="shared" si="11"/>
        <v>100</v>
      </c>
      <c r="V40" s="668" t="s">
        <v>14</v>
      </c>
      <c r="W40" s="669">
        <f t="shared" si="12"/>
        <v>100</v>
      </c>
      <c r="X40" s="670"/>
      <c r="Y40" s="3421"/>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15" t="str">
        <f>A41</f>
        <v>成交单价</v>
      </c>
      <c r="Q41" s="3415"/>
      <c r="R41" s="3410">
        <f>E41</f>
        <v>0</v>
      </c>
      <c r="S41" s="3410"/>
      <c r="T41" s="3410">
        <f>G41</f>
        <v>0</v>
      </c>
      <c r="U41" s="3410"/>
      <c r="V41" s="3410">
        <f>I41</f>
        <v>0</v>
      </c>
      <c r="W41" s="3410"/>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15" t="str">
        <f>A42</f>
        <v>比较价值（元/平方米）</v>
      </c>
      <c r="Q42" s="3415"/>
      <c r="R42" s="3427" t="e">
        <f>ROUND(PRODUCT(R41,AA7:AA40),0)</f>
        <v>#DIV/0!</v>
      </c>
      <c r="S42" s="3427"/>
      <c r="T42" s="3427" t="e">
        <f>ROUND(PRODUCT(T41,AB7:AB40),0)</f>
        <v>#DIV/0!</v>
      </c>
      <c r="U42" s="3427"/>
      <c r="V42" s="3427" t="e">
        <f>ROUND(PRODUCT(V41,AC7:AC40),0)</f>
        <v>#DIV/0!</v>
      </c>
      <c r="W42" s="3427"/>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12" t="str">
        <f>A43</f>
        <v>估价对象XX用房的比较价值（楼面单价，元/平方米）</v>
      </c>
      <c r="Q43" s="3413"/>
      <c r="R43" s="3428" t="e">
        <f>ROUND(IF(D42="简单平均",AVERAGE(R42:W42),R42*F42+T42*H42+V42*J42),0)</f>
        <v>#DIV/0!</v>
      </c>
      <c r="S43" s="3428"/>
      <c r="T43" s="3428"/>
      <c r="U43" s="3428"/>
      <c r="V43" s="3428"/>
      <c r="W43" s="3428"/>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8" t="s">
        <v>1887</v>
      </c>
      <c r="H50" s="342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6042.6</v>
      </c>
      <c r="F51" s="610" t="e">
        <f t="shared" ref="F51:F60" si="15">ROUND(B51*E51/10000,0)</f>
        <v>#DIV/0!</v>
      </c>
      <c r="G51" s="3397"/>
      <c r="H51" s="341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37" t="s">
        <v>2084</v>
      </c>
      <c r="D1" s="3438"/>
      <c r="E1" s="3438"/>
      <c r="F1" s="3438"/>
      <c r="G1" s="3438"/>
      <c r="H1" s="3438"/>
      <c r="I1" s="3438"/>
      <c r="J1" s="3438"/>
      <c r="K1" s="3438"/>
      <c r="L1" s="3438"/>
      <c r="M1" s="3438"/>
      <c r="N1" s="3438"/>
      <c r="O1" s="3438"/>
      <c r="P1" s="3438"/>
      <c r="Q1" s="3438"/>
      <c r="R1" s="3438"/>
      <c r="S1" s="343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394</v>
      </c>
      <c r="C2" s="1983" t="s">
        <v>2074</v>
      </c>
      <c r="D2" s="1983" t="s">
        <v>2075</v>
      </c>
      <c r="E2" s="2397">
        <f ca="1">SUMIF(E6:E13,"&lt;&gt;#ref!",E6:E13)</f>
        <v>6042.6</v>
      </c>
      <c r="F2" s="2544"/>
      <c r="G2" s="2544"/>
      <c r="H2" s="2544"/>
      <c r="I2" s="2544"/>
      <c r="J2" s="2544"/>
      <c r="K2" s="2544"/>
      <c r="L2" s="2544"/>
      <c r="M2" s="2544"/>
      <c r="N2" s="2544"/>
      <c r="O2" s="2544"/>
      <c r="P2" s="2544"/>
    </row>
    <row r="3" spans="1:16" ht="15.75">
      <c r="A3" s="1983" t="s">
        <v>2076</v>
      </c>
      <c r="B3" s="2387">
        <f ca="1">ROUND(B2*10000/E2,0)</f>
        <v>652</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394</v>
      </c>
      <c r="C6" s="1983" t="s">
        <v>2074</v>
      </c>
      <c r="D6" s="2544"/>
      <c r="E6" s="2397">
        <f ca="1">SUMIF(INDIRECT("'"&amp;A6&amp;"'"&amp;"!C:C"),"建筑面积",INDIRECT("'"&amp;A6&amp;"'"&amp;"!D:D"))</f>
        <v>6042.6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13" zoomScale="85" zoomScaleNormal="80" zoomScaleSheetLayoutView="85" workbookViewId="0">
      <selection activeCell="H13" sqref="H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6042.6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394</v>
      </c>
      <c r="C2" s="1845" t="s">
        <v>1935</v>
      </c>
      <c r="D2" s="161" t="s">
        <v>1936</v>
      </c>
      <c r="E2" s="3119" t="s">
        <v>3</v>
      </c>
      <c r="F2" s="161" t="s">
        <v>1937</v>
      </c>
      <c r="G2" s="162" t="str">
        <f>IF(E2="商业",项目基本情况!B37,IF(E2="办公",项目基本情况!C37,IF(E2="住宅",项目基本情况!D37,IF(E2="工业",项目基本情况!E37,项目基本情况!F37))))</f>
        <v>十级</v>
      </c>
      <c r="H2" s="161" t="s">
        <v>1938</v>
      </c>
      <c r="I2" s="162" t="str">
        <f>IF(E2="商业",项目基本情况!B38,IF(E2="办公",项目基本情况!C38,IF(E2="住宅",项目基本情况!D38,IF(E2="工业",项目基本情况!E38,项目基本情况!F38))))</f>
        <v>Ⅹ-密2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1006</v>
      </c>
      <c r="U2" s="1129"/>
      <c r="V2" s="3062">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652</v>
      </c>
      <c r="C3" s="1845" t="s">
        <v>1941</v>
      </c>
      <c r="D3" s="161" t="s">
        <v>1942</v>
      </c>
      <c r="E3" s="3117" t="s">
        <v>2472</v>
      </c>
      <c r="F3" s="1847" t="s">
        <v>3399</v>
      </c>
      <c r="G3" s="3168">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775</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47"/>
      <c r="B4" s="3448"/>
      <c r="C4" s="3448"/>
      <c r="D4" s="3449"/>
      <c r="E4" s="3449"/>
      <c r="F4" s="3449"/>
      <c r="G4" s="3449"/>
      <c r="H4" s="3449"/>
      <c r="I4" s="3449"/>
      <c r="J4" s="345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632</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700</v>
      </c>
      <c r="D5" s="1251">
        <f>ROUND(C6*C17+C20,0)</f>
        <v>700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537</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700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489</v>
      </c>
      <c r="U6" s="1129"/>
      <c r="V6" s="3062">
        <f t="shared" si="1"/>
        <v>0</v>
      </c>
      <c r="W6" s="1132"/>
      <c r="X6" s="1132"/>
      <c r="Y6" s="1132"/>
      <c r="Z6" s="1132"/>
      <c r="AA6" s="1132"/>
      <c r="AB6" s="1132"/>
      <c r="AC6" s="1854"/>
      <c r="AD6" s="1855"/>
      <c r="AE6" s="1855"/>
      <c r="AF6" s="1855"/>
      <c r="AG6" s="1855"/>
      <c r="AH6" s="1855"/>
      <c r="AI6" s="1855"/>
      <c r="AJ6" s="1856"/>
    </row>
    <row r="7" spans="1:36" ht="24.75" thickBot="1">
      <c r="A7" s="3012" t="s">
        <v>3230</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十级</v>
      </c>
      <c r="Y7" s="1130" t="s">
        <v>1956</v>
      </c>
      <c r="Z7" s="1131">
        <f>G3</f>
        <v>1</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44" t="s">
        <v>1960</v>
      </c>
      <c r="X8" s="34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46"/>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700</v>
      </c>
      <c r="N10" s="812">
        <f>SUMPRODUCT((因素修正幅度!B327:B357=I2)*(因素修正幅度!C3:G3=E2)*(因素修正幅度!C327:G357))</f>
        <v>0.13</v>
      </c>
      <c r="O10" s="1055"/>
      <c r="P10" s="1055"/>
      <c r="Q10" s="1055"/>
      <c r="R10" s="1128">
        <v>9</v>
      </c>
      <c r="S10" s="1129"/>
      <c r="T10" s="3062">
        <f t="shared" si="0"/>
        <v>0</v>
      </c>
      <c r="U10" s="1129"/>
      <c r="V10" s="3062">
        <f t="shared" si="1"/>
        <v>0</v>
      </c>
      <c r="W10" s="344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3"/>
      <c r="AE11" s="2553"/>
      <c r="AF11" s="2553"/>
      <c r="AG11" s="2553"/>
      <c r="AH11" s="2553"/>
      <c r="AI11" s="2553"/>
      <c r="AJ11" s="2554"/>
    </row>
    <row r="12" spans="1:36" ht="25.5" thickBot="1">
      <c r="A12" s="3012" t="s">
        <v>3231</v>
      </c>
      <c r="B12" s="3013" t="s">
        <v>3232</v>
      </c>
      <c r="C12" s="3014"/>
      <c r="D12" s="3015" t="s">
        <v>3233</v>
      </c>
      <c r="E12" s="3016" t="s">
        <v>3234</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3"/>
      <c r="AE12" s="2553"/>
      <c r="AF12" s="2553"/>
      <c r="AG12" s="2553"/>
      <c r="AH12" s="2553"/>
      <c r="AI12" s="2553"/>
      <c r="AJ12" s="2554"/>
    </row>
    <row r="13" spans="1:36" ht="15.75" thickBot="1">
      <c r="A13" s="3012" t="s">
        <v>3235</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2">
        <f t="shared" si="0"/>
        <v>0</v>
      </c>
      <c r="U13" s="1129"/>
      <c r="V13" s="3062">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3236</v>
      </c>
      <c r="G14" s="3020" t="s">
        <v>3236</v>
      </c>
      <c r="H14" s="3020" t="s">
        <v>3236</v>
      </c>
      <c r="I14" s="3020" t="s">
        <v>3236</v>
      </c>
      <c r="J14" s="3020" t="s">
        <v>3236</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3237</v>
      </c>
      <c r="G15" s="1927"/>
      <c r="H15" s="3021"/>
      <c r="I15" s="3022"/>
      <c r="J15" s="3023"/>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3"/>
      <c r="AE16" s="2553"/>
      <c r="AF16" s="2553"/>
      <c r="AG16" s="2553"/>
      <c r="AH16" s="2553"/>
      <c r="AI16" s="2553"/>
      <c r="AJ16" s="2554"/>
    </row>
    <row r="17" spans="1:37">
      <c r="A17" s="3034" t="s">
        <v>3238</v>
      </c>
      <c r="B17" s="3027" t="s">
        <v>3239</v>
      </c>
      <c r="C17" s="3035">
        <f>ROUND(IF(OR(E2="工业",E2="公共服务"),1,IF(AND(E18=0,E19=0),1,IF(AND(E18=J24,E19=G19),0.8,IF(E19=0,1+E17*(-0.2),1+E17*G17*(-0.2))))),4)</f>
        <v>1</v>
      </c>
      <c r="D17" s="3028" t="s">
        <v>3240</v>
      </c>
      <c r="E17" s="3035">
        <f>ROUND(G18/I18,2)</f>
        <v>0</v>
      </c>
      <c r="F17" s="3028" t="s">
        <v>3243</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9" t="s">
        <v>3241</v>
      </c>
      <c r="E18" s="2356"/>
      <c r="F18" s="3030" t="s">
        <v>3244</v>
      </c>
      <c r="G18" s="3033">
        <f>ROUND(1-(1/(POWER(1+G24,E18))),4)</f>
        <v>0</v>
      </c>
      <c r="H18" s="3030" t="s">
        <v>3246</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39"/>
      <c r="B19" s="3040"/>
      <c r="C19" s="3041"/>
      <c r="D19" s="3041" t="s">
        <v>3242</v>
      </c>
      <c r="E19" s="3042"/>
      <c r="F19" s="3043" t="s">
        <v>3245</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51" t="s">
        <v>3247</v>
      </c>
      <c r="B20" s="158" t="s">
        <v>1994</v>
      </c>
      <c r="C20" s="3167">
        <f>ROUND(IF(F21="与级别开发程度一致",0,(G21-E21)/C21),0)</f>
        <v>0</v>
      </c>
      <c r="D20" s="3045" t="s">
        <v>1998</v>
      </c>
      <c r="E20" s="3046"/>
      <c r="F20" s="3457" t="s">
        <v>1995</v>
      </c>
      <c r="G20" s="3458"/>
      <c r="H20" s="3031" t="s">
        <v>3401</v>
      </c>
      <c r="I20" s="3031" t="s">
        <v>3402</v>
      </c>
      <c r="J20" s="3032" t="s">
        <v>3403</v>
      </c>
      <c r="K20" s="1888" t="s">
        <v>3404</v>
      </c>
      <c r="L20" s="1888" t="s">
        <v>3405</v>
      </c>
      <c r="M20" s="3166"/>
      <c r="N20" s="1888" t="s">
        <v>3406</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2"/>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3400</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0</v>
      </c>
      <c r="N21" s="2002">
        <f>SUMPRODUCT((七通一平=N20)*(修正!B1:M1=G2)*(修正!B8:M16))</f>
        <v>10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1.0841000000000001</v>
      </c>
      <c r="D23" s="1895" t="s">
        <v>2002</v>
      </c>
      <c r="E23" s="716">
        <v>44197</v>
      </c>
      <c r="F23" s="1895" t="s">
        <v>2003</v>
      </c>
      <c r="G23" s="717">
        <f>'数据-取费表'!B2</f>
        <v>45561</v>
      </c>
      <c r="H23" s="3047" t="s">
        <v>3249</v>
      </c>
      <c r="I23" s="3048" t="str">
        <f>IF(H23="季度增幅（自定义）",SUMIF(N25:N28,E2,O25:O28),"")</f>
        <v/>
      </c>
      <c r="J23" s="3140" t="s">
        <v>3248</v>
      </c>
      <c r="K23" s="1060"/>
      <c r="L23" s="1896" t="s">
        <v>2004</v>
      </c>
      <c r="M23" s="1240">
        <f>ROUND(SUMIF(地价!B2:G2,E2,地价!B16:G16),0)</f>
        <v>318</v>
      </c>
      <c r="N23" s="1897" t="s">
        <v>2005</v>
      </c>
      <c r="O23" s="718">
        <f>ROUNDDOWN(DATEDIF(E23,G23,"M")/3,0)</f>
        <v>14</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0.82920000000000005</v>
      </c>
      <c r="D24" s="1901" t="s">
        <v>2007</v>
      </c>
      <c r="E24" s="1247">
        <f>存贷款利率!E26/100</f>
        <v>4.3499999999999997E-2</v>
      </c>
      <c r="F24" s="1901" t="s">
        <v>1999</v>
      </c>
      <c r="G24" s="723">
        <f>SUMIF(M30:Q30,E2,M33:Q33)</f>
        <v>0.05</v>
      </c>
      <c r="H24" s="1901" t="s">
        <v>2008</v>
      </c>
      <c r="I24" s="724">
        <f>SUMIF('数据-取费表'!C6:C15,E2,'数据-取费表'!F6:F15)/COUNTIF('数据-取费表'!C6:C15,E2)</f>
        <v>28.99</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3328</v>
      </c>
      <c r="C25" s="460">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3250</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1.0364</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394</v>
      </c>
      <c r="D30" s="1924"/>
      <c r="E30" s="1841"/>
      <c r="F30" s="1925"/>
      <c r="G30" s="1841"/>
      <c r="H30" s="1841"/>
      <c r="I30" s="1841"/>
      <c r="J30" s="1926"/>
      <c r="K30" s="1055"/>
      <c r="L30" s="3054" t="s">
        <v>1936</v>
      </c>
      <c r="M30" s="3055" t="s">
        <v>1990</v>
      </c>
      <c r="N30" s="3055" t="s">
        <v>1991</v>
      </c>
      <c r="O30" s="3055" t="s">
        <v>1992</v>
      </c>
      <c r="P30" s="3055" t="s">
        <v>1993</v>
      </c>
      <c r="Q30" s="3058" t="s">
        <v>3255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652</v>
      </c>
      <c r="D33" s="1939">
        <f>'数据-基础表'!I13</f>
        <v>6042.6</v>
      </c>
      <c r="E33" s="726">
        <f>ROUND(C33*D33/10000,0)</f>
        <v>394</v>
      </c>
      <c r="F33" s="3049" t="s">
        <v>3253</v>
      </c>
      <c r="G33" s="1940"/>
      <c r="H33" s="1940"/>
      <c r="I33" s="1940"/>
      <c r="J33" s="1941"/>
      <c r="K33" s="1055"/>
      <c r="L33" s="3052" t="s">
        <v>3256</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98</v>
      </c>
      <c r="D34" s="1944"/>
      <c r="E34" s="726">
        <f>ROUND(IF(B25="楼层修正",SUM(V2:V16)*M40,C34*D34/10000),0)</f>
        <v>0</v>
      </c>
      <c r="F34" s="1945" t="s">
        <v>2032</v>
      </c>
      <c r="G34" s="1946"/>
      <c r="H34" s="1946"/>
      <c r="I34" s="1946"/>
      <c r="J34" s="1947"/>
      <c r="K34" s="1055"/>
      <c r="L34" s="3052" t="s">
        <v>3257</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3258</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5"/>
      <c r="B37" s="1954" t="s">
        <v>2036</v>
      </c>
      <c r="C37" s="166">
        <f>ROUND(D5*C22*C23*C24*C28*F37,0)</f>
        <v>326</v>
      </c>
      <c r="D37" s="1939"/>
      <c r="E37" s="162">
        <f>ROUND(C37*D37/10000,0)</f>
        <v>0</v>
      </c>
      <c r="F37" s="162">
        <f>SUMIF(修正!A57:A68,G2,修正!B57:B68)</f>
        <v>0.5</v>
      </c>
      <c r="G37" s="162">
        <f>ROUND(IF(E2="工业",C37*$M$42,C37*$M$41),0)</f>
        <v>49</v>
      </c>
      <c r="H37" s="162">
        <f>D37</f>
        <v>0</v>
      </c>
      <c r="I37" s="162">
        <f>ROUND(G37*H37/10000,0)</f>
        <v>0</v>
      </c>
      <c r="J37" s="2754"/>
      <c r="K37" s="3060" t="s">
        <v>3259</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6"/>
      <c r="B38" s="1883" t="s">
        <v>2037</v>
      </c>
      <c r="C38" s="166">
        <f>ROUND(D5*C22*C23*C24*C28*F38,0)</f>
        <v>130</v>
      </c>
      <c r="D38" s="1939"/>
      <c r="E38" s="162">
        <f t="shared" ref="E38:E42" si="4">ROUND(C38*D38/10000,0)</f>
        <v>0</v>
      </c>
      <c r="F38" s="162">
        <f>SUMIF(修正!A57:A68,G2,修正!C57:C68)</f>
        <v>0.2</v>
      </c>
      <c r="G38" s="162">
        <f>ROUND(IF(E2="工业",C38*$M$42,C38*$M$41),0)</f>
        <v>20</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6"/>
      <c r="B39" s="1883" t="s">
        <v>3252</v>
      </c>
      <c r="C39" s="166">
        <f>ROUND(D5*C22*C23*C24*C28*F39,0)</f>
        <v>130</v>
      </c>
      <c r="D39" s="1939"/>
      <c r="E39" s="162">
        <f t="shared" si="4"/>
        <v>0</v>
      </c>
      <c r="F39" s="162">
        <f>SUMIF(修正!A57:A68,G2,修正!D57:D68)</f>
        <v>0.2</v>
      </c>
      <c r="G39" s="162">
        <f>ROUND(IF(E2="工业",C39*$M$42,C39*$M$41),0)</f>
        <v>20</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130</v>
      </c>
      <c r="D40" s="1939"/>
      <c r="E40" s="162">
        <f t="shared" si="4"/>
        <v>0</v>
      </c>
      <c r="F40" s="166">
        <f>SUMIF(修正!A57:A68,G2,修正!E57:E68)</f>
        <v>0.2</v>
      </c>
      <c r="G40" s="162">
        <f>ROUND(IF(E2="工业",C40*$M$42,C40*$M$41),0)</f>
        <v>20</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130</v>
      </c>
      <c r="D41" s="1939"/>
      <c r="E41" s="162">
        <f t="shared" si="4"/>
        <v>0</v>
      </c>
      <c r="F41" s="166">
        <f>SUMIF(修正!A57:A68,G2,修正!F57:F68)</f>
        <v>0.2</v>
      </c>
      <c r="G41" s="162">
        <f>ROUND(IF(E2="工业",C41*$M$42,C41*$M$41),0)</f>
        <v>20</v>
      </c>
      <c r="H41" s="162">
        <f t="shared" si="5"/>
        <v>0</v>
      </c>
      <c r="I41" s="162">
        <f t="shared" si="6"/>
        <v>0</v>
      </c>
      <c r="J41" s="938"/>
      <c r="L41" s="3061" t="s">
        <v>3260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65</v>
      </c>
      <c r="D42" s="1944"/>
      <c r="E42" s="178">
        <f t="shared" si="4"/>
        <v>0</v>
      </c>
      <c r="F42" s="722">
        <f>SUMIF(修正!A57:A68,G2,修正!G57:G68)</f>
        <v>0.1</v>
      </c>
      <c r="G42" s="178">
        <f>ROUND(IF(E2="工业",C42*$M$42,C42*$M$41),0)</f>
        <v>10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0.82920000000000005</v>
      </c>
      <c r="D44" s="162" t="s">
        <v>1999</v>
      </c>
      <c r="E44" s="1990">
        <f>G24</f>
        <v>0.05</v>
      </c>
      <c r="F44" s="162" t="s">
        <v>2008</v>
      </c>
      <c r="G44" s="174">
        <f>项目基本情况!H15</f>
        <v>28.99</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3262</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3262</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9" t="s">
        <v>3262</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1.0364</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t="s">
        <v>3407</v>
      </c>
      <c r="D83" s="1001">
        <f t="shared" ref="D83:D90" si="22">SUMIF($J$82:$N$82,C83,J83:N83)</f>
        <v>1.6899999999999998E-2</v>
      </c>
      <c r="E83" s="701">
        <f>ROUND(SUM(D83:D90),4)</f>
        <v>3.6400000000000002E-2</v>
      </c>
      <c r="F83" s="1674">
        <f>IF(E2="工业",SUMIF(L1:L12,G2,N1:N12),"——")</f>
        <v>0.13</v>
      </c>
      <c r="G83" s="999">
        <f>H83</f>
        <v>1.6899999999999998E-2</v>
      </c>
      <c r="H83" s="1002">
        <f t="shared" ref="H83:H90" si="23">IFERROR(ROUNDDOWN($F$83*I83/2,4),"——")</f>
        <v>1.6899999999999998E-2</v>
      </c>
      <c r="I83" s="3067">
        <v>0.26</v>
      </c>
      <c r="J83" s="1000">
        <f t="shared" ref="J83:J90" si="24">K83+$G83</f>
        <v>3.3799999999999997E-2</v>
      </c>
      <c r="K83" s="1000">
        <f t="shared" ref="K83:K90" si="25">$L83+$G83</f>
        <v>1.6899999999999998E-2</v>
      </c>
      <c r="L83" s="1000">
        <v>0</v>
      </c>
      <c r="M83" s="1000">
        <f t="shared" ref="M83:N90" si="26">L83-$G83</f>
        <v>-1.6899999999999998E-2</v>
      </c>
      <c r="N83" s="1000">
        <f t="shared" si="26"/>
        <v>-3.3799999999999997E-2</v>
      </c>
      <c r="Z83" s="1844"/>
      <c r="AA83" s="1894"/>
      <c r="AG83" s="1057"/>
      <c r="AK83" s="1894"/>
    </row>
    <row r="84" spans="1:37" ht="14.25">
      <c r="A84" s="1969" t="s">
        <v>2053</v>
      </c>
      <c r="B84" s="1261">
        <f>估价对象房地状况!G16</f>
        <v>0</v>
      </c>
      <c r="C84" s="1886" t="s">
        <v>3408</v>
      </c>
      <c r="D84" s="1001">
        <f t="shared" si="22"/>
        <v>0</v>
      </c>
      <c r="E84" s="704"/>
      <c r="F84" s="1674"/>
      <c r="G84" s="999">
        <f t="shared" ref="G84:G90" si="27">H84</f>
        <v>1.95E-2</v>
      </c>
      <c r="H84" s="1002">
        <f t="shared" si="23"/>
        <v>1.95E-2</v>
      </c>
      <c r="I84" s="3067">
        <v>0.3</v>
      </c>
      <c r="J84" s="1000">
        <f t="shared" si="24"/>
        <v>3.9E-2</v>
      </c>
      <c r="K84" s="1000">
        <f t="shared" si="25"/>
        <v>1.95E-2</v>
      </c>
      <c r="L84" s="1000">
        <v>0</v>
      </c>
      <c r="M84" s="1000">
        <f t="shared" si="26"/>
        <v>-1.95E-2</v>
      </c>
      <c r="N84" s="1000">
        <f t="shared" si="26"/>
        <v>-3.9E-2</v>
      </c>
      <c r="Z84" s="1844"/>
      <c r="AA84" s="1894"/>
      <c r="AG84" s="1057"/>
      <c r="AK84" s="1894"/>
    </row>
    <row r="85" spans="1:37" ht="36">
      <c r="A85" s="3069" t="s">
        <v>3263</v>
      </c>
      <c r="B85" s="1261">
        <f>估价对象房地状况!G17</f>
        <v>0</v>
      </c>
      <c r="C85" s="1886" t="s">
        <v>3408</v>
      </c>
      <c r="D85" s="1001">
        <f t="shared" si="22"/>
        <v>0</v>
      </c>
      <c r="E85" s="704"/>
      <c r="F85" s="1674"/>
      <c r="G85" s="999">
        <f t="shared" si="27"/>
        <v>6.4999999999999997E-3</v>
      </c>
      <c r="H85" s="1002">
        <f t="shared" si="23"/>
        <v>6.4999999999999997E-3</v>
      </c>
      <c r="I85" s="3067">
        <v>0.1</v>
      </c>
      <c r="J85" s="1000">
        <f t="shared" si="24"/>
        <v>1.2999999999999999E-2</v>
      </c>
      <c r="K85" s="1000">
        <f t="shared" si="25"/>
        <v>6.4999999999999997E-3</v>
      </c>
      <c r="L85" s="1000">
        <v>0</v>
      </c>
      <c r="M85" s="1000">
        <f t="shared" si="26"/>
        <v>-6.4999999999999997E-3</v>
      </c>
      <c r="N85" s="1000">
        <f t="shared" si="26"/>
        <v>-1.2999999999999999E-2</v>
      </c>
      <c r="Z85" s="1844"/>
      <c r="AA85" s="1894"/>
      <c r="AG85" s="1057"/>
      <c r="AK85" s="1894"/>
    </row>
    <row r="86" spans="1:37" ht="14.25">
      <c r="A86" s="1969" t="s">
        <v>2067</v>
      </c>
      <c r="B86" s="1261">
        <f>估价对象房地状况!G22</f>
        <v>0</v>
      </c>
      <c r="C86" s="1886" t="s">
        <v>3408</v>
      </c>
      <c r="D86" s="1001">
        <f t="shared" si="22"/>
        <v>0</v>
      </c>
      <c r="E86" s="704"/>
      <c r="F86" s="1674"/>
      <c r="G86" s="999">
        <f t="shared" si="27"/>
        <v>3.2000000000000002E-3</v>
      </c>
      <c r="H86" s="1002">
        <f t="shared" si="23"/>
        <v>3.2000000000000002E-3</v>
      </c>
      <c r="I86" s="3067">
        <v>0.05</v>
      </c>
      <c r="J86" s="1000">
        <f t="shared" si="24"/>
        <v>6.4000000000000003E-3</v>
      </c>
      <c r="K86" s="1000">
        <f t="shared" si="25"/>
        <v>3.2000000000000002E-3</v>
      </c>
      <c r="L86" s="1000">
        <v>0</v>
      </c>
      <c r="M86" s="1000">
        <f t="shared" si="26"/>
        <v>-3.2000000000000002E-3</v>
      </c>
      <c r="N86" s="1000">
        <f t="shared" si="26"/>
        <v>-6.4000000000000003E-3</v>
      </c>
      <c r="Z86" s="1844"/>
      <c r="AA86" s="1894"/>
      <c r="AG86" s="1057"/>
      <c r="AK86" s="1894"/>
    </row>
    <row r="87" spans="1:37" ht="24">
      <c r="A87" s="1969" t="s">
        <v>2059</v>
      </c>
      <c r="B87" s="1239">
        <f>估价对象房地状况!G19</f>
        <v>0</v>
      </c>
      <c r="C87" s="1886" t="s">
        <v>3408</v>
      </c>
      <c r="D87" s="1001">
        <f t="shared" si="22"/>
        <v>0</v>
      </c>
      <c r="E87" s="704"/>
      <c r="F87" s="1674"/>
      <c r="G87" s="999">
        <f t="shared" si="27"/>
        <v>3.8999999999999998E-3</v>
      </c>
      <c r="H87" s="1002">
        <f t="shared" si="23"/>
        <v>3.8999999999999998E-3</v>
      </c>
      <c r="I87" s="3067">
        <v>0.06</v>
      </c>
      <c r="J87" s="1000">
        <f t="shared" si="24"/>
        <v>7.7999999999999996E-3</v>
      </c>
      <c r="K87" s="1000">
        <f t="shared" si="25"/>
        <v>3.8999999999999998E-3</v>
      </c>
      <c r="L87" s="1000">
        <v>0</v>
      </c>
      <c r="M87" s="1000">
        <f t="shared" si="26"/>
        <v>-3.8999999999999998E-3</v>
      </c>
      <c r="N87" s="1000">
        <f t="shared" si="26"/>
        <v>-7.7999999999999996E-3</v>
      </c>
    </row>
    <row r="88" spans="1:37" ht="24">
      <c r="A88" s="1969" t="s">
        <v>2060</v>
      </c>
      <c r="B88" s="1239">
        <f>估价对象房地状况!G20</f>
        <v>0</v>
      </c>
      <c r="C88" s="1886" t="s">
        <v>3409</v>
      </c>
      <c r="D88" s="1001">
        <f t="shared" si="22"/>
        <v>1.5599999999999999E-2</v>
      </c>
      <c r="E88" s="704"/>
      <c r="F88" s="1674"/>
      <c r="G88" s="999">
        <f t="shared" si="27"/>
        <v>7.7999999999999996E-3</v>
      </c>
      <c r="H88" s="1002">
        <f t="shared" si="23"/>
        <v>7.7999999999999996E-3</v>
      </c>
      <c r="I88" s="3067">
        <v>0.12</v>
      </c>
      <c r="J88" s="1000">
        <f t="shared" si="24"/>
        <v>1.5599999999999999E-2</v>
      </c>
      <c r="K88" s="1000">
        <f t="shared" si="25"/>
        <v>7.7999999999999996E-3</v>
      </c>
      <c r="L88" s="1000">
        <v>0</v>
      </c>
      <c r="M88" s="1000">
        <f t="shared" si="26"/>
        <v>-7.7999999999999996E-3</v>
      </c>
      <c r="N88" s="1000">
        <f t="shared" si="26"/>
        <v>-1.5599999999999999E-2</v>
      </c>
    </row>
    <row r="89" spans="1:37" ht="24">
      <c r="A89" s="1969" t="s">
        <v>2057</v>
      </c>
      <c r="B89" s="1974" t="s">
        <v>2071</v>
      </c>
      <c r="C89" s="1886" t="s">
        <v>3407</v>
      </c>
      <c r="D89" s="1001">
        <f t="shared" si="22"/>
        <v>3.8999999999999998E-3</v>
      </c>
      <c r="E89" s="704"/>
      <c r="F89" s="1674"/>
      <c r="G89" s="999">
        <f t="shared" si="27"/>
        <v>3.8999999999999998E-3</v>
      </c>
      <c r="H89" s="1002">
        <f t="shared" si="23"/>
        <v>3.8999999999999998E-3</v>
      </c>
      <c r="I89" s="3067">
        <v>0.06</v>
      </c>
      <c r="J89" s="1000">
        <f t="shared" si="24"/>
        <v>7.7999999999999996E-3</v>
      </c>
      <c r="K89" s="1000">
        <f t="shared" si="25"/>
        <v>3.8999999999999998E-3</v>
      </c>
      <c r="L89" s="1000">
        <v>0</v>
      </c>
      <c r="M89" s="1000">
        <f t="shared" si="26"/>
        <v>-3.8999999999999998E-3</v>
      </c>
      <c r="N89" s="1000">
        <f t="shared" si="26"/>
        <v>-7.7999999999999996E-3</v>
      </c>
    </row>
    <row r="90" spans="1:37" ht="15" thickBot="1">
      <c r="A90" s="1976" t="s">
        <v>2072</v>
      </c>
      <c r="B90" s="1981">
        <f>估价对象房地状况!G18</f>
        <v>0</v>
      </c>
      <c r="C90" s="1886" t="s">
        <v>3408</v>
      </c>
      <c r="D90" s="1001">
        <f t="shared" si="22"/>
        <v>0</v>
      </c>
      <c r="E90" s="705"/>
      <c r="F90" s="1674"/>
      <c r="G90" s="999">
        <f t="shared" si="27"/>
        <v>3.2000000000000002E-3</v>
      </c>
      <c r="H90" s="1002">
        <f t="shared" si="23"/>
        <v>3.2000000000000002E-3</v>
      </c>
      <c r="I90" s="3068">
        <v>0.05</v>
      </c>
      <c r="J90" s="1000">
        <f t="shared" si="24"/>
        <v>6.4000000000000003E-3</v>
      </c>
      <c r="K90" s="1000">
        <f t="shared" si="25"/>
        <v>3.2000000000000002E-3</v>
      </c>
      <c r="L90" s="1000">
        <v>0</v>
      </c>
      <c r="M90" s="1000">
        <f t="shared" si="26"/>
        <v>-3.2000000000000002E-3</v>
      </c>
      <c r="N90" s="1000">
        <f t="shared" si="26"/>
        <v>-6.4000000000000003E-3</v>
      </c>
    </row>
    <row r="91" spans="1:37" ht="15">
      <c r="A91" s="3077" t="s">
        <v>2605</v>
      </c>
      <c r="B91" s="3078">
        <f>1+E93</f>
        <v>1</v>
      </c>
      <c r="C91" s="3071"/>
      <c r="D91" s="3072"/>
      <c r="E91" s="1674"/>
      <c r="F91" s="1674"/>
      <c r="G91" s="3073"/>
      <c r="H91" s="3074"/>
      <c r="I91" s="3075"/>
      <c r="J91" s="3076"/>
      <c r="K91" s="3076"/>
      <c r="L91" s="3076"/>
      <c r="M91" s="3076"/>
      <c r="N91" s="3076"/>
    </row>
    <row r="92" spans="1:37" ht="24.75">
      <c r="A92" s="3079" t="s">
        <v>3264</v>
      </c>
      <c r="B92" s="2309"/>
      <c r="C92" s="2309" t="s">
        <v>3273</v>
      </c>
      <c r="D92" s="2309" t="s">
        <v>3274</v>
      </c>
      <c r="E92" s="3051" t="s">
        <v>3275</v>
      </c>
      <c r="F92" s="3081" t="s">
        <v>3276</v>
      </c>
      <c r="G92" s="2309" t="s">
        <v>3277</v>
      </c>
      <c r="H92" s="3088" t="s">
        <v>3280</v>
      </c>
      <c r="I92" s="2309" t="s">
        <v>3281</v>
      </c>
      <c r="J92" s="2149" t="s">
        <v>3282</v>
      </c>
      <c r="K92" s="2149" t="s">
        <v>3283</v>
      </c>
      <c r="L92" s="2149" t="s">
        <v>3284</v>
      </c>
      <c r="M92" s="2149" t="s">
        <v>3285</v>
      </c>
      <c r="N92" s="2149" t="s">
        <v>3286</v>
      </c>
    </row>
    <row r="93" spans="1:37" ht="24">
      <c r="A93" s="3069" t="s">
        <v>3265</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3266</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3262</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3267</v>
      </c>
      <c r="B96" s="3085" t="s">
        <v>3278</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3268</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3269</v>
      </c>
      <c r="B98" s="3086" t="s">
        <v>3279</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3270</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3271</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3272</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53" t="s">
        <v>3287</v>
      </c>
      <c r="B103" s="3453"/>
      <c r="C103" s="3453"/>
      <c r="D103" s="3453"/>
      <c r="E103" s="3453"/>
      <c r="F103" s="3453"/>
      <c r="G103" s="3453"/>
      <c r="H103" s="3453"/>
      <c r="I103" s="3453"/>
      <c r="J103" s="3453"/>
      <c r="K103" s="1666"/>
      <c r="L103" s="1666"/>
      <c r="M103" s="1666"/>
      <c r="N103" s="1666"/>
    </row>
    <row r="104" spans="1:14">
      <c r="A104" s="3454" t="s">
        <v>3288</v>
      </c>
      <c r="B104" s="3454" t="s">
        <v>3289</v>
      </c>
      <c r="C104" s="3089" t="s">
        <v>3290</v>
      </c>
      <c r="D104" s="3090"/>
      <c r="E104" s="3090"/>
      <c r="F104" s="3090"/>
      <c r="G104" s="3090"/>
      <c r="H104" s="3090"/>
      <c r="I104" s="3090"/>
      <c r="J104" s="3091"/>
      <c r="K104" s="3092"/>
      <c r="L104" s="3092"/>
      <c r="M104" s="3092"/>
      <c r="N104" s="3092"/>
    </row>
    <row r="105" spans="1:14">
      <c r="A105" s="3454"/>
      <c r="B105" s="3454"/>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440"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1"/>
      <c r="B111" s="3093" t="s">
        <v>3261</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4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43" t="s">
        <v>3304</v>
      </c>
      <c r="B113" s="3443"/>
      <c r="C113" s="3443"/>
      <c r="D113" s="3443"/>
      <c r="E113" s="3443"/>
      <c r="F113" s="3443"/>
      <c r="G113" s="3443"/>
      <c r="H113" s="3443"/>
      <c r="I113" s="3443"/>
      <c r="J113" s="344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3305</v>
      </c>
      <c r="B116" s="3113">
        <f>G3</f>
        <v>1</v>
      </c>
      <c r="C116" s="3098" t="s">
        <v>3306</v>
      </c>
      <c r="D116" s="3099">
        <f>SUMPRODUCT((A118:A122=F116)*(B117:M117=H116)*B118:M122)</f>
        <v>0.57150000000000001</v>
      </c>
      <c r="E116" s="161" t="s">
        <v>3307</v>
      </c>
      <c r="F116" s="3100" t="str">
        <f>E2</f>
        <v>工业</v>
      </c>
      <c r="G116" s="161" t="s">
        <v>3308</v>
      </c>
      <c r="H116" s="3100" t="str">
        <f>G2</f>
        <v>十级</v>
      </c>
      <c r="I116" s="161"/>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6">I118</f>
        <v>0.8306</v>
      </c>
      <c r="K118" s="3088">
        <f t="shared" si="36"/>
        <v>0.8306</v>
      </c>
      <c r="L118" s="3088">
        <f t="shared" si="36"/>
        <v>0.8306</v>
      </c>
      <c r="M118" s="3108">
        <f t="shared" si="36"/>
        <v>0.8306</v>
      </c>
      <c r="N118" s="3096"/>
    </row>
    <row r="119" spans="1:14">
      <c r="A119" s="3056" t="s">
        <v>3322</v>
      </c>
      <c r="B119" s="3088">
        <f>ROUND(0.993-0.0112*B116,4)</f>
        <v>0.98180000000000001</v>
      </c>
      <c r="C119" s="3088">
        <f>B119</f>
        <v>0.98180000000000001</v>
      </c>
      <c r="D119" s="3088">
        <f>ROUND(0.9415-0.0142*B116,4)</f>
        <v>0.92730000000000001</v>
      </c>
      <c r="E119" s="3088">
        <f t="shared" ref="E119:H120" si="37">D119</f>
        <v>0.92730000000000001</v>
      </c>
      <c r="F119" s="3088">
        <f t="shared" si="37"/>
        <v>0.92730000000000001</v>
      </c>
      <c r="G119" s="3088">
        <f t="shared" si="37"/>
        <v>0.92730000000000001</v>
      </c>
      <c r="H119" s="3088">
        <f t="shared" si="37"/>
        <v>0.92730000000000001</v>
      </c>
      <c r="I119" s="3088">
        <f>ROUND(0.838-0.0182*B116,4)</f>
        <v>0.81979999999999997</v>
      </c>
      <c r="J119" s="3088">
        <f t="shared" si="36"/>
        <v>0.81979999999999997</v>
      </c>
      <c r="K119" s="3088">
        <f t="shared" si="36"/>
        <v>0.81979999999999997</v>
      </c>
      <c r="L119" s="3088">
        <f t="shared" si="36"/>
        <v>0.81979999999999997</v>
      </c>
      <c r="M119" s="3108">
        <f t="shared" si="36"/>
        <v>0.81979999999999997</v>
      </c>
      <c r="N119" s="3096"/>
    </row>
    <row r="120" spans="1:14">
      <c r="A120" s="3056" t="s">
        <v>3323</v>
      </c>
      <c r="B120" s="3088">
        <f>ROUND(0.9448-0.0115*B116,4)</f>
        <v>0.93330000000000002</v>
      </c>
      <c r="C120" s="3088">
        <f>B120</f>
        <v>0.93330000000000002</v>
      </c>
      <c r="D120" s="3088">
        <f>ROUND(0.937-0.0145*B116,4)</f>
        <v>0.92249999999999999</v>
      </c>
      <c r="E120" s="3088">
        <f t="shared" si="37"/>
        <v>0.92249999999999999</v>
      </c>
      <c r="F120" s="3088">
        <f t="shared" si="37"/>
        <v>0.92249999999999999</v>
      </c>
      <c r="G120" s="3088">
        <f t="shared" si="37"/>
        <v>0.92249999999999999</v>
      </c>
      <c r="H120" s="3088">
        <f t="shared" si="37"/>
        <v>0.92249999999999999</v>
      </c>
      <c r="I120" s="3088">
        <f>ROUND(0.7965-0.0185*B116,4)</f>
        <v>0.77800000000000002</v>
      </c>
      <c r="J120" s="3088">
        <f t="shared" si="36"/>
        <v>0.77800000000000002</v>
      </c>
      <c r="K120" s="3088">
        <f t="shared" si="36"/>
        <v>0.77800000000000002</v>
      </c>
      <c r="L120" s="3088">
        <f t="shared" si="36"/>
        <v>0.77800000000000002</v>
      </c>
      <c r="M120" s="3108">
        <f t="shared" si="36"/>
        <v>0.77800000000000002</v>
      </c>
      <c r="N120" s="3096"/>
    </row>
    <row r="121" spans="1:14" ht="13.5" thickBot="1">
      <c r="A121" s="3109" t="s">
        <v>3324</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6"/>
        <v>0.57150000000000001</v>
      </c>
      <c r="K121" s="3110">
        <f t="shared" si="36"/>
        <v>0.57150000000000001</v>
      </c>
      <c r="L121" s="3110">
        <f t="shared" si="36"/>
        <v>0.57150000000000001</v>
      </c>
      <c r="M121" s="3111">
        <f t="shared" si="36"/>
        <v>0.57150000000000001</v>
      </c>
      <c r="N121" s="3096"/>
    </row>
    <row r="122" spans="1:14">
      <c r="A122" s="3112" t="s">
        <v>2605</v>
      </c>
      <c r="B122" s="3088">
        <f>ROUND(0.9404-0.0106*B116,4)</f>
        <v>0.92979999999999996</v>
      </c>
      <c r="C122" s="3088">
        <f>B122</f>
        <v>0.92979999999999996</v>
      </c>
      <c r="D122" s="3088">
        <f>ROUND(0.8955-0.0135*B116,4)</f>
        <v>0.88200000000000001</v>
      </c>
      <c r="E122" s="3088">
        <f t="shared" ref="E122:H122" si="38">D122</f>
        <v>0.88200000000000001</v>
      </c>
      <c r="F122" s="3088">
        <f t="shared" si="38"/>
        <v>0.88200000000000001</v>
      </c>
      <c r="G122" s="3088">
        <f t="shared" si="38"/>
        <v>0.88200000000000001</v>
      </c>
      <c r="H122" s="3088">
        <f t="shared" si="38"/>
        <v>0.88200000000000001</v>
      </c>
      <c r="I122" s="3088">
        <f>ROUND(0.7632-0.0166*B116,4)</f>
        <v>0.74660000000000004</v>
      </c>
      <c r="J122" s="3088">
        <f t="shared" si="36"/>
        <v>0.74660000000000004</v>
      </c>
      <c r="K122" s="3088">
        <f t="shared" si="36"/>
        <v>0.74660000000000004</v>
      </c>
      <c r="L122" s="3088">
        <f t="shared" si="36"/>
        <v>0.74660000000000004</v>
      </c>
      <c r="M122" s="3108">
        <f t="shared" si="36"/>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zoomScale="85" zoomScaleNormal="70" zoomScaleSheetLayoutView="85" workbookViewId="0">
      <selection activeCell="C49" sqref="C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21</v>
      </c>
      <c r="E1" s="3130" t="s">
        <v>3420</v>
      </c>
      <c r="F1" s="1734" t="s">
        <v>3421</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0.98699999999999999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1.4</v>
      </c>
      <c r="C3" s="343" t="s">
        <v>1768</v>
      </c>
      <c r="D3" s="342">
        <f>IF(D1="",'数据-汇总表'!E3,SUMIF('数据-汇总表'!$C19:$C33,D1,'数据-汇总表'!$E19:$E33))</f>
        <v>7049.7000000000007</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67" t="s">
        <v>1775</v>
      </c>
      <c r="Q4" s="3468"/>
      <c r="R4" s="3460" t="s">
        <v>1771</v>
      </c>
      <c r="S4" s="3461"/>
      <c r="T4" s="3460" t="s">
        <v>1772</v>
      </c>
      <c r="U4" s="3461"/>
      <c r="V4" s="3471" t="s">
        <v>1773</v>
      </c>
      <c r="W4" s="3471"/>
      <c r="X4" s="1808"/>
      <c r="Y4" s="3460" t="s">
        <v>1775</v>
      </c>
      <c r="Z4" s="3461"/>
      <c r="AA4" s="3459" t="s">
        <v>1771</v>
      </c>
      <c r="AB4" s="3459" t="s">
        <v>1772</v>
      </c>
      <c r="AC4" s="3464" t="s">
        <v>1773</v>
      </c>
    </row>
    <row r="5" spans="1:29" ht="15">
      <c r="A5" s="347"/>
      <c r="B5" s="348"/>
      <c r="C5" s="3391" t="s">
        <v>1673</v>
      </c>
      <c r="D5" s="3392"/>
      <c r="E5" s="3462" t="s">
        <v>3440</v>
      </c>
      <c r="F5" s="3390"/>
      <c r="G5" s="3463" t="s">
        <v>3440</v>
      </c>
      <c r="H5" s="3392"/>
      <c r="I5" s="3463" t="s">
        <v>3441</v>
      </c>
      <c r="J5" s="3392"/>
      <c r="K5" s="536"/>
      <c r="L5" s="2486"/>
      <c r="M5" s="2487"/>
      <c r="N5" s="2487"/>
      <c r="O5" s="2487"/>
      <c r="P5" s="3469"/>
      <c r="Q5" s="3405"/>
      <c r="R5" s="3387"/>
      <c r="S5" s="3388"/>
      <c r="T5" s="3387"/>
      <c r="U5" s="3388"/>
      <c r="V5" s="3410"/>
      <c r="W5" s="3410"/>
      <c r="X5" s="1264"/>
      <c r="Y5" s="3387"/>
      <c r="Z5" s="3388"/>
      <c r="AA5" s="3381"/>
      <c r="AB5" s="3381"/>
      <c r="AC5" s="3465"/>
    </row>
    <row r="6" spans="1:29" ht="15.75" thickBot="1">
      <c r="A6" s="349"/>
      <c r="B6" s="350"/>
      <c r="C6" s="3393" t="s">
        <v>1677</v>
      </c>
      <c r="D6" s="3394"/>
      <c r="E6" s="3395" t="s">
        <v>1677</v>
      </c>
      <c r="F6" s="3396"/>
      <c r="G6" s="3393" t="s">
        <v>1677</v>
      </c>
      <c r="H6" s="3394"/>
      <c r="I6" s="3393" t="s">
        <v>1677</v>
      </c>
      <c r="J6" s="3394"/>
      <c r="K6" s="536" t="s">
        <v>1678</v>
      </c>
      <c r="L6" s="2486"/>
      <c r="M6" s="2487"/>
      <c r="N6" s="2487"/>
      <c r="O6" s="2487"/>
      <c r="P6" s="3470"/>
      <c r="Q6" s="3407"/>
      <c r="R6" s="3387"/>
      <c r="S6" s="3388"/>
      <c r="T6" s="3408"/>
      <c r="U6" s="3409"/>
      <c r="V6" s="3410"/>
      <c r="W6" s="3410"/>
      <c r="X6" s="1264"/>
      <c r="Y6" s="3408"/>
      <c r="Z6" s="3409"/>
      <c r="AA6" s="3382"/>
      <c r="AB6" s="3382"/>
      <c r="AC6" s="3466"/>
    </row>
    <row r="7" spans="1:29" s="101" customFormat="1" ht="15.75" thickBot="1">
      <c r="A7" s="351" t="s">
        <v>1679</v>
      </c>
      <c r="B7" s="352"/>
      <c r="C7" s="353">
        <f>'数据-取费表'!B2</f>
        <v>45561</v>
      </c>
      <c r="D7" s="354">
        <v>100</v>
      </c>
      <c r="E7" s="355">
        <f>C7</f>
        <v>45561</v>
      </c>
      <c r="F7" s="356">
        <f>SUMIF(59:59,YEAR(E7)&amp;"-"&amp;MONTH(E7),60:60)</f>
        <v>100</v>
      </c>
      <c r="G7" s="355">
        <f>C7</f>
        <v>45561</v>
      </c>
      <c r="H7" s="354">
        <f>SUMIF(59:59,YEAR(G7)&amp;"-"&amp;MONTH(G7),60:60)</f>
        <v>100</v>
      </c>
      <c r="I7" s="355">
        <f>C7</f>
        <v>45561</v>
      </c>
      <c r="J7" s="354">
        <f>SUMIF(59:59,YEAR(I7)&amp;"-"&amp;MONTH(I7),60:60)</f>
        <v>100</v>
      </c>
      <c r="K7" s="38"/>
      <c r="L7" s="2488"/>
      <c r="M7" s="2439"/>
      <c r="N7" s="2439"/>
      <c r="O7" s="2439"/>
      <c r="P7" s="3472" t="s">
        <v>1680</v>
      </c>
      <c r="Q7" s="3411"/>
      <c r="R7" s="663" t="s">
        <v>14</v>
      </c>
      <c r="S7" s="664">
        <f t="shared" ref="S7:S15" si="0">F7</f>
        <v>100</v>
      </c>
      <c r="T7" s="663" t="s">
        <v>14</v>
      </c>
      <c r="U7" s="664">
        <f t="shared" ref="U7:U15" si="1">H7</f>
        <v>100</v>
      </c>
      <c r="V7" s="663" t="s">
        <v>14</v>
      </c>
      <c r="W7" s="664">
        <f t="shared" ref="W7:W15" si="2">J7</f>
        <v>100</v>
      </c>
      <c r="X7" s="665"/>
      <c r="Y7" s="3383" t="s">
        <v>1680</v>
      </c>
      <c r="Z7" s="3384"/>
      <c r="AA7" s="50">
        <f>D7/F7</f>
        <v>1</v>
      </c>
      <c r="AB7" s="50">
        <f>D7/H7</f>
        <v>1</v>
      </c>
      <c r="AC7" s="801">
        <f>D7/J7</f>
        <v>1</v>
      </c>
    </row>
    <row r="8" spans="1:29" s="101" customFormat="1" ht="15.75" thickBot="1">
      <c r="A8" s="351" t="s">
        <v>1681</v>
      </c>
      <c r="B8" s="352"/>
      <c r="C8" s="357" t="s">
        <v>3443</v>
      </c>
      <c r="D8" s="354">
        <v>100</v>
      </c>
      <c r="E8" s="357" t="s">
        <v>3442</v>
      </c>
      <c r="F8" s="356">
        <f>SUMIF(62:62,E8,63:63)-SUMIF(62:62,C8,63:63)+100</f>
        <v>102</v>
      </c>
      <c r="G8" s="357" t="s">
        <v>3442</v>
      </c>
      <c r="H8" s="354">
        <f>SUMIF(62:62,G8,63:63)-SUMIF(62:62,C8,63:63)+100</f>
        <v>102</v>
      </c>
      <c r="I8" s="357" t="s">
        <v>3442</v>
      </c>
      <c r="J8" s="354">
        <f>SUMIF(62:62,I8,63:63)-SUMIF(62:62,C8,63:63)+100</f>
        <v>102</v>
      </c>
      <c r="K8" s="38"/>
      <c r="L8" s="2488"/>
      <c r="M8" s="2439"/>
      <c r="N8" s="2439"/>
      <c r="O8" s="2439"/>
      <c r="P8" s="3472" t="s">
        <v>1683</v>
      </c>
      <c r="Q8" s="3384"/>
      <c r="R8" s="663" t="s">
        <v>14</v>
      </c>
      <c r="S8" s="664">
        <f t="shared" si="0"/>
        <v>102</v>
      </c>
      <c r="T8" s="663" t="s">
        <v>14</v>
      </c>
      <c r="U8" s="664">
        <f t="shared" si="1"/>
        <v>102</v>
      </c>
      <c r="V8" s="663" t="s">
        <v>14</v>
      </c>
      <c r="W8" s="664">
        <f t="shared" si="2"/>
        <v>102</v>
      </c>
      <c r="X8" s="665"/>
      <c r="Y8" s="3383" t="s">
        <v>1683</v>
      </c>
      <c r="Z8" s="3384"/>
      <c r="AA8" s="50">
        <f t="shared" ref="AA8:AA47" si="3">D8/F8</f>
        <v>0.98039215686274506</v>
      </c>
      <c r="AB8" s="50">
        <f t="shared" ref="AB8:AB47" si="4">D8/H8</f>
        <v>0.98039215686274506</v>
      </c>
      <c r="AC8" s="801">
        <f t="shared" ref="AC8:AC47" si="5">D8/J8</f>
        <v>0.98039215686274506</v>
      </c>
    </row>
    <row r="9" spans="1:29" s="101" customFormat="1">
      <c r="A9" s="358" t="s">
        <v>1684</v>
      </c>
      <c r="B9" s="60" t="s">
        <v>1685</v>
      </c>
      <c r="C9" s="3161" t="s">
        <v>3444</v>
      </c>
      <c r="D9" s="59">
        <v>100</v>
      </c>
      <c r="E9" s="361" t="s">
        <v>21</v>
      </c>
      <c r="F9" s="59">
        <f>SUMIF(64:64,E9,65:65)-SUMIF(64:64,C9,65:65)+100</f>
        <v>100</v>
      </c>
      <c r="G9" s="360" t="s">
        <v>21</v>
      </c>
      <c r="H9" s="59">
        <f>SUMIF(64:64,G9,65:65)-SUMIF(64:64,C9,65:65)+100</f>
        <v>100</v>
      </c>
      <c r="I9" s="360" t="s">
        <v>21</v>
      </c>
      <c r="J9" s="59">
        <f>SUMIF(64:64,I9,65:65)-SUMIF(64:64,C9,65:65)+100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27" t="s">
        <v>1687</v>
      </c>
      <c r="Z9" s="50" t="str">
        <f t="shared" ref="Z9:Z15" si="7">Q9</f>
        <v>用途</v>
      </c>
      <c r="AA9" s="50">
        <f t="shared" si="3"/>
        <v>1</v>
      </c>
      <c r="AB9" s="50">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27"/>
      <c r="Z10" s="50" t="str">
        <f t="shared" si="7"/>
        <v>土地使用年限（年）</v>
      </c>
      <c r="AA10" s="50">
        <f t="shared" si="3"/>
        <v>1</v>
      </c>
      <c r="AB10" s="50">
        <f t="shared" si="4"/>
        <v>1</v>
      </c>
      <c r="AC10" s="801">
        <f t="shared" si="5"/>
        <v>1</v>
      </c>
    </row>
    <row r="11" spans="1:29" ht="15.75"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27"/>
      <c r="Z11" s="50" t="str">
        <f t="shared" si="7"/>
        <v>容积率</v>
      </c>
      <c r="AA11" s="50">
        <f t="shared" si="3"/>
        <v>1</v>
      </c>
      <c r="AB11" s="50">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27"/>
      <c r="Z12" s="50">
        <f t="shared" si="7"/>
        <v>111</v>
      </c>
      <c r="AA12" s="50">
        <f>D12/F12</f>
        <v>1</v>
      </c>
      <c r="AB12" s="50">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27"/>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2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2</v>
      </c>
      <c r="L15" s="2492"/>
      <c r="M15" s="2487"/>
      <c r="N15" s="2487"/>
      <c r="O15" s="2487"/>
      <c r="P15" s="3423" t="s">
        <v>1691</v>
      </c>
      <c r="Q15" s="1262" t="str">
        <f t="shared" si="6"/>
        <v>办公集聚程度</v>
      </c>
      <c r="R15" s="666" t="s">
        <v>14</v>
      </c>
      <c r="S15" s="667">
        <f t="shared" si="0"/>
        <v>100</v>
      </c>
      <c r="T15" s="666" t="s">
        <v>14</v>
      </c>
      <c r="U15" s="667">
        <f t="shared" si="1"/>
        <v>100</v>
      </c>
      <c r="V15" s="666" t="s">
        <v>14</v>
      </c>
      <c r="W15" s="667">
        <f t="shared" si="2"/>
        <v>100</v>
      </c>
      <c r="X15" s="1264"/>
      <c r="Y15" s="3416" t="s">
        <v>1691</v>
      </c>
      <c r="Z15" s="1263" t="str">
        <f t="shared" si="7"/>
        <v>办公集聚程度</v>
      </c>
      <c r="AA15" s="1263">
        <f t="shared" si="3"/>
        <v>1</v>
      </c>
      <c r="AB15" s="1263">
        <f t="shared" si="4"/>
        <v>1</v>
      </c>
      <c r="AC15" s="1811">
        <f t="shared" si="5"/>
        <v>1</v>
      </c>
    </row>
    <row r="16" spans="1:29" ht="15">
      <c r="A16" s="366"/>
      <c r="B16" s="554"/>
      <c r="C16" s="1757" t="s">
        <v>3408</v>
      </c>
      <c r="D16" s="386"/>
      <c r="E16" s="1757" t="s">
        <v>3408</v>
      </c>
      <c r="F16" s="386"/>
      <c r="G16" s="1757" t="s">
        <v>3408</v>
      </c>
      <c r="H16" s="388"/>
      <c r="I16" s="1757" t="s">
        <v>3408</v>
      </c>
      <c r="J16" s="386"/>
      <c r="K16" s="540"/>
      <c r="L16" s="2492"/>
      <c r="M16" s="2487"/>
      <c r="N16" s="2487"/>
      <c r="O16" s="2487"/>
      <c r="P16" s="3424"/>
      <c r="Q16" s="1262"/>
      <c r="R16" s="666"/>
      <c r="S16" s="667"/>
      <c r="T16" s="666"/>
      <c r="U16" s="667"/>
      <c r="V16" s="666"/>
      <c r="W16" s="667"/>
      <c r="X16" s="1264"/>
      <c r="Y16" s="3417"/>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2</v>
      </c>
      <c r="L17" s="2492"/>
      <c r="M17" s="2487"/>
      <c r="N17" s="2487"/>
      <c r="O17" s="2487"/>
      <c r="P17" s="3424"/>
      <c r="Q17" s="1262" t="str">
        <f>B17</f>
        <v>交通便捷度</v>
      </c>
      <c r="R17" s="666" t="s">
        <v>14</v>
      </c>
      <c r="S17" s="667">
        <f>F17</f>
        <v>100</v>
      </c>
      <c r="T17" s="666" t="s">
        <v>14</v>
      </c>
      <c r="U17" s="667">
        <f>H17</f>
        <v>100</v>
      </c>
      <c r="V17" s="666" t="s">
        <v>14</v>
      </c>
      <c r="W17" s="667">
        <f>J17</f>
        <v>100</v>
      </c>
      <c r="X17" s="1264"/>
      <c r="Y17" s="3417"/>
      <c r="Z17" s="1263" t="str">
        <f>Q17</f>
        <v>交通便捷度</v>
      </c>
      <c r="AA17" s="1263">
        <f t="shared" si="3"/>
        <v>1</v>
      </c>
      <c r="AB17" s="1263">
        <f t="shared" si="4"/>
        <v>1</v>
      </c>
      <c r="AC17" s="1811">
        <f t="shared" si="5"/>
        <v>1</v>
      </c>
    </row>
    <row r="18" spans="1:29" ht="15">
      <c r="A18" s="366"/>
      <c r="B18" s="400"/>
      <c r="C18" s="1757" t="s">
        <v>3408</v>
      </c>
      <c r="D18" s="388"/>
      <c r="E18" s="1757" t="s">
        <v>3408</v>
      </c>
      <c r="F18" s="388"/>
      <c r="G18" s="1757" t="s">
        <v>3408</v>
      </c>
      <c r="H18" s="386"/>
      <c r="I18" s="1757" t="s">
        <v>3408</v>
      </c>
      <c r="J18" s="386"/>
      <c r="K18" s="540"/>
      <c r="L18" s="2492"/>
      <c r="M18" s="2487"/>
      <c r="N18" s="2487"/>
      <c r="O18" s="2487"/>
      <c r="P18" s="3424"/>
      <c r="Q18" s="1262"/>
      <c r="R18" s="666"/>
      <c r="S18" s="667"/>
      <c r="T18" s="666"/>
      <c r="U18" s="667"/>
      <c r="V18" s="666"/>
      <c r="W18" s="667"/>
      <c r="X18" s="1264"/>
      <c r="Y18" s="3417"/>
      <c r="Z18" s="1263"/>
      <c r="AA18" s="1263">
        <v>1</v>
      </c>
      <c r="AB18" s="1263">
        <v>1</v>
      </c>
      <c r="AC18" s="1811">
        <v>1</v>
      </c>
    </row>
    <row r="19" spans="1:29" ht="15">
      <c r="A19" s="366"/>
      <c r="B19" s="555" t="s">
        <v>1812</v>
      </c>
      <c r="C19" s="1812">
        <f>估价对象房地状况!C7</f>
        <v>0</v>
      </c>
      <c r="D19" s="393">
        <v>100</v>
      </c>
      <c r="E19" s="397"/>
      <c r="F19" s="393">
        <f>SUMIF(81:81,E20,82:82)-SUMIF(81:81,C20,82:82)+100</f>
        <v>102</v>
      </c>
      <c r="G19" s="395"/>
      <c r="H19" s="388">
        <f>SUMIF(81:81,G20,82:82)-SUMIF(81:81,C20,82:82)+100</f>
        <v>102</v>
      </c>
      <c r="I19" s="395"/>
      <c r="J19" s="388">
        <f>SUMIF(81:81,I20,82:82)-SUMIF(81:81,C20,82:82)+100</f>
        <v>100</v>
      </c>
      <c r="K19" s="539">
        <v>2</v>
      </c>
      <c r="L19" s="2492"/>
      <c r="M19" s="2487"/>
      <c r="N19" s="2487"/>
      <c r="O19" s="2487"/>
      <c r="P19" s="3424"/>
      <c r="Q19" s="1262" t="str">
        <f>B19</f>
        <v>公共配套设施</v>
      </c>
      <c r="R19" s="666" t="s">
        <v>14</v>
      </c>
      <c r="S19" s="667">
        <f>F19</f>
        <v>102</v>
      </c>
      <c r="T19" s="666" t="s">
        <v>14</v>
      </c>
      <c r="U19" s="667">
        <f>H19</f>
        <v>102</v>
      </c>
      <c r="V19" s="666" t="s">
        <v>14</v>
      </c>
      <c r="W19" s="667">
        <f>J19</f>
        <v>100</v>
      </c>
      <c r="X19" s="1264"/>
      <c r="Y19" s="3417"/>
      <c r="Z19" s="1263" t="str">
        <f>Q19</f>
        <v>公共配套设施</v>
      </c>
      <c r="AA19" s="1263">
        <f t="shared" si="3"/>
        <v>0.98039215686274506</v>
      </c>
      <c r="AB19" s="1263">
        <f t="shared" si="4"/>
        <v>0.98039215686274506</v>
      </c>
      <c r="AC19" s="1811">
        <f t="shared" si="5"/>
        <v>1</v>
      </c>
    </row>
    <row r="20" spans="1:29" ht="15">
      <c r="A20" s="366"/>
      <c r="B20" s="400"/>
      <c r="C20" s="1757" t="s">
        <v>3408</v>
      </c>
      <c r="D20" s="386"/>
      <c r="E20" s="1750" t="s">
        <v>3407</v>
      </c>
      <c r="F20" s="386"/>
      <c r="G20" s="1751" t="s">
        <v>3407</v>
      </c>
      <c r="H20" s="386"/>
      <c r="I20" s="1751" t="s">
        <v>3408</v>
      </c>
      <c r="J20" s="386"/>
      <c r="K20" s="540"/>
      <c r="L20" s="2492"/>
      <c r="M20" s="2487"/>
      <c r="N20" s="2487"/>
      <c r="O20" s="2487"/>
      <c r="P20" s="3424"/>
      <c r="Q20" s="1262"/>
      <c r="R20" s="666"/>
      <c r="S20" s="667"/>
      <c r="T20" s="666"/>
      <c r="U20" s="667"/>
      <c r="V20" s="666"/>
      <c r="W20" s="667"/>
      <c r="X20" s="1264"/>
      <c r="Y20" s="3417"/>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424"/>
      <c r="Q21" s="1262" t="str">
        <f>B21</f>
        <v>基础设施水平</v>
      </c>
      <c r="R21" s="666" t="s">
        <v>14</v>
      </c>
      <c r="S21" s="667">
        <f>F21</f>
        <v>100</v>
      </c>
      <c r="T21" s="666" t="s">
        <v>14</v>
      </c>
      <c r="U21" s="667">
        <f>H21</f>
        <v>100</v>
      </c>
      <c r="V21" s="666" t="s">
        <v>14</v>
      </c>
      <c r="W21" s="667">
        <f>J21</f>
        <v>100</v>
      </c>
      <c r="X21" s="1264"/>
      <c r="Y21" s="3417"/>
      <c r="Z21" s="1263" t="str">
        <f>Q21</f>
        <v>基础设施水平</v>
      </c>
      <c r="AA21" s="1263">
        <f t="shared" ref="AA21" si="8">D21/F21</f>
        <v>1</v>
      </c>
      <c r="AB21" s="1263">
        <f t="shared" ref="AB21" si="9">D21/H21</f>
        <v>1</v>
      </c>
      <c r="AC21" s="1811">
        <f t="shared" ref="AC21" si="10">D21/J21</f>
        <v>1</v>
      </c>
    </row>
    <row r="22" spans="1:29" ht="15">
      <c r="A22" s="366"/>
      <c r="B22" s="556"/>
      <c r="C22" s="1813" t="s">
        <v>3445</v>
      </c>
      <c r="D22" s="386"/>
      <c r="E22" s="1813" t="s">
        <v>3445</v>
      </c>
      <c r="F22" s="386"/>
      <c r="G22" s="1813" t="s">
        <v>3445</v>
      </c>
      <c r="H22" s="386"/>
      <c r="I22" s="1813" t="s">
        <v>3445</v>
      </c>
      <c r="J22" s="386"/>
      <c r="K22" s="1063"/>
      <c r="L22" s="2492"/>
      <c r="M22" s="2487"/>
      <c r="N22" s="2487"/>
      <c r="O22" s="2487"/>
      <c r="P22" s="3424"/>
      <c r="Q22" s="1262"/>
      <c r="R22" s="666"/>
      <c r="S22" s="667"/>
      <c r="T22" s="666"/>
      <c r="U22" s="667"/>
      <c r="V22" s="666"/>
      <c r="W22" s="667"/>
      <c r="X22" s="1264"/>
      <c r="Y22" s="3417"/>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2</v>
      </c>
      <c r="L23" s="2492"/>
      <c r="M23" s="2487"/>
      <c r="N23" s="2487"/>
      <c r="O23" s="2487"/>
      <c r="P23" s="3424"/>
      <c r="Q23" s="1262" t="str">
        <f>B23</f>
        <v>环境质量</v>
      </c>
      <c r="R23" s="666" t="s">
        <v>14</v>
      </c>
      <c r="S23" s="667">
        <f>F23</f>
        <v>100</v>
      </c>
      <c r="T23" s="666" t="s">
        <v>14</v>
      </c>
      <c r="U23" s="667">
        <f>H23</f>
        <v>100</v>
      </c>
      <c r="V23" s="666" t="s">
        <v>14</v>
      </c>
      <c r="W23" s="667">
        <f>J23</f>
        <v>100</v>
      </c>
      <c r="X23" s="1264"/>
      <c r="Y23" s="3417"/>
      <c r="Z23" s="1263" t="str">
        <f>Q23</f>
        <v>环境质量</v>
      </c>
      <c r="AA23" s="1263">
        <f t="shared" si="3"/>
        <v>1</v>
      </c>
      <c r="AB23" s="1263">
        <f t="shared" si="4"/>
        <v>1</v>
      </c>
      <c r="AC23" s="1811">
        <f t="shared" si="5"/>
        <v>1</v>
      </c>
    </row>
    <row r="24" spans="1:29" ht="15.75" thickBot="1">
      <c r="A24" s="366"/>
      <c r="B24" s="556"/>
      <c r="C24" s="1757" t="s">
        <v>3408</v>
      </c>
      <c r="D24" s="386"/>
      <c r="E24" s="1757" t="s">
        <v>3408</v>
      </c>
      <c r="F24" s="386"/>
      <c r="G24" s="1757" t="s">
        <v>3408</v>
      </c>
      <c r="H24" s="386"/>
      <c r="I24" s="1757" t="s">
        <v>3408</v>
      </c>
      <c r="J24" s="386"/>
      <c r="K24" s="540"/>
      <c r="L24" s="2492"/>
      <c r="M24" s="2487"/>
      <c r="N24" s="2487"/>
      <c r="O24" s="2487"/>
      <c r="P24" s="3424"/>
      <c r="Q24" s="1262"/>
      <c r="R24" s="666"/>
      <c r="S24" s="667"/>
      <c r="T24" s="666"/>
      <c r="U24" s="667"/>
      <c r="V24" s="666"/>
      <c r="W24" s="667"/>
      <c r="X24" s="1264"/>
      <c r="Y24" s="3417"/>
      <c r="Z24" s="1263"/>
      <c r="AA24" s="1263">
        <v>1</v>
      </c>
      <c r="AB24" s="1263">
        <v>1</v>
      </c>
      <c r="AC24" s="1811">
        <v>1</v>
      </c>
    </row>
    <row r="25" spans="1:29" ht="27"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24"/>
      <c r="Q25" s="1262" t="str">
        <f>B25</f>
        <v>毗邻道路的类型与等级</v>
      </c>
      <c r="R25" s="666" t="s">
        <v>14</v>
      </c>
      <c r="S25" s="667">
        <f>F25</f>
        <v>100</v>
      </c>
      <c r="T25" s="666" t="s">
        <v>14</v>
      </c>
      <c r="U25" s="667">
        <f>H25</f>
        <v>100</v>
      </c>
      <c r="V25" s="666" t="s">
        <v>14</v>
      </c>
      <c r="W25" s="667">
        <f>J25</f>
        <v>100</v>
      </c>
      <c r="X25" s="1264"/>
      <c r="Y25" s="3417"/>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424"/>
      <c r="Q26" s="1262"/>
      <c r="R26" s="666"/>
      <c r="S26" s="667"/>
      <c r="T26" s="666"/>
      <c r="U26" s="667"/>
      <c r="V26" s="666"/>
      <c r="W26" s="667"/>
      <c r="X26" s="1264"/>
      <c r="Y26" s="3417"/>
      <c r="Z26" s="1263"/>
      <c r="AA26" s="1263">
        <v>1</v>
      </c>
      <c r="AB26" s="1263">
        <v>1</v>
      </c>
      <c r="AC26" s="1811">
        <v>1</v>
      </c>
    </row>
    <row r="27" spans="1:29" ht="15" hidden="1">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24"/>
      <c r="Q27" s="1262" t="str">
        <f t="shared" ref="Q27:Q47" si="11">B27</f>
        <v>楼层</v>
      </c>
      <c r="R27" s="666" t="s">
        <v>14</v>
      </c>
      <c r="S27" s="667">
        <f>F27</f>
        <v>100</v>
      </c>
      <c r="T27" s="666" t="s">
        <v>14</v>
      </c>
      <c r="U27" s="667">
        <f>H27</f>
        <v>100</v>
      </c>
      <c r="V27" s="666" t="s">
        <v>14</v>
      </c>
      <c r="W27" s="667">
        <f>J27</f>
        <v>100</v>
      </c>
      <c r="X27" s="1264"/>
      <c r="Y27" s="3417"/>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24"/>
      <c r="Q28" s="529" t="str">
        <f t="shared" si="11"/>
        <v>朝向</v>
      </c>
      <c r="R28" s="663" t="s">
        <v>14</v>
      </c>
      <c r="S28" s="664">
        <f>F28</f>
        <v>100</v>
      </c>
      <c r="T28" s="663" t="s">
        <v>14</v>
      </c>
      <c r="U28" s="664">
        <f>H28</f>
        <v>100</v>
      </c>
      <c r="V28" s="663" t="s">
        <v>14</v>
      </c>
      <c r="W28" s="664">
        <f>J28</f>
        <v>100</v>
      </c>
      <c r="X28" s="665"/>
      <c r="Y28" s="3417"/>
      <c r="Z28" s="50" t="str">
        <f>Q28</f>
        <v>朝向</v>
      </c>
      <c r="AA28" s="1263">
        <f>D28/F28</f>
        <v>1</v>
      </c>
      <c r="AB28" s="1263">
        <f>D28/H28</f>
        <v>1</v>
      </c>
      <c r="AC28" s="1811">
        <f>D28/J28</f>
        <v>1</v>
      </c>
    </row>
    <row r="29" spans="1:29" ht="15" hidden="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24"/>
      <c r="Q29" s="1262">
        <f t="shared" si="11"/>
        <v>111</v>
      </c>
      <c r="R29" s="666" t="s">
        <v>14</v>
      </c>
      <c r="S29" s="667">
        <f t="shared" ref="S29:S47" si="12">F29</f>
        <v>100</v>
      </c>
      <c r="T29" s="666" t="s">
        <v>14</v>
      </c>
      <c r="U29" s="667">
        <f t="shared" ref="U29:U47" si="13">H29</f>
        <v>100</v>
      </c>
      <c r="V29" s="666" t="s">
        <v>14</v>
      </c>
      <c r="W29" s="667">
        <f t="shared" ref="W29:W47" si="14">J29</f>
        <v>100</v>
      </c>
      <c r="X29" s="1264"/>
      <c r="Y29" s="3417"/>
      <c r="Z29" s="1263">
        <f t="shared" ref="Z29:Z47" si="15">Q29</f>
        <v>111</v>
      </c>
      <c r="AA29" s="1263">
        <f t="shared" si="3"/>
        <v>1</v>
      </c>
      <c r="AB29" s="1263">
        <f t="shared" si="4"/>
        <v>1</v>
      </c>
      <c r="AC29" s="1811">
        <f t="shared" si="5"/>
        <v>1</v>
      </c>
    </row>
    <row r="30" spans="1:29" ht="15" hidden="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24"/>
      <c r="Q30" s="1262">
        <f t="shared" si="11"/>
        <v>111</v>
      </c>
      <c r="R30" s="666" t="s">
        <v>14</v>
      </c>
      <c r="S30" s="667">
        <f t="shared" si="12"/>
        <v>100</v>
      </c>
      <c r="T30" s="666" t="s">
        <v>14</v>
      </c>
      <c r="U30" s="667">
        <f t="shared" si="13"/>
        <v>100</v>
      </c>
      <c r="V30" s="666" t="s">
        <v>14</v>
      </c>
      <c r="W30" s="667">
        <f t="shared" si="14"/>
        <v>100</v>
      </c>
      <c r="X30" s="1264"/>
      <c r="Y30" s="3417"/>
      <c r="Z30" s="1263">
        <f t="shared" si="15"/>
        <v>111</v>
      </c>
      <c r="AA30" s="1263">
        <f t="shared" si="3"/>
        <v>1</v>
      </c>
      <c r="AB30" s="1263">
        <f t="shared" si="4"/>
        <v>1</v>
      </c>
      <c r="AC30" s="1811">
        <f t="shared" si="5"/>
        <v>1</v>
      </c>
    </row>
    <row r="31" spans="1:29" ht="15" hidden="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24"/>
      <c r="Q31" s="1262">
        <f t="shared" si="11"/>
        <v>111</v>
      </c>
      <c r="R31" s="666" t="s">
        <v>14</v>
      </c>
      <c r="S31" s="667">
        <f t="shared" si="12"/>
        <v>100</v>
      </c>
      <c r="T31" s="666" t="s">
        <v>14</v>
      </c>
      <c r="U31" s="667">
        <f t="shared" si="13"/>
        <v>100</v>
      </c>
      <c r="V31" s="666" t="s">
        <v>14</v>
      </c>
      <c r="W31" s="667">
        <f t="shared" si="14"/>
        <v>100</v>
      </c>
      <c r="X31" s="1264"/>
      <c r="Y31" s="3417"/>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24"/>
      <c r="Q32" s="1262">
        <f t="shared" si="11"/>
        <v>111</v>
      </c>
      <c r="R32" s="666" t="s">
        <v>14</v>
      </c>
      <c r="S32" s="667">
        <f t="shared" si="12"/>
        <v>100</v>
      </c>
      <c r="T32" s="666" t="s">
        <v>14</v>
      </c>
      <c r="U32" s="667">
        <f t="shared" si="13"/>
        <v>100</v>
      </c>
      <c r="V32" s="666" t="s">
        <v>14</v>
      </c>
      <c r="W32" s="667">
        <f t="shared" si="14"/>
        <v>100</v>
      </c>
      <c r="X32" s="1264"/>
      <c r="Y32" s="3417"/>
      <c r="Z32" s="1263">
        <f t="shared" si="15"/>
        <v>111</v>
      </c>
      <c r="AA32" s="1263">
        <f t="shared" si="3"/>
        <v>1</v>
      </c>
      <c r="AB32" s="1263">
        <f t="shared" si="4"/>
        <v>1</v>
      </c>
      <c r="AC32" s="1811">
        <f t="shared" si="5"/>
        <v>1</v>
      </c>
    </row>
    <row r="33" spans="1:29" ht="15">
      <c r="A33" s="378" t="s">
        <v>1694</v>
      </c>
      <c r="B33" s="60" t="s">
        <v>1817</v>
      </c>
      <c r="C33" s="1763" t="s">
        <v>3446</v>
      </c>
      <c r="D33" s="404">
        <v>100</v>
      </c>
      <c r="E33" s="1763" t="s">
        <v>3446</v>
      </c>
      <c r="F33" s="399">
        <f>SUMIF(101:101,E33,102:102)-SUMIF(101:101,C33,102:102)+100</f>
        <v>100</v>
      </c>
      <c r="G33" s="1763" t="s">
        <v>3446</v>
      </c>
      <c r="H33" s="373">
        <f>SUMIF(101:101,G33,102:102)-SUMIF(101:101,C33,102:102)+100</f>
        <v>100</v>
      </c>
      <c r="I33" s="1763" t="s">
        <v>3446</v>
      </c>
      <c r="J33" s="404">
        <f>SUMIF(101:101,I33,102:102)-SUMIF(101:101,C33,102:102)+100</f>
        <v>100</v>
      </c>
      <c r="K33" s="537">
        <v>2</v>
      </c>
      <c r="L33" s="2492"/>
      <c r="M33" s="2487"/>
      <c r="N33" s="2487"/>
      <c r="O33" s="2487"/>
      <c r="P33" s="3418" t="s">
        <v>1696</v>
      </c>
      <c r="Q33" s="1262" t="str">
        <f t="shared" si="11"/>
        <v>建筑类型</v>
      </c>
      <c r="R33" s="666" t="s">
        <v>14</v>
      </c>
      <c r="S33" s="667">
        <f t="shared" si="12"/>
        <v>100</v>
      </c>
      <c r="T33" s="666" t="s">
        <v>14</v>
      </c>
      <c r="U33" s="667">
        <f t="shared" si="13"/>
        <v>100</v>
      </c>
      <c r="V33" s="666" t="s">
        <v>14</v>
      </c>
      <c r="W33" s="667">
        <f t="shared" si="14"/>
        <v>100</v>
      </c>
      <c r="X33" s="1264"/>
      <c r="Y33" s="3421"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406"/>
      <c r="F34" s="363">
        <f>LOOKUP(E34,104:104,105:105)-LOOKUP(C34,104:104,105:105)+100</f>
        <v>100</v>
      </c>
      <c r="G34" s="406"/>
      <c r="H34" s="118">
        <f>LOOKUP(G34,104:104,105:105)-LOOKUP(C34,104:104,105:105)+100</f>
        <v>100</v>
      </c>
      <c r="I34" s="406"/>
      <c r="J34" s="118">
        <f>LOOKUP(I34,104:104,105:105)-LOOKUP(C34,104:104,105:105)+100</f>
        <v>100</v>
      </c>
      <c r="K34" s="538"/>
      <c r="L34" s="2491"/>
      <c r="M34" s="2493"/>
      <c r="N34" s="2493"/>
      <c r="O34" s="2493"/>
      <c r="P34" s="3419"/>
      <c r="Q34" s="530" t="str">
        <f t="shared" si="11"/>
        <v>项目建筑规模</v>
      </c>
      <c r="R34" s="668" t="s">
        <v>14</v>
      </c>
      <c r="S34" s="669">
        <f t="shared" si="12"/>
        <v>100</v>
      </c>
      <c r="T34" s="668" t="s">
        <v>14</v>
      </c>
      <c r="U34" s="669">
        <f t="shared" si="13"/>
        <v>100</v>
      </c>
      <c r="V34" s="668" t="s">
        <v>14</v>
      </c>
      <c r="W34" s="669">
        <f t="shared" si="14"/>
        <v>100</v>
      </c>
      <c r="X34" s="670"/>
      <c r="Y34" s="3421"/>
      <c r="Z34" s="671" t="str">
        <f t="shared" si="15"/>
        <v>项目建筑规模</v>
      </c>
      <c r="AA34" s="1263">
        <f t="shared" si="3"/>
        <v>1</v>
      </c>
      <c r="AB34" s="1263">
        <f t="shared" si="4"/>
        <v>1</v>
      </c>
      <c r="AC34" s="1811">
        <f t="shared" si="5"/>
        <v>1</v>
      </c>
    </row>
    <row r="35" spans="1:29" ht="15">
      <c r="A35" s="408"/>
      <c r="B35" s="363" t="s">
        <v>1698</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1</v>
      </c>
      <c r="L35" s="2492"/>
      <c r="M35" s="2487"/>
      <c r="N35" s="2487"/>
      <c r="O35" s="2487"/>
      <c r="P35" s="3419"/>
      <c r="Q35" s="1262" t="str">
        <f t="shared" si="11"/>
        <v>建筑结构</v>
      </c>
      <c r="R35" s="666" t="s">
        <v>14</v>
      </c>
      <c r="S35" s="667">
        <f t="shared" si="12"/>
        <v>100</v>
      </c>
      <c r="T35" s="666" t="s">
        <v>14</v>
      </c>
      <c r="U35" s="667">
        <f t="shared" si="13"/>
        <v>100</v>
      </c>
      <c r="V35" s="666" t="s">
        <v>14</v>
      </c>
      <c r="W35" s="667">
        <f t="shared" si="14"/>
        <v>100</v>
      </c>
      <c r="X35" s="1264"/>
      <c r="Y35" s="3421"/>
      <c r="Z35" s="1263" t="str">
        <f t="shared" si="15"/>
        <v>建筑结构</v>
      </c>
      <c r="AA35" s="1263">
        <f t="shared" si="3"/>
        <v>1</v>
      </c>
      <c r="AB35" s="1263">
        <f t="shared" si="4"/>
        <v>1</v>
      </c>
      <c r="AC35" s="1811">
        <f t="shared" si="5"/>
        <v>1</v>
      </c>
    </row>
    <row r="36" spans="1:29" ht="15">
      <c r="A36" s="408"/>
      <c r="B36" s="363" t="s">
        <v>1785</v>
      </c>
      <c r="C36" s="398" t="s">
        <v>3447</v>
      </c>
      <c r="D36" s="373">
        <v>100</v>
      </c>
      <c r="E36" s="398" t="s">
        <v>3447</v>
      </c>
      <c r="F36" s="399">
        <f>SUMIF(108:108,E36,109:109)-SUMIF(108:108,C36,109:109)+100</f>
        <v>100</v>
      </c>
      <c r="G36" s="398" t="s">
        <v>3447</v>
      </c>
      <c r="H36" s="373">
        <f>SUMIF(108:108,G36,109:109)-SUMIF(108:108,C36,109:109)+100</f>
        <v>100</v>
      </c>
      <c r="I36" s="398" t="s">
        <v>3447</v>
      </c>
      <c r="J36" s="373">
        <f>SUMIF(108:108,I36,109:109)-SUMIF(108:108,C36,109:109)+100</f>
        <v>100</v>
      </c>
      <c r="K36" s="537">
        <v>1</v>
      </c>
      <c r="L36" s="2492"/>
      <c r="M36" s="2487"/>
      <c r="N36" s="2487"/>
      <c r="O36" s="2487"/>
      <c r="P36" s="3419"/>
      <c r="Q36" s="1262" t="str">
        <f t="shared" si="11"/>
        <v>公共部分装修</v>
      </c>
      <c r="R36" s="666" t="s">
        <v>14</v>
      </c>
      <c r="S36" s="667">
        <f t="shared" si="12"/>
        <v>100</v>
      </c>
      <c r="T36" s="666" t="s">
        <v>14</v>
      </c>
      <c r="U36" s="667">
        <f t="shared" si="13"/>
        <v>100</v>
      </c>
      <c r="V36" s="666" t="s">
        <v>14</v>
      </c>
      <c r="W36" s="667">
        <f t="shared" si="14"/>
        <v>100</v>
      </c>
      <c r="X36" s="1264"/>
      <c r="Y36" s="3421"/>
      <c r="Z36" s="1263" t="str">
        <f t="shared" si="15"/>
        <v>公共部分装修</v>
      </c>
      <c r="AA36" s="1263">
        <f t="shared" si="3"/>
        <v>1</v>
      </c>
      <c r="AB36" s="1263">
        <f t="shared" si="4"/>
        <v>1</v>
      </c>
      <c r="AC36" s="1811">
        <f t="shared" si="5"/>
        <v>1</v>
      </c>
    </row>
    <row r="37" spans="1:29" ht="15" hidden="1">
      <c r="A37" s="408"/>
      <c r="B37" s="363" t="s">
        <v>1786</v>
      </c>
      <c r="C37" s="410">
        <v>1</v>
      </c>
      <c r="D37" s="373">
        <v>100</v>
      </c>
      <c r="E37" s="410">
        <v>1</v>
      </c>
      <c r="F37" s="399">
        <f>LOOKUP(E37,111:111,112:112)-LOOKUP(C37,111:111,112:112)+100</f>
        <v>100</v>
      </c>
      <c r="G37" s="410">
        <v>1</v>
      </c>
      <c r="H37" s="399">
        <f>LOOKUP(G37,111:111,112:112)-LOOKUP(C37,111:111,112:112)+100</f>
        <v>100</v>
      </c>
      <c r="I37" s="410">
        <v>1</v>
      </c>
      <c r="J37" s="373">
        <f>LOOKUP(I37,111:111,112:112)-LOOKUP(C37,111:111,112:112)+100</f>
        <v>100</v>
      </c>
      <c r="K37" s="537">
        <v>0</v>
      </c>
      <c r="L37" s="2492"/>
      <c r="M37" s="2487"/>
      <c r="N37" s="2487"/>
      <c r="O37" s="2487"/>
      <c r="P37" s="3419"/>
      <c r="Q37" s="1262" t="str">
        <f t="shared" si="11"/>
        <v>成新度</v>
      </c>
      <c r="R37" s="666" t="s">
        <v>14</v>
      </c>
      <c r="S37" s="667">
        <f t="shared" si="12"/>
        <v>100</v>
      </c>
      <c r="T37" s="666" t="s">
        <v>14</v>
      </c>
      <c r="U37" s="667">
        <f t="shared" si="13"/>
        <v>100</v>
      </c>
      <c r="V37" s="666" t="s">
        <v>14</v>
      </c>
      <c r="W37" s="667">
        <f t="shared" si="14"/>
        <v>100</v>
      </c>
      <c r="X37" s="1264"/>
      <c r="Y37" s="3421"/>
      <c r="Z37" s="1263" t="str">
        <f t="shared" si="15"/>
        <v>成新度</v>
      </c>
      <c r="AA37" s="1263">
        <f t="shared" si="3"/>
        <v>1</v>
      </c>
      <c r="AB37" s="1263">
        <f t="shared" si="4"/>
        <v>1</v>
      </c>
      <c r="AC37" s="1811">
        <f t="shared" si="5"/>
        <v>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9"/>
      <c r="Q38" s="529" t="str">
        <f t="shared" si="11"/>
        <v>写字楼等级</v>
      </c>
      <c r="R38" s="663" t="s">
        <v>14</v>
      </c>
      <c r="S38" s="664">
        <f t="shared" si="12"/>
        <v>100</v>
      </c>
      <c r="T38" s="663" t="s">
        <v>14</v>
      </c>
      <c r="U38" s="664">
        <f t="shared" si="13"/>
        <v>100</v>
      </c>
      <c r="V38" s="663" t="s">
        <v>14</v>
      </c>
      <c r="W38" s="664">
        <f t="shared" si="14"/>
        <v>100</v>
      </c>
      <c r="X38" s="665"/>
      <c r="Y38" s="3421"/>
      <c r="Z38" s="50" t="str">
        <f t="shared" si="15"/>
        <v>写字楼等级</v>
      </c>
      <c r="AA38" s="50">
        <f t="shared" si="3"/>
        <v>1</v>
      </c>
      <c r="AB38" s="50">
        <f t="shared" si="4"/>
        <v>1</v>
      </c>
      <c r="AC38" s="801">
        <f t="shared" si="5"/>
        <v>1</v>
      </c>
    </row>
    <row r="39" spans="1:29" ht="15">
      <c r="A39" s="408"/>
      <c r="B39" s="363" t="s">
        <v>1819</v>
      </c>
      <c r="C39" s="398" t="s">
        <v>3448</v>
      </c>
      <c r="D39" s="373">
        <v>100</v>
      </c>
      <c r="E39" s="398" t="s">
        <v>3453</v>
      </c>
      <c r="F39" s="399">
        <f>SUMIF(115:115,E39,116:116)-SUMIF(115:115,C39,116:116)+100</f>
        <v>100</v>
      </c>
      <c r="G39" s="398" t="s">
        <v>3453</v>
      </c>
      <c r="H39" s="373">
        <f>SUMIF(115:115,G39,116:116)-SUMIF(115:115,C39,116:116)+100</f>
        <v>100</v>
      </c>
      <c r="I39" s="398" t="s">
        <v>3453</v>
      </c>
      <c r="J39" s="373">
        <f>SUMIF(115:115,I39,116:116)-SUMIF(115:115,C39,116:116)+100</f>
        <v>100</v>
      </c>
      <c r="K39" s="537">
        <v>0</v>
      </c>
      <c r="L39" s="2492"/>
      <c r="M39" s="2487"/>
      <c r="N39" s="2487"/>
      <c r="O39" s="2487"/>
      <c r="P39" s="3419" t="s">
        <v>1696</v>
      </c>
      <c r="Q39" s="1262" t="str">
        <f t="shared" si="11"/>
        <v>物业管理</v>
      </c>
      <c r="R39" s="666" t="s">
        <v>14</v>
      </c>
      <c r="S39" s="667">
        <f t="shared" si="12"/>
        <v>100</v>
      </c>
      <c r="T39" s="666" t="s">
        <v>14</v>
      </c>
      <c r="U39" s="667">
        <f t="shared" si="13"/>
        <v>100</v>
      </c>
      <c r="V39" s="666" t="s">
        <v>14</v>
      </c>
      <c r="W39" s="667">
        <f t="shared" si="14"/>
        <v>100</v>
      </c>
      <c r="X39" s="1264"/>
      <c r="Y39" s="3421" t="s">
        <v>1696</v>
      </c>
      <c r="Z39" s="1263" t="str">
        <f t="shared" si="15"/>
        <v>物业管理</v>
      </c>
      <c r="AA39" s="1263">
        <f t="shared" si="3"/>
        <v>1</v>
      </c>
      <c r="AB39" s="1263">
        <f t="shared" si="4"/>
        <v>1</v>
      </c>
      <c r="AC39" s="1811">
        <f t="shared" si="5"/>
        <v>1</v>
      </c>
    </row>
    <row r="40" spans="1:29" ht="15">
      <c r="A40" s="408"/>
      <c r="B40" s="363" t="s">
        <v>1787</v>
      </c>
      <c r="C40" s="398" t="s">
        <v>3449</v>
      </c>
      <c r="D40" s="373">
        <v>100</v>
      </c>
      <c r="E40" s="398" t="s">
        <v>3454</v>
      </c>
      <c r="F40" s="399">
        <f>SUMIF(117:117,E40,118:118)-SUMIF(117:117,C40,118:118)+100</f>
        <v>99</v>
      </c>
      <c r="G40" s="398" t="s">
        <v>3454</v>
      </c>
      <c r="H40" s="373">
        <f>SUMIF(117:117,G40,118:118)-SUMIF(117:117,C40,118:118)+100</f>
        <v>99</v>
      </c>
      <c r="I40" s="398" t="s">
        <v>3454</v>
      </c>
      <c r="J40" s="373">
        <f>SUMIF(117:117,I40,118:118)-SUMIF(117:117,C40,118:118)+100</f>
        <v>99</v>
      </c>
      <c r="K40" s="537">
        <v>1</v>
      </c>
      <c r="L40" s="2492"/>
      <c r="M40" s="2487"/>
      <c r="N40" s="2487"/>
      <c r="O40" s="2487"/>
      <c r="P40" s="3419"/>
      <c r="Q40" s="1262" t="str">
        <f t="shared" si="11"/>
        <v>市政基础设施</v>
      </c>
      <c r="R40" s="666" t="s">
        <v>14</v>
      </c>
      <c r="S40" s="667">
        <f t="shared" si="12"/>
        <v>99</v>
      </c>
      <c r="T40" s="666" t="s">
        <v>14</v>
      </c>
      <c r="U40" s="667">
        <f t="shared" si="13"/>
        <v>99</v>
      </c>
      <c r="V40" s="666" t="s">
        <v>14</v>
      </c>
      <c r="W40" s="667">
        <f t="shared" si="14"/>
        <v>99</v>
      </c>
      <c r="X40" s="1264"/>
      <c r="Y40" s="3421"/>
      <c r="Z40" s="1263" t="str">
        <f t="shared" si="15"/>
        <v>市政基础设施</v>
      </c>
      <c r="AA40" s="1263">
        <f t="shared" si="3"/>
        <v>1.0101010101010102</v>
      </c>
      <c r="AB40" s="1263">
        <f t="shared" si="4"/>
        <v>1.0101010101010102</v>
      </c>
      <c r="AC40" s="1811">
        <f t="shared" si="5"/>
        <v>1.0101010101010102</v>
      </c>
    </row>
    <row r="41" spans="1:29" ht="15">
      <c r="A41" s="408"/>
      <c r="B41" s="363" t="s">
        <v>1789</v>
      </c>
      <c r="C41" s="541" t="s">
        <v>3450</v>
      </c>
      <c r="D41" s="373">
        <v>100</v>
      </c>
      <c r="E41" s="541" t="s">
        <v>3450</v>
      </c>
      <c r="F41" s="399">
        <f>SUMIF(119:119,E41,120:120)-SUMIF(119:119,C41,120:120)+100</f>
        <v>100</v>
      </c>
      <c r="G41" s="541" t="s">
        <v>3450</v>
      </c>
      <c r="H41" s="373">
        <f>SUMIF(119:119,G41,120:120)-SUMIF(119:119,C41,120:120)+100</f>
        <v>100</v>
      </c>
      <c r="I41" s="541" t="s">
        <v>3450</v>
      </c>
      <c r="J41" s="373">
        <f>SUMIF(119:119,I41,120:120)-SUMIF(119:119,C41,120:120)+100</f>
        <v>100</v>
      </c>
      <c r="K41" s="537">
        <v>1</v>
      </c>
      <c r="L41" s="2492"/>
      <c r="M41" s="2487"/>
      <c r="N41" s="2487"/>
      <c r="O41" s="2487"/>
      <c r="P41" s="3419"/>
      <c r="Q41" s="1262" t="str">
        <f t="shared" si="11"/>
        <v>层高</v>
      </c>
      <c r="R41" s="666" t="s">
        <v>14</v>
      </c>
      <c r="S41" s="667">
        <f t="shared" si="12"/>
        <v>100</v>
      </c>
      <c r="T41" s="666" t="s">
        <v>14</v>
      </c>
      <c r="U41" s="667">
        <f t="shared" si="13"/>
        <v>100</v>
      </c>
      <c r="V41" s="666" t="s">
        <v>14</v>
      </c>
      <c r="W41" s="667">
        <f t="shared" si="14"/>
        <v>100</v>
      </c>
      <c r="X41" s="1264"/>
      <c r="Y41" s="342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9"/>
      <c r="Q42" s="530" t="str">
        <f t="shared" si="11"/>
        <v>单套建筑面积</v>
      </c>
      <c r="R42" s="668" t="s">
        <v>14</v>
      </c>
      <c r="S42" s="669">
        <f t="shared" si="12"/>
        <v>100</v>
      </c>
      <c r="T42" s="668" t="s">
        <v>14</v>
      </c>
      <c r="U42" s="669">
        <f t="shared" si="13"/>
        <v>100</v>
      </c>
      <c r="V42" s="668" t="s">
        <v>14</v>
      </c>
      <c r="W42" s="669">
        <f t="shared" si="14"/>
        <v>100</v>
      </c>
      <c r="X42" s="670"/>
      <c r="Y42" s="3421"/>
      <c r="Z42" s="671" t="str">
        <f t="shared" si="15"/>
        <v>单套建筑面积</v>
      </c>
      <c r="AA42" s="1263">
        <f t="shared" si="3"/>
        <v>1</v>
      </c>
      <c r="AB42" s="1263">
        <f t="shared" si="4"/>
        <v>1</v>
      </c>
      <c r="AC42" s="1811">
        <f t="shared" si="5"/>
        <v>1</v>
      </c>
    </row>
    <row r="43" spans="1:29" ht="15">
      <c r="A43" s="408"/>
      <c r="B43" s="363" t="s">
        <v>1792</v>
      </c>
      <c r="C43" s="398" t="s">
        <v>3451</v>
      </c>
      <c r="D43" s="373">
        <v>100</v>
      </c>
      <c r="E43" s="398" t="s">
        <v>3455</v>
      </c>
      <c r="F43" s="399">
        <f>SUMIF(123:123,E43,124:124)-SUMIF(123:123,C43,124:124)+100</f>
        <v>99</v>
      </c>
      <c r="G43" s="398" t="s">
        <v>3455</v>
      </c>
      <c r="H43" s="373">
        <f>SUMIF(123:123,G43,124:124)-SUMIF(123:123,C43,124:124)+100</f>
        <v>99</v>
      </c>
      <c r="I43" s="398" t="s">
        <v>3455</v>
      </c>
      <c r="J43" s="373">
        <f>SUMIF(123:123,I43,124:124)-SUMIF(123:123,C43,124:124)+100</f>
        <v>99</v>
      </c>
      <c r="K43" s="537">
        <v>1</v>
      </c>
      <c r="L43" s="2492"/>
      <c r="M43" s="2487"/>
      <c r="N43" s="2487"/>
      <c r="O43" s="2487"/>
      <c r="P43" s="3419"/>
      <c r="Q43" s="1262" t="str">
        <f t="shared" si="11"/>
        <v>内部装修</v>
      </c>
      <c r="R43" s="666" t="s">
        <v>14</v>
      </c>
      <c r="S43" s="667">
        <f t="shared" si="12"/>
        <v>99</v>
      </c>
      <c r="T43" s="666" t="s">
        <v>14</v>
      </c>
      <c r="U43" s="667">
        <f t="shared" si="13"/>
        <v>99</v>
      </c>
      <c r="V43" s="666" t="s">
        <v>14</v>
      </c>
      <c r="W43" s="667">
        <f t="shared" si="14"/>
        <v>99</v>
      </c>
      <c r="X43" s="1264"/>
      <c r="Y43" s="3421"/>
      <c r="Z43" s="1263" t="str">
        <f t="shared" si="15"/>
        <v>内部装修</v>
      </c>
      <c r="AA43" s="1263">
        <f t="shared" si="3"/>
        <v>1.0101010101010102</v>
      </c>
      <c r="AB43" s="1263">
        <f t="shared" si="4"/>
        <v>1.0101010101010102</v>
      </c>
      <c r="AC43" s="1811">
        <f t="shared" si="5"/>
        <v>1.0101010101010102</v>
      </c>
    </row>
    <row r="44" spans="1:29" ht="15">
      <c r="A44" s="408"/>
      <c r="B44" s="363" t="s">
        <v>1707</v>
      </c>
      <c r="C44" s="398" t="s">
        <v>3407</v>
      </c>
      <c r="D44" s="373">
        <v>100</v>
      </c>
      <c r="E44" s="398" t="s">
        <v>3407</v>
      </c>
      <c r="F44" s="399">
        <f>SUMIF(125:125,E44,126:126)-SUMIF(125:125,C44,126:126)+100</f>
        <v>100</v>
      </c>
      <c r="G44" s="398" t="s">
        <v>3407</v>
      </c>
      <c r="H44" s="373">
        <f>SUMIF(125:125,G44,126:126)-SUMIF(125:125,C44,126:126)+100</f>
        <v>100</v>
      </c>
      <c r="I44" s="398" t="s">
        <v>3407</v>
      </c>
      <c r="J44" s="373">
        <f>SUMIF(125:125,I44,126:126)-SUMIF(125:125,C44,126:126)+100</f>
        <v>100</v>
      </c>
      <c r="K44" s="537">
        <v>1</v>
      </c>
      <c r="L44" s="2492"/>
      <c r="M44" s="2487"/>
      <c r="N44" s="2487"/>
      <c r="O44" s="2487"/>
      <c r="P44" s="3419"/>
      <c r="Q44" s="1262" t="str">
        <f t="shared" si="11"/>
        <v>内部装修维护情况</v>
      </c>
      <c r="R44" s="666" t="s">
        <v>14</v>
      </c>
      <c r="S44" s="667">
        <f t="shared" si="12"/>
        <v>100</v>
      </c>
      <c r="T44" s="666" t="s">
        <v>14</v>
      </c>
      <c r="U44" s="667">
        <f t="shared" si="13"/>
        <v>100</v>
      </c>
      <c r="V44" s="666" t="s">
        <v>14</v>
      </c>
      <c r="W44" s="667">
        <f t="shared" si="14"/>
        <v>100</v>
      </c>
      <c r="X44" s="1264"/>
      <c r="Y44" s="3421"/>
      <c r="Z44" s="1263" t="str">
        <f t="shared" si="15"/>
        <v>内部装修维护情况</v>
      </c>
      <c r="AA44" s="1263">
        <f t="shared" si="3"/>
        <v>1</v>
      </c>
      <c r="AB44" s="1263">
        <f t="shared" si="4"/>
        <v>1</v>
      </c>
      <c r="AC44" s="1811">
        <f t="shared" si="5"/>
        <v>1</v>
      </c>
    </row>
    <row r="45" spans="1:29" s="101" customFormat="1" ht="15">
      <c r="A45" s="409"/>
      <c r="B45" s="3160" t="s">
        <v>3439</v>
      </c>
      <c r="C45" s="3162" t="s">
        <v>3452</v>
      </c>
      <c r="D45" s="118">
        <v>100</v>
      </c>
      <c r="E45" s="3163" t="s">
        <v>3456</v>
      </c>
      <c r="F45" s="363">
        <f>SUMIF(127:127,E45,128:128)-SUMIF(127:127,C45,128:128)+100</f>
        <v>104</v>
      </c>
      <c r="G45" s="3163" t="s">
        <v>3456</v>
      </c>
      <c r="H45" s="118">
        <f>SUMIF(127:127,G45,128:128)-SUMIF(127:127,C45,128:128)+100</f>
        <v>104</v>
      </c>
      <c r="I45" s="3163" t="s">
        <v>3457</v>
      </c>
      <c r="J45" s="118">
        <f>SUMIF(127:127,I45,128:128)-SUMIF(127:127,C45,128:128)+100</f>
        <v>104</v>
      </c>
      <c r="K45" s="538"/>
      <c r="L45" s="2488"/>
      <c r="M45" s="2439"/>
      <c r="N45" s="2439"/>
      <c r="O45" s="2439"/>
      <c r="P45" s="3419"/>
      <c r="Q45" s="529" t="str">
        <f t="shared" si="11"/>
        <v>出租方式</v>
      </c>
      <c r="R45" s="663" t="s">
        <v>14</v>
      </c>
      <c r="S45" s="664">
        <f t="shared" si="12"/>
        <v>104</v>
      </c>
      <c r="T45" s="663" t="s">
        <v>14</v>
      </c>
      <c r="U45" s="664">
        <f t="shared" si="13"/>
        <v>104</v>
      </c>
      <c r="V45" s="663" t="s">
        <v>14</v>
      </c>
      <c r="W45" s="664">
        <f t="shared" si="14"/>
        <v>104</v>
      </c>
      <c r="X45" s="665"/>
      <c r="Y45" s="3421"/>
      <c r="Z45" s="50" t="str">
        <f t="shared" si="15"/>
        <v>出租方式</v>
      </c>
      <c r="AA45" s="50">
        <f t="shared" si="3"/>
        <v>0.96153846153846156</v>
      </c>
      <c r="AB45" s="50">
        <f t="shared" si="4"/>
        <v>0.96153846153846156</v>
      </c>
      <c r="AC45" s="801">
        <f t="shared" si="5"/>
        <v>0.96153846153846156</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9"/>
      <c r="Q46" s="1262">
        <f t="shared" si="11"/>
        <v>111</v>
      </c>
      <c r="R46" s="666" t="s">
        <v>14</v>
      </c>
      <c r="S46" s="667">
        <f t="shared" si="12"/>
        <v>100</v>
      </c>
      <c r="T46" s="666" t="s">
        <v>14</v>
      </c>
      <c r="U46" s="667">
        <f t="shared" si="13"/>
        <v>100</v>
      </c>
      <c r="V46" s="666" t="s">
        <v>14</v>
      </c>
      <c r="W46" s="667">
        <f t="shared" si="14"/>
        <v>100</v>
      </c>
      <c r="X46" s="1264"/>
      <c r="Y46" s="3421"/>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20"/>
      <c r="Q47" s="1262">
        <f t="shared" si="11"/>
        <v>111</v>
      </c>
      <c r="R47" s="666" t="s">
        <v>14</v>
      </c>
      <c r="S47" s="667">
        <f t="shared" si="12"/>
        <v>100</v>
      </c>
      <c r="T47" s="666" t="s">
        <v>14</v>
      </c>
      <c r="U47" s="667">
        <f t="shared" si="13"/>
        <v>100</v>
      </c>
      <c r="V47" s="666" t="s">
        <v>14</v>
      </c>
      <c r="W47" s="667">
        <f t="shared" si="14"/>
        <v>100</v>
      </c>
      <c r="X47" s="1264"/>
      <c r="Y47" s="3422"/>
      <c r="Z47" s="1263">
        <f t="shared" si="15"/>
        <v>111</v>
      </c>
      <c r="AA47" s="1263">
        <f t="shared" si="3"/>
        <v>1</v>
      </c>
      <c r="AB47" s="1263">
        <f t="shared" si="4"/>
        <v>1</v>
      </c>
      <c r="AC47" s="1811">
        <f t="shared" si="5"/>
        <v>1</v>
      </c>
    </row>
    <row r="48" spans="1:29" ht="15">
      <c r="A48" s="415" t="s">
        <v>1708</v>
      </c>
      <c r="B48" s="416"/>
      <c r="C48" s="1080" t="s">
        <v>0</v>
      </c>
      <c r="D48" s="417"/>
      <c r="E48" s="418">
        <v>1.5</v>
      </c>
      <c r="F48" s="419"/>
      <c r="G48" s="420">
        <v>1.5</v>
      </c>
      <c r="H48" s="421"/>
      <c r="I48" s="418">
        <v>1.3</v>
      </c>
      <c r="J48" s="421"/>
      <c r="K48" s="673"/>
      <c r="L48" s="2494"/>
      <c r="M48" s="2487"/>
      <c r="N48" s="2487"/>
      <c r="O48" s="2487"/>
      <c r="P48" s="3397" t="str">
        <f>A48</f>
        <v>成交单价（元/平方米）</v>
      </c>
      <c r="Q48" s="3415"/>
      <c r="R48" s="3410">
        <f>E48</f>
        <v>1.5</v>
      </c>
      <c r="S48" s="3410"/>
      <c r="T48" s="3410">
        <f>G48</f>
        <v>1.5</v>
      </c>
      <c r="U48" s="3410"/>
      <c r="V48" s="3410">
        <f>I48</f>
        <v>1.3</v>
      </c>
      <c r="W48" s="3410"/>
      <c r="X48" s="384"/>
      <c r="Y48" s="672"/>
      <c r="Z48" s="384"/>
      <c r="AA48" s="384"/>
      <c r="AB48" s="384"/>
      <c r="AC48" s="554"/>
    </row>
    <row r="49" spans="1:29" ht="15.75" thickBot="1">
      <c r="A49" s="422" t="s">
        <v>1793</v>
      </c>
      <c r="B49" s="423"/>
      <c r="C49" s="1081">
        <f>R50</f>
        <v>1.4</v>
      </c>
      <c r="D49" s="2140" t="s">
        <v>2138</v>
      </c>
      <c r="E49" s="1082">
        <f>R49</f>
        <v>1.4</v>
      </c>
      <c r="F49" s="2141"/>
      <c r="G49" s="1081">
        <f>T49</f>
        <v>1.4</v>
      </c>
      <c r="H49" s="2141"/>
      <c r="I49" s="1082">
        <f>V49</f>
        <v>1.3</v>
      </c>
      <c r="J49" s="2141"/>
      <c r="K49" s="2143">
        <f>F49+H49+J49</f>
        <v>0</v>
      </c>
      <c r="L49" s="2494"/>
      <c r="M49" s="2487"/>
      <c r="N49" s="2487"/>
      <c r="O49" s="2487"/>
      <c r="P49" s="3397" t="str">
        <f>A49</f>
        <v>比较价值（元/平方米）</v>
      </c>
      <c r="Q49" s="3415"/>
      <c r="R49" s="3410">
        <f>IF(F1="售价",ROUND(PRODUCT(R48,AA7:AA47),0),ROUND(PRODUCT(R48,AA7:AA47),1))</f>
        <v>1.4</v>
      </c>
      <c r="S49" s="3410"/>
      <c r="T49" s="3410">
        <f>IF(F1="售价",ROUND(PRODUCT(T48,AB7:AB47),0),ROUND(PRODUCT(T48,AB7:AB47),1))</f>
        <v>1.4</v>
      </c>
      <c r="U49" s="3410"/>
      <c r="V49" s="3410">
        <f>IF(F1="售价",ROUND(PRODUCT(V48,AC7:AC47),0),ROUND(PRODUCT(V48,AC7:AC47),1))</f>
        <v>1.3</v>
      </c>
      <c r="W49" s="3410"/>
      <c r="X49" s="384"/>
      <c r="Y49" s="384"/>
      <c r="Z49" s="384"/>
      <c r="AA49" s="384"/>
      <c r="AB49" s="384"/>
      <c r="AC49" s="554"/>
    </row>
    <row r="50" spans="1:29" ht="15.75" thickBot="1">
      <c r="A50" s="426" t="s">
        <v>1794</v>
      </c>
      <c r="B50" s="427"/>
      <c r="C50" s="350">
        <f>R50</f>
        <v>1.4</v>
      </c>
      <c r="D50" s="350"/>
      <c r="E50" s="350"/>
      <c r="F50" s="350"/>
      <c r="G50" s="350"/>
      <c r="H50" s="350"/>
      <c r="I50" s="350"/>
      <c r="J50" s="428"/>
      <c r="K50" s="674"/>
      <c r="L50" s="2494"/>
      <c r="M50" s="2487"/>
      <c r="N50" s="2487"/>
      <c r="O50" s="2487"/>
      <c r="P50" s="3473" t="str">
        <f>A50</f>
        <v>估价对象XX用房的比较价值（楼面单价，元/平方米）</v>
      </c>
      <c r="Q50" s="3474"/>
      <c r="R50" s="3475">
        <f>IF(F1="售价",ROUND(IF(D49="简单平均",AVERAGE(R49:V49),R49*F49+T49*H49+V49*J49),0),ROUND(IF(D49="简单平均",AVERAGE(R49:V49),R49*F49+T49*H49+V49*J49),1))</f>
        <v>1.4</v>
      </c>
      <c r="S50" s="3475"/>
      <c r="T50" s="3475"/>
      <c r="U50" s="3475"/>
      <c r="V50" s="3475"/>
      <c r="W50" s="347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f>IF(E48&lt;E49,E49/E48-1,E48/E49-1)</f>
        <v>7.1428571428571397E-2</v>
      </c>
      <c r="F53" s="434" t="str">
        <f>IF(OR(E53&gt;=0.3,E53&lt;=-0.3),"超过30%","")</f>
        <v/>
      </c>
      <c r="G53" s="433">
        <f>IF(G48&lt;G49,G49/G48-1,G48/G49-1)</f>
        <v>7.1428571428571397E-2</v>
      </c>
      <c r="H53" s="434" t="str">
        <f>IF(OR(G53&gt;=0.3,G53&lt;=-0.3),"超过30%","")</f>
        <v/>
      </c>
      <c r="I53" s="433">
        <f>IF(I48&lt;I49,I49/I48-1,I48/I49-1)</f>
        <v>0</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f>IF(E49&lt;G49,G49/E49-1,E49/G49-1)</f>
        <v>0</v>
      </c>
      <c r="F54" s="434" t="str">
        <f>IF(OR(E54&gt;=0.2,E54&lt;=-0.2),"超过20%","")</f>
        <v/>
      </c>
      <c r="G54" s="433">
        <f>IF(G49&lt;I49,I49/G49-1,G49/I49-1)</f>
        <v>7.6923076923076872E-2</v>
      </c>
      <c r="H54" s="434" t="str">
        <f>IF(OR(G54&gt;=0.2,G54&lt;=-0.2),"超过20%","")</f>
        <v/>
      </c>
      <c r="I54" s="433">
        <f>IF(I49&lt;E49,E49/I49-1,I49/E49-1)</f>
        <v>7.6923076923076872E-2</v>
      </c>
      <c r="J54" s="434"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f>IF(E48&lt;G48,G48/E48-1,E48/G48-1)</f>
        <v>0</v>
      </c>
      <c r="F55" s="434" t="str">
        <f>IF(OR(E55&gt;=0.3,E55&lt;=-0.3),"超过30%","")</f>
        <v/>
      </c>
      <c r="G55" s="433">
        <f>IF(G48&lt;I48,I48/G48-1,G48/I48-1)</f>
        <v>0.15384615384615374</v>
      </c>
      <c r="H55" s="434" t="str">
        <f>IF(OR(G55&gt;=0.3,G55&lt;=-0.3),"超过30%","")</f>
        <v/>
      </c>
      <c r="I55" s="433">
        <f>IF(I48&lt;E48,E48/I48-1,I48/E48-1)</f>
        <v>0.15384615384615374</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56" t="s">
        <v>3422</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102</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0（含）-1</v>
      </c>
      <c r="D68" s="477" t="str">
        <f t="shared" ref="D68:L68" si="17">D69&amp;"（含）"&amp;"-"&amp;E69</f>
        <v>1（含）-2</v>
      </c>
      <c r="E68" s="477" t="str">
        <f t="shared" si="17"/>
        <v>2（含）-3</v>
      </c>
      <c r="F68" s="477" t="str">
        <f t="shared" si="17"/>
        <v>3（含）-4</v>
      </c>
      <c r="G68" s="477" t="str">
        <f t="shared" si="17"/>
        <v>4（含）-5</v>
      </c>
      <c r="H68" s="477" t="str">
        <f t="shared" si="17"/>
        <v>5（含）-6</v>
      </c>
      <c r="I68" s="477" t="str">
        <f t="shared" si="17"/>
        <v>6（含）-7</v>
      </c>
      <c r="J68" s="477" t="str">
        <f t="shared" si="17"/>
        <v>7（含）-8</v>
      </c>
      <c r="K68" s="477" t="str">
        <f t="shared" si="17"/>
        <v>8（含）-9</v>
      </c>
      <c r="L68" s="477" t="str">
        <f t="shared" si="17"/>
        <v>9（含）-10</v>
      </c>
      <c r="M68" s="386" t="str">
        <f>M69&amp;"（含）"&amp;"-"&amp;P69</f>
        <v>10（含）-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1</v>
      </c>
      <c r="E69" s="479">
        <v>2</v>
      </c>
      <c r="F69" s="479">
        <v>3</v>
      </c>
      <c r="G69" s="479">
        <v>4</v>
      </c>
      <c r="H69" s="479">
        <v>5</v>
      </c>
      <c r="I69" s="479">
        <v>6</v>
      </c>
      <c r="J69" s="479">
        <v>7</v>
      </c>
      <c r="K69" s="479">
        <v>8</v>
      </c>
      <c r="L69" s="479">
        <v>9</v>
      </c>
      <c r="M69" s="479">
        <v>10</v>
      </c>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98</v>
      </c>
      <c r="E78" s="474">
        <f>D78-$K15</f>
        <v>96</v>
      </c>
      <c r="F78" s="474">
        <f>E78-$K15</f>
        <v>94</v>
      </c>
      <c r="G78" s="474">
        <f>F78-$K15</f>
        <v>92</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98</v>
      </c>
      <c r="E80" s="474">
        <f>D80-$K17</f>
        <v>96</v>
      </c>
      <c r="F80" s="474">
        <f>E80-$K17</f>
        <v>94</v>
      </c>
      <c r="G80" s="474">
        <f>F80-$K17</f>
        <v>92</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98</v>
      </c>
      <c r="E82" s="474">
        <f>D82-$K19</f>
        <v>96</v>
      </c>
      <c r="F82" s="474">
        <f>E82-$K19</f>
        <v>94</v>
      </c>
      <c r="G82" s="474">
        <f>F82-$K19</f>
        <v>92</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98</v>
      </c>
      <c r="E86" s="474">
        <f>D86-$K23</f>
        <v>96</v>
      </c>
      <c r="F86" s="474">
        <f>E86-$K23</f>
        <v>94</v>
      </c>
      <c r="G86" s="474">
        <f>F86-$K23</f>
        <v>92</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3157" t="s">
        <v>3423</v>
      </c>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98</v>
      </c>
      <c r="E102" s="474">
        <f t="shared" si="22"/>
        <v>96</v>
      </c>
      <c r="F102" s="474">
        <f t="shared" si="22"/>
        <v>94</v>
      </c>
      <c r="G102" s="474">
        <f t="shared" si="22"/>
        <v>92</v>
      </c>
      <c r="H102" s="474">
        <f t="shared" si="22"/>
        <v>90</v>
      </c>
      <c r="I102" s="474">
        <f t="shared" si="22"/>
        <v>88</v>
      </c>
      <c r="J102" s="474">
        <f t="shared" si="22"/>
        <v>86</v>
      </c>
      <c r="K102" s="474">
        <f t="shared" si="22"/>
        <v>84</v>
      </c>
      <c r="L102" s="474">
        <f t="shared" si="22"/>
        <v>82</v>
      </c>
      <c r="M102" s="475">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6"/>
      <c r="B103" s="468" t="s">
        <v>1737</v>
      </c>
      <c r="C103" s="508" t="str">
        <f>C104&amp;"(含)"&amp;"-"&amp;D104</f>
        <v>0(含)-1000</v>
      </c>
      <c r="D103" s="508" t="str">
        <f t="shared" ref="D103:L103" si="23">D104&amp;"(含)"&amp;"-"&amp;E104</f>
        <v>1000(含)-2000</v>
      </c>
      <c r="E103" s="508" t="str">
        <f t="shared" si="23"/>
        <v>2000(含)-3000</v>
      </c>
      <c r="F103" s="508" t="str">
        <f t="shared" si="23"/>
        <v>3000(含)-4000</v>
      </c>
      <c r="G103" s="508" t="str">
        <f t="shared" si="23"/>
        <v>4000(含)-5000</v>
      </c>
      <c r="H103" s="508" t="str">
        <f t="shared" si="23"/>
        <v>5000(含)-6000</v>
      </c>
      <c r="I103" s="508" t="str">
        <f t="shared" si="23"/>
        <v>6000(含)-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1000</v>
      </c>
      <c r="E104" s="6">
        <v>2000</v>
      </c>
      <c r="F104" s="6">
        <v>3000</v>
      </c>
      <c r="G104" s="6">
        <v>4000</v>
      </c>
      <c r="H104" s="6">
        <v>5000</v>
      </c>
      <c r="I104" s="6">
        <v>6000</v>
      </c>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99</v>
      </c>
      <c r="E105" s="490">
        <v>98</v>
      </c>
      <c r="F105" s="466">
        <v>97</v>
      </c>
      <c r="G105" s="490">
        <v>96</v>
      </c>
      <c r="H105" s="466">
        <v>95</v>
      </c>
      <c r="I105" s="490">
        <v>94</v>
      </c>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3158" t="s">
        <v>3424</v>
      </c>
      <c r="D106" s="3158" t="s">
        <v>3425</v>
      </c>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3158" t="s">
        <v>3426</v>
      </c>
      <c r="D108" s="3158" t="s">
        <v>3427</v>
      </c>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99</v>
      </c>
      <c r="E109" s="474">
        <f t="shared" si="25"/>
        <v>98</v>
      </c>
      <c r="F109" s="474">
        <f t="shared" si="25"/>
        <v>97</v>
      </c>
      <c r="G109" s="474">
        <f t="shared" si="25"/>
        <v>96</v>
      </c>
      <c r="H109" s="474">
        <f t="shared" si="25"/>
        <v>95</v>
      </c>
      <c r="I109" s="474">
        <f t="shared" si="25"/>
        <v>94</v>
      </c>
      <c r="J109" s="474">
        <f t="shared" si="25"/>
        <v>93</v>
      </c>
      <c r="K109" s="474">
        <f t="shared" si="25"/>
        <v>92</v>
      </c>
      <c r="L109" s="474">
        <f t="shared" si="25"/>
        <v>91</v>
      </c>
      <c r="M109" s="475">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3158" t="s">
        <v>3428</v>
      </c>
      <c r="D115" s="3158" t="s">
        <v>3429</v>
      </c>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3158" t="s">
        <v>3430</v>
      </c>
      <c r="D117" s="3158" t="s">
        <v>3431</v>
      </c>
      <c r="E117" s="3158" t="s">
        <v>3432</v>
      </c>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3159" t="s">
        <v>3433</v>
      </c>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99</v>
      </c>
      <c r="E120" s="474">
        <f t="shared" ref="E120:M120" si="29">D120-$K41</f>
        <v>98</v>
      </c>
      <c r="F120" s="474">
        <f t="shared" si="29"/>
        <v>97</v>
      </c>
      <c r="G120" s="474">
        <f t="shared" si="29"/>
        <v>96</v>
      </c>
      <c r="H120" s="474">
        <f t="shared" si="29"/>
        <v>95</v>
      </c>
      <c r="I120" s="474">
        <f t="shared" si="29"/>
        <v>94</v>
      </c>
      <c r="J120" s="474">
        <f t="shared" si="29"/>
        <v>93</v>
      </c>
      <c r="K120" s="474">
        <f t="shared" si="29"/>
        <v>92</v>
      </c>
      <c r="L120" s="474">
        <f t="shared" si="29"/>
        <v>91</v>
      </c>
      <c r="M120" s="474">
        <f t="shared" si="29"/>
        <v>90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3158" t="s">
        <v>3427</v>
      </c>
      <c r="D123" s="3158" t="s">
        <v>3434</v>
      </c>
      <c r="E123" s="3158" t="s">
        <v>3435</v>
      </c>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99</v>
      </c>
      <c r="E124" s="474">
        <f t="shared" si="30"/>
        <v>98</v>
      </c>
      <c r="F124" s="474">
        <f t="shared" si="30"/>
        <v>97</v>
      </c>
      <c r="G124" s="474">
        <f t="shared" si="30"/>
        <v>96</v>
      </c>
      <c r="H124" s="474">
        <f t="shared" si="30"/>
        <v>95</v>
      </c>
      <c r="I124" s="474">
        <f t="shared" si="30"/>
        <v>94</v>
      </c>
      <c r="J124" s="474">
        <f t="shared" si="30"/>
        <v>93</v>
      </c>
      <c r="K124" s="474">
        <f t="shared" si="30"/>
        <v>92</v>
      </c>
      <c r="L124" s="474">
        <f t="shared" si="30"/>
        <v>91</v>
      </c>
      <c r="M124" s="475">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t="str">
        <f>B45</f>
        <v>出租方式</v>
      </c>
      <c r="C127" s="3158" t="s">
        <v>3436</v>
      </c>
      <c r="D127" s="3158" t="s">
        <v>3437</v>
      </c>
      <c r="E127" s="3158" t="s">
        <v>3438</v>
      </c>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v>100</v>
      </c>
      <c r="D128" s="466">
        <v>104</v>
      </c>
      <c r="E128" s="466">
        <v>104</v>
      </c>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disablePrompts="1"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67" workbookViewId="0">
      <selection activeCell="O101" sqref="O10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83" t="s">
        <v>2600</v>
      </c>
      <c r="B20" s="3476" t="s">
        <v>2621</v>
      </c>
      <c r="C20" s="2842" t="s">
        <v>2432</v>
      </c>
      <c r="D20" s="2843"/>
      <c r="E20" s="2844">
        <v>1</v>
      </c>
      <c r="F20" s="2845" t="s">
        <v>2433</v>
      </c>
      <c r="G20" s="2845"/>
    </row>
    <row r="21" spans="1:13" ht="19.5" customHeight="1">
      <c r="A21" s="3484"/>
      <c r="B21" s="3477"/>
      <c r="C21" s="2846" t="s">
        <v>2434</v>
      </c>
      <c r="D21" s="2847"/>
      <c r="E21" s="2848">
        <v>1</v>
      </c>
      <c r="F21" s="2845" t="s">
        <v>2435</v>
      </c>
      <c r="G21" s="2845"/>
    </row>
    <row r="22" spans="1:13" ht="19.5" customHeight="1">
      <c r="A22" s="3484"/>
      <c r="B22" s="3477"/>
      <c r="C22" s="2846" t="s">
        <v>2436</v>
      </c>
      <c r="D22" s="2847"/>
      <c r="E22" s="2848">
        <v>0.9</v>
      </c>
      <c r="F22" s="2845" t="s">
        <v>2437</v>
      </c>
      <c r="G22" s="2845"/>
    </row>
    <row r="23" spans="1:13" ht="19.5" customHeight="1">
      <c r="A23" s="3484"/>
      <c r="B23" s="3477"/>
      <c r="C23" s="2846" t="s">
        <v>2438</v>
      </c>
      <c r="D23" s="2847"/>
      <c r="E23" s="2848">
        <v>0.9</v>
      </c>
      <c r="F23" s="2845" t="s">
        <v>2439</v>
      </c>
      <c r="G23" s="2845"/>
    </row>
    <row r="24" spans="1:13" ht="19.5" customHeight="1">
      <c r="A24" s="3484"/>
      <c r="B24" s="3477"/>
      <c r="C24" s="2846" t="s">
        <v>2440</v>
      </c>
      <c r="D24" s="2847"/>
      <c r="E24" s="2848">
        <v>0.8</v>
      </c>
      <c r="F24" s="2845" t="s">
        <v>2441</v>
      </c>
      <c r="G24" s="2845"/>
    </row>
    <row r="25" spans="1:13" ht="19.5" customHeight="1" thickBot="1">
      <c r="A25" s="3485"/>
      <c r="B25" s="3478"/>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79" t="s">
        <v>2624</v>
      </c>
      <c r="B27" s="3476" t="s">
        <v>2605</v>
      </c>
      <c r="C27" s="2842" t="s">
        <v>2445</v>
      </c>
      <c r="D27" s="2843"/>
      <c r="E27" s="2844">
        <v>1</v>
      </c>
      <c r="F27" s="2845" t="s">
        <v>2446</v>
      </c>
      <c r="G27" s="2845"/>
    </row>
    <row r="28" spans="1:13" ht="19.5" customHeight="1">
      <c r="A28" s="3480"/>
      <c r="B28" s="3477"/>
      <c r="C28" s="2846" t="s">
        <v>2447</v>
      </c>
      <c r="D28" s="2847"/>
      <c r="E28" s="2848">
        <v>1</v>
      </c>
      <c r="F28" s="2845" t="s">
        <v>2448</v>
      </c>
      <c r="G28" s="2845"/>
    </row>
    <row r="29" spans="1:13" ht="19.5" customHeight="1">
      <c r="A29" s="3480"/>
      <c r="B29" s="3477"/>
      <c r="C29" s="2846" t="s">
        <v>2449</v>
      </c>
      <c r="D29" s="2847"/>
      <c r="E29" s="2848">
        <v>0.8</v>
      </c>
      <c r="F29" s="2845" t="s">
        <v>2450</v>
      </c>
      <c r="G29" s="2845"/>
    </row>
    <row r="30" spans="1:13" ht="19.5" customHeight="1">
      <c r="A30" s="3480"/>
      <c r="B30" s="3477"/>
      <c r="C30" s="2846" t="s">
        <v>2451</v>
      </c>
      <c r="D30" s="2847"/>
      <c r="E30" s="2848">
        <v>0.8</v>
      </c>
      <c r="F30" s="2845" t="s">
        <v>2452</v>
      </c>
      <c r="G30" s="2845"/>
    </row>
    <row r="31" spans="1:13" ht="19.5" customHeight="1">
      <c r="A31" s="3480"/>
      <c r="B31" s="3477"/>
      <c r="C31" s="2846" t="s">
        <v>2453</v>
      </c>
      <c r="D31" s="2847"/>
      <c r="E31" s="2848">
        <v>0.8</v>
      </c>
      <c r="F31" s="2845" t="s">
        <v>2454</v>
      </c>
      <c r="G31" s="2845"/>
    </row>
    <row r="32" spans="1:13" ht="19.5" customHeight="1">
      <c r="A32" s="3480"/>
      <c r="B32" s="3477"/>
      <c r="C32" s="2846" t="s">
        <v>2455</v>
      </c>
      <c r="D32" s="2847"/>
      <c r="E32" s="2848">
        <v>0.7</v>
      </c>
      <c r="F32" s="2845" t="s">
        <v>2456</v>
      </c>
      <c r="G32" s="2845"/>
    </row>
    <row r="33" spans="1:7" ht="19.5" customHeight="1">
      <c r="A33" s="3480"/>
      <c r="B33" s="3477"/>
      <c r="C33" s="2846" t="s">
        <v>2457</v>
      </c>
      <c r="D33" s="2847"/>
      <c r="E33" s="2848">
        <v>0.8</v>
      </c>
      <c r="F33" s="2845" t="s">
        <v>2458</v>
      </c>
      <c r="G33" s="2845"/>
    </row>
    <row r="34" spans="1:7" ht="19.5" customHeight="1">
      <c r="A34" s="3480"/>
      <c r="B34" s="3477"/>
      <c r="C34" s="2846" t="s">
        <v>2459</v>
      </c>
      <c r="D34" s="2847"/>
      <c r="E34" s="2848">
        <v>0.6</v>
      </c>
      <c r="F34" s="2845" t="s">
        <v>2460</v>
      </c>
      <c r="G34" s="2845"/>
    </row>
    <row r="35" spans="1:7" ht="19.5" customHeight="1">
      <c r="A35" s="3480"/>
      <c r="B35" s="3477"/>
      <c r="C35" s="2846" t="s">
        <v>2461</v>
      </c>
      <c r="D35" s="2847"/>
      <c r="E35" s="2848">
        <v>0.2</v>
      </c>
      <c r="F35" s="2845" t="s">
        <v>2462</v>
      </c>
      <c r="G35" s="2845"/>
    </row>
    <row r="36" spans="1:7" ht="19.5" customHeight="1">
      <c r="A36" s="3480"/>
      <c r="B36" s="3477"/>
      <c r="C36" s="2846" t="s">
        <v>2463</v>
      </c>
      <c r="D36" s="2847"/>
      <c r="E36" s="2848">
        <v>0.2</v>
      </c>
      <c r="F36" s="2845" t="s">
        <v>2464</v>
      </c>
      <c r="G36" s="2845"/>
    </row>
    <row r="37" spans="1:7" ht="19.5" customHeight="1">
      <c r="A37" s="3480"/>
      <c r="B37" s="3482" t="s">
        <v>2625</v>
      </c>
      <c r="C37" s="2846" t="s">
        <v>2465</v>
      </c>
      <c r="D37" s="2847"/>
      <c r="E37" s="2848">
        <v>0.6</v>
      </c>
      <c r="F37" s="2845" t="s">
        <v>2466</v>
      </c>
      <c r="G37" s="2845"/>
    </row>
    <row r="38" spans="1:7" ht="19.5" customHeight="1">
      <c r="A38" s="3480"/>
      <c r="B38" s="3477"/>
      <c r="C38" s="2846" t="s">
        <v>2467</v>
      </c>
      <c r="D38" s="2847"/>
      <c r="E38" s="2848">
        <v>0.6</v>
      </c>
      <c r="F38" s="2845" t="s">
        <v>2468</v>
      </c>
      <c r="G38" s="2845"/>
    </row>
    <row r="39" spans="1:7" ht="19.5" customHeight="1" thickBot="1">
      <c r="A39" s="3481"/>
      <c r="B39" s="3478"/>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83" t="s">
        <v>2603</v>
      </c>
      <c r="B41" s="3476" t="s">
        <v>2627</v>
      </c>
      <c r="C41" s="2842" t="s">
        <v>2472</v>
      </c>
      <c r="D41" s="2843"/>
      <c r="E41" s="2844">
        <v>1</v>
      </c>
      <c r="F41" s="2845" t="s">
        <v>2473</v>
      </c>
      <c r="G41" s="2845"/>
    </row>
    <row r="42" spans="1:7" ht="19.5" customHeight="1">
      <c r="A42" s="3484"/>
      <c r="B42" s="3477"/>
      <c r="C42" s="2846" t="s">
        <v>2474</v>
      </c>
      <c r="D42" s="2847"/>
      <c r="E42" s="2848">
        <v>1</v>
      </c>
      <c r="F42" s="2845" t="s">
        <v>2475</v>
      </c>
      <c r="G42" s="2845"/>
    </row>
    <row r="43" spans="1:7" ht="19.5" customHeight="1">
      <c r="A43" s="3484"/>
      <c r="B43" s="3486"/>
      <c r="C43" s="2846" t="s">
        <v>2476</v>
      </c>
      <c r="D43" s="2847"/>
      <c r="E43" s="2848">
        <v>1.5</v>
      </c>
      <c r="F43" s="2845" t="s">
        <v>2477</v>
      </c>
      <c r="G43" s="2845"/>
    </row>
    <row r="44" spans="1:7" ht="19.5" customHeight="1">
      <c r="A44" s="3484"/>
      <c r="B44" s="2857" t="s">
        <v>2628</v>
      </c>
      <c r="C44" s="2846" t="s">
        <v>2629</v>
      </c>
      <c r="D44" s="2847"/>
      <c r="E44" s="2848">
        <v>2</v>
      </c>
      <c r="F44" s="2845" t="s">
        <v>2478</v>
      </c>
      <c r="G44" s="2845"/>
    </row>
    <row r="45" spans="1:7" ht="19.5" customHeight="1">
      <c r="A45" s="3484"/>
      <c r="B45" s="3482" t="s">
        <v>2630</v>
      </c>
      <c r="C45" s="2846" t="s">
        <v>2479</v>
      </c>
      <c r="D45" s="2847"/>
      <c r="E45" s="2848">
        <v>1</v>
      </c>
      <c r="F45" s="2845" t="s">
        <v>2480</v>
      </c>
      <c r="G45" s="2845"/>
    </row>
    <row r="46" spans="1:7" ht="19.5" customHeight="1">
      <c r="A46" s="3484"/>
      <c r="B46" s="3477"/>
      <c r="C46" s="2846" t="s">
        <v>2481</v>
      </c>
      <c r="D46" s="2847"/>
      <c r="E46" s="2848">
        <v>1</v>
      </c>
      <c r="F46" s="2845" t="s">
        <v>2482</v>
      </c>
      <c r="G46" s="2845"/>
    </row>
    <row r="47" spans="1:7" ht="19.5" customHeight="1">
      <c r="A47" s="3484"/>
      <c r="B47" s="3477"/>
      <c r="C47" s="2846" t="s">
        <v>2483</v>
      </c>
      <c r="D47" s="2847"/>
      <c r="E47" s="2848">
        <v>1</v>
      </c>
      <c r="F47" s="2845" t="s">
        <v>2484</v>
      </c>
      <c r="G47" s="2845"/>
    </row>
    <row r="48" spans="1:7" ht="19.5" customHeight="1">
      <c r="A48" s="3484"/>
      <c r="B48" s="3477"/>
      <c r="C48" s="2846" t="s">
        <v>2485</v>
      </c>
      <c r="D48" s="2847"/>
      <c r="E48" s="2848">
        <v>1</v>
      </c>
      <c r="F48" s="2845" t="s">
        <v>2486</v>
      </c>
      <c r="G48" s="2845"/>
    </row>
    <row r="49" spans="1:7" ht="19.5" customHeight="1">
      <c r="A49" s="3484"/>
      <c r="B49" s="3477"/>
      <c r="C49" s="2846" t="s">
        <v>2487</v>
      </c>
      <c r="D49" s="2847"/>
      <c r="E49" s="2848">
        <v>1</v>
      </c>
      <c r="F49" s="2845" t="s">
        <v>2488</v>
      </c>
      <c r="G49" s="2845"/>
    </row>
    <row r="50" spans="1:7" ht="19.5" customHeight="1">
      <c r="A50" s="3484"/>
      <c r="B50" s="3477"/>
      <c r="C50" s="2846" t="s">
        <v>2489</v>
      </c>
      <c r="D50" s="2847"/>
      <c r="E50" s="2848">
        <v>1</v>
      </c>
      <c r="F50" s="2845" t="s">
        <v>2490</v>
      </c>
      <c r="G50" s="2845"/>
    </row>
    <row r="51" spans="1:7" ht="19.5" customHeight="1" thickBot="1">
      <c r="A51" s="3485"/>
      <c r="B51" s="3478"/>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82" t="s">
        <v>2644</v>
      </c>
      <c r="C73" s="2831" t="s">
        <v>2645</v>
      </c>
      <c r="D73" s="2831" t="s">
        <v>2646</v>
      </c>
      <c r="E73" s="2857">
        <v>0.2</v>
      </c>
      <c r="F73" s="2857">
        <v>25</v>
      </c>
    </row>
    <row r="74" spans="1:7" ht="24">
      <c r="A74" s="2857">
        <v>2</v>
      </c>
      <c r="B74" s="3477"/>
      <c r="C74" s="2831" t="s">
        <v>2647</v>
      </c>
      <c r="D74" s="2831" t="s">
        <v>2648</v>
      </c>
      <c r="E74" s="2857">
        <v>0.2</v>
      </c>
      <c r="F74" s="2857">
        <v>25</v>
      </c>
    </row>
    <row r="75" spans="1:7" ht="24">
      <c r="A75" s="2857">
        <v>3</v>
      </c>
      <c r="B75" s="3477"/>
      <c r="C75" s="2831" t="s">
        <v>2649</v>
      </c>
      <c r="D75" s="2831" t="s">
        <v>2650</v>
      </c>
      <c r="E75" s="2857">
        <v>0.2</v>
      </c>
      <c r="F75" s="2857">
        <v>25</v>
      </c>
    </row>
    <row r="76" spans="1:7" ht="13.5">
      <c r="A76" s="2857">
        <v>4</v>
      </c>
      <c r="B76" s="3477"/>
      <c r="C76" s="2831" t="s">
        <v>2651</v>
      </c>
      <c r="D76" s="2831" t="s">
        <v>2652</v>
      </c>
      <c r="E76" s="2857">
        <v>0.15</v>
      </c>
      <c r="F76" s="2857">
        <v>20</v>
      </c>
    </row>
    <row r="77" spans="1:7" ht="24">
      <c r="A77" s="2857">
        <v>5</v>
      </c>
      <c r="B77" s="3477"/>
      <c r="C77" s="2831" t="s">
        <v>2653</v>
      </c>
      <c r="D77" s="2831" t="s">
        <v>2654</v>
      </c>
      <c r="E77" s="2857">
        <v>0.15</v>
      </c>
      <c r="F77" s="2857">
        <v>20</v>
      </c>
    </row>
    <row r="78" spans="1:7" ht="24">
      <c r="A78" s="2857">
        <v>6</v>
      </c>
      <c r="B78" s="3477"/>
      <c r="C78" s="2831" t="s">
        <v>2655</v>
      </c>
      <c r="D78" s="2831" t="s">
        <v>2656</v>
      </c>
      <c r="E78" s="2857">
        <v>0.15</v>
      </c>
      <c r="F78" s="2857">
        <v>20</v>
      </c>
    </row>
    <row r="79" spans="1:7" ht="24">
      <c r="A79" s="2857">
        <v>7</v>
      </c>
      <c r="B79" s="3477"/>
      <c r="C79" s="2831" t="s">
        <v>2657</v>
      </c>
      <c r="D79" s="2831" t="s">
        <v>2658</v>
      </c>
      <c r="E79" s="2857">
        <v>0.15</v>
      </c>
      <c r="F79" s="2857">
        <v>20</v>
      </c>
    </row>
    <row r="80" spans="1:7" ht="24">
      <c r="A80" s="2857">
        <v>8</v>
      </c>
      <c r="B80" s="3477"/>
      <c r="C80" s="2831" t="s">
        <v>2659</v>
      </c>
      <c r="D80" s="2831" t="s">
        <v>2660</v>
      </c>
      <c r="E80" s="2857">
        <v>0.1</v>
      </c>
      <c r="F80" s="2857">
        <v>15</v>
      </c>
    </row>
    <row r="81" spans="1:6" ht="24">
      <c r="A81" s="2857">
        <v>9</v>
      </c>
      <c r="B81" s="3477"/>
      <c r="C81" s="2831" t="s">
        <v>2661</v>
      </c>
      <c r="D81" s="2831" t="s">
        <v>2662</v>
      </c>
      <c r="E81" s="2857">
        <v>0.1</v>
      </c>
      <c r="F81" s="2857">
        <v>15</v>
      </c>
    </row>
    <row r="82" spans="1:6" ht="24">
      <c r="A82" s="2857">
        <v>10</v>
      </c>
      <c r="B82" s="3477"/>
      <c r="C82" s="2831" t="s">
        <v>2663</v>
      </c>
      <c r="D82" s="2831" t="s">
        <v>2664</v>
      </c>
      <c r="E82" s="2857">
        <v>0.1</v>
      </c>
      <c r="F82" s="2857">
        <v>15</v>
      </c>
    </row>
    <row r="83" spans="1:6" ht="24">
      <c r="A83" s="2857">
        <v>11</v>
      </c>
      <c r="B83" s="3477"/>
      <c r="C83" s="2831" t="s">
        <v>2665</v>
      </c>
      <c r="D83" s="2831" t="s">
        <v>2666</v>
      </c>
      <c r="E83" s="2857">
        <v>0.1</v>
      </c>
      <c r="F83" s="2857">
        <v>15</v>
      </c>
    </row>
    <row r="84" spans="1:6" ht="24">
      <c r="A84" s="2857">
        <v>12</v>
      </c>
      <c r="B84" s="3477"/>
      <c r="C84" s="2831" t="s">
        <v>2667</v>
      </c>
      <c r="D84" s="2831" t="s">
        <v>2668</v>
      </c>
      <c r="E84" s="2857">
        <v>0.1</v>
      </c>
      <c r="F84" s="2857">
        <v>15</v>
      </c>
    </row>
    <row r="85" spans="1:6" ht="13.5">
      <c r="A85" s="2857">
        <v>13</v>
      </c>
      <c r="B85" s="3477"/>
      <c r="C85" s="2831" t="s">
        <v>2669</v>
      </c>
      <c r="D85" s="2831" t="s">
        <v>2670</v>
      </c>
      <c r="E85" s="2857">
        <v>0.1</v>
      </c>
      <c r="F85" s="2857">
        <v>15</v>
      </c>
    </row>
    <row r="86" spans="1:6" ht="13.5">
      <c r="A86" s="2857">
        <v>14</v>
      </c>
      <c r="B86" s="3477"/>
      <c r="C86" s="2831" t="s">
        <v>2671</v>
      </c>
      <c r="D86" s="2831" t="s">
        <v>2672</v>
      </c>
      <c r="E86" s="2857">
        <v>0.1</v>
      </c>
      <c r="F86" s="2857">
        <v>15</v>
      </c>
    </row>
    <row r="87" spans="1:6" ht="13.5">
      <c r="A87" s="2857">
        <v>15</v>
      </c>
      <c r="B87" s="3477"/>
      <c r="C87" s="2831" t="s">
        <v>2673</v>
      </c>
      <c r="D87" s="2831" t="s">
        <v>2674</v>
      </c>
      <c r="E87" s="2857">
        <v>0.1</v>
      </c>
      <c r="F87" s="2857">
        <v>15</v>
      </c>
    </row>
    <row r="88" spans="1:6" ht="24">
      <c r="A88" s="2857">
        <v>16</v>
      </c>
      <c r="B88" s="3477"/>
      <c r="C88" s="2831" t="s">
        <v>2675</v>
      </c>
      <c r="D88" s="2831" t="s">
        <v>2676</v>
      </c>
      <c r="E88" s="2857">
        <v>0.1</v>
      </c>
      <c r="F88" s="2857">
        <v>15</v>
      </c>
    </row>
    <row r="89" spans="1:6" ht="24">
      <c r="A89" s="2857">
        <v>17</v>
      </c>
      <c r="B89" s="3486"/>
      <c r="C89" s="2831" t="s">
        <v>2677</v>
      </c>
      <c r="D89" s="2831" t="s">
        <v>2678</v>
      </c>
      <c r="E89" s="2857">
        <v>0.1</v>
      </c>
      <c r="F89" s="2857">
        <v>15</v>
      </c>
    </row>
    <row r="90" spans="1:6" ht="13.5">
      <c r="A90" s="2857">
        <v>18</v>
      </c>
      <c r="B90" s="3482" t="s">
        <v>2679</v>
      </c>
      <c r="C90" s="2831" t="s">
        <v>2680</v>
      </c>
      <c r="D90" s="2831" t="s">
        <v>2681</v>
      </c>
      <c r="E90" s="2857">
        <v>0.2</v>
      </c>
      <c r="F90" s="2857">
        <v>25</v>
      </c>
    </row>
    <row r="91" spans="1:6" ht="24">
      <c r="A91" s="2857">
        <v>19</v>
      </c>
      <c r="B91" s="3477"/>
      <c r="C91" s="2831" t="s">
        <v>2682</v>
      </c>
      <c r="D91" s="2831" t="s">
        <v>2683</v>
      </c>
      <c r="E91" s="2857">
        <v>0.2</v>
      </c>
      <c r="F91" s="2857">
        <v>25</v>
      </c>
    </row>
    <row r="92" spans="1:6" ht="13.5">
      <c r="A92" s="2857">
        <v>20</v>
      </c>
      <c r="B92" s="3477"/>
      <c r="C92" s="2831" t="s">
        <v>2684</v>
      </c>
      <c r="D92" s="2831" t="s">
        <v>2685</v>
      </c>
      <c r="E92" s="2857">
        <v>0.15</v>
      </c>
      <c r="F92" s="2857">
        <v>20</v>
      </c>
    </row>
    <row r="93" spans="1:6" ht="13.5">
      <c r="A93" s="2857">
        <v>21</v>
      </c>
      <c r="B93" s="3477"/>
      <c r="C93" s="2831" t="s">
        <v>2686</v>
      </c>
      <c r="D93" s="2831" t="s">
        <v>2687</v>
      </c>
      <c r="E93" s="2857">
        <v>0.15</v>
      </c>
      <c r="F93" s="2857">
        <v>20</v>
      </c>
    </row>
    <row r="94" spans="1:6" ht="13.5">
      <c r="A94" s="2857">
        <v>22</v>
      </c>
      <c r="B94" s="3477"/>
      <c r="C94" s="2831" t="s">
        <v>2688</v>
      </c>
      <c r="D94" s="2831" t="s">
        <v>2689</v>
      </c>
      <c r="E94" s="2857">
        <v>0.15</v>
      </c>
      <c r="F94" s="2857">
        <v>20</v>
      </c>
    </row>
    <row r="95" spans="1:6" ht="36">
      <c r="A95" s="2857">
        <v>23</v>
      </c>
      <c r="B95" s="3477"/>
      <c r="C95" s="2831" t="s">
        <v>2690</v>
      </c>
      <c r="D95" s="2831" t="s">
        <v>2691</v>
      </c>
      <c r="E95" s="2857">
        <v>0.15</v>
      </c>
      <c r="F95" s="2857">
        <v>20</v>
      </c>
    </row>
    <row r="96" spans="1:6" ht="13.5">
      <c r="A96" s="2857">
        <v>24</v>
      </c>
      <c r="B96" s="3477"/>
      <c r="C96" s="2831" t="s">
        <v>2692</v>
      </c>
      <c r="D96" s="2831" t="s">
        <v>2693</v>
      </c>
      <c r="E96" s="2857">
        <v>0.1</v>
      </c>
      <c r="F96" s="2857">
        <v>15</v>
      </c>
    </row>
    <row r="97" spans="1:6" ht="13.5">
      <c r="A97" s="2857">
        <v>25</v>
      </c>
      <c r="B97" s="3477"/>
      <c r="C97" s="2831" t="s">
        <v>2694</v>
      </c>
      <c r="D97" s="2831" t="s">
        <v>2695</v>
      </c>
      <c r="E97" s="2857">
        <v>0.1</v>
      </c>
      <c r="F97" s="2857">
        <v>15</v>
      </c>
    </row>
    <row r="98" spans="1:6" ht="24">
      <c r="A98" s="2857">
        <v>26</v>
      </c>
      <c r="B98" s="3477"/>
      <c r="C98" s="2831" t="s">
        <v>2696</v>
      </c>
      <c r="D98" s="2831" t="s">
        <v>2697</v>
      </c>
      <c r="E98" s="2857">
        <v>0.1</v>
      </c>
      <c r="F98" s="2857">
        <v>15</v>
      </c>
    </row>
    <row r="99" spans="1:6" ht="24">
      <c r="A99" s="2857">
        <v>27</v>
      </c>
      <c r="B99" s="3477"/>
      <c r="C99" s="2831" t="s">
        <v>2698</v>
      </c>
      <c r="D99" s="2831" t="s">
        <v>2699</v>
      </c>
      <c r="E99" s="2857">
        <v>0.1</v>
      </c>
      <c r="F99" s="2857">
        <v>15</v>
      </c>
    </row>
    <row r="100" spans="1:6" ht="13.5">
      <c r="A100" s="2857">
        <v>28</v>
      </c>
      <c r="B100" s="3477"/>
      <c r="C100" s="2831" t="s">
        <v>2700</v>
      </c>
      <c r="D100" s="2831" t="s">
        <v>2701</v>
      </c>
      <c r="E100" s="2857">
        <v>0.1</v>
      </c>
      <c r="F100" s="2857">
        <v>15</v>
      </c>
    </row>
    <row r="101" spans="1:6" ht="13.5">
      <c r="A101" s="2857">
        <v>29</v>
      </c>
      <c r="B101" s="3477"/>
      <c r="C101" s="2831" t="s">
        <v>2702</v>
      </c>
      <c r="D101" s="2831" t="s">
        <v>2703</v>
      </c>
      <c r="E101" s="2857">
        <v>0.1</v>
      </c>
      <c r="F101" s="2857">
        <v>15</v>
      </c>
    </row>
    <row r="102" spans="1:6" ht="13.5">
      <c r="A102" s="2857">
        <v>30</v>
      </c>
      <c r="B102" s="3477"/>
      <c r="C102" s="2831" t="s">
        <v>2704</v>
      </c>
      <c r="D102" s="2831" t="s">
        <v>2705</v>
      </c>
      <c r="E102" s="2857">
        <v>0.1</v>
      </c>
      <c r="F102" s="2857">
        <v>15</v>
      </c>
    </row>
    <row r="103" spans="1:6" ht="24">
      <c r="A103" s="2857">
        <v>31</v>
      </c>
      <c r="B103" s="3477"/>
      <c r="C103" s="2831" t="s">
        <v>2706</v>
      </c>
      <c r="D103" s="2831" t="s">
        <v>2707</v>
      </c>
      <c r="E103" s="2857">
        <v>0.1</v>
      </c>
      <c r="F103" s="2857">
        <v>15</v>
      </c>
    </row>
    <row r="104" spans="1:6" ht="24">
      <c r="A104" s="2857">
        <v>32</v>
      </c>
      <c r="B104" s="3477"/>
      <c r="C104" s="2831" t="s">
        <v>2708</v>
      </c>
      <c r="D104" s="2831" t="s">
        <v>2709</v>
      </c>
      <c r="E104" s="2857">
        <v>0.1</v>
      </c>
      <c r="F104" s="2857">
        <v>15</v>
      </c>
    </row>
    <row r="105" spans="1:6" ht="24">
      <c r="A105" s="2857">
        <v>33</v>
      </c>
      <c r="B105" s="3477"/>
      <c r="C105" s="2831" t="s">
        <v>2710</v>
      </c>
      <c r="D105" s="2831" t="s">
        <v>2711</v>
      </c>
      <c r="E105" s="2857">
        <v>0.1</v>
      </c>
      <c r="F105" s="2857">
        <v>15</v>
      </c>
    </row>
    <row r="106" spans="1:6" ht="24">
      <c r="A106" s="2857">
        <v>34</v>
      </c>
      <c r="B106" s="3486"/>
      <c r="C106" s="2831" t="s">
        <v>2712</v>
      </c>
      <c r="D106" s="2831" t="s">
        <v>2713</v>
      </c>
      <c r="E106" s="2857">
        <v>0.1</v>
      </c>
      <c r="F106" s="2857">
        <v>15</v>
      </c>
    </row>
    <row r="107" spans="1:6" ht="24">
      <c r="A107" s="2857">
        <v>35</v>
      </c>
      <c r="B107" s="3482" t="s">
        <v>2714</v>
      </c>
      <c r="C107" s="2857" t="s">
        <v>2715</v>
      </c>
      <c r="D107" s="2831" t="s">
        <v>2716</v>
      </c>
      <c r="E107" s="2857">
        <v>0.15</v>
      </c>
      <c r="F107" s="2857">
        <v>20</v>
      </c>
    </row>
    <row r="108" spans="1:6" ht="13.5">
      <c r="A108" s="2857">
        <v>36</v>
      </c>
      <c r="B108" s="3477"/>
      <c r="C108" s="2857" t="s">
        <v>2717</v>
      </c>
      <c r="D108" s="2831" t="s">
        <v>2718</v>
      </c>
      <c r="E108" s="2857">
        <v>0.15</v>
      </c>
      <c r="F108" s="2857">
        <v>20</v>
      </c>
    </row>
    <row r="109" spans="1:6" ht="13.5">
      <c r="A109" s="2857">
        <v>37</v>
      </c>
      <c r="B109" s="3477"/>
      <c r="C109" s="2857" t="s">
        <v>2719</v>
      </c>
      <c r="D109" s="2831" t="s">
        <v>2720</v>
      </c>
      <c r="E109" s="2857">
        <v>0.15</v>
      </c>
      <c r="F109" s="2857">
        <v>20</v>
      </c>
    </row>
    <row r="110" spans="1:6" ht="13.5">
      <c r="A110" s="2857">
        <v>38</v>
      </c>
      <c r="B110" s="3477"/>
      <c r="C110" s="2857" t="s">
        <v>2721</v>
      </c>
      <c r="D110" s="2831" t="s">
        <v>2722</v>
      </c>
      <c r="E110" s="2857">
        <v>0.1</v>
      </c>
      <c r="F110" s="2857">
        <v>15</v>
      </c>
    </row>
    <row r="111" spans="1:6" ht="24">
      <c r="A111" s="2857">
        <v>39</v>
      </c>
      <c r="B111" s="3477"/>
      <c r="C111" s="2857" t="s">
        <v>2723</v>
      </c>
      <c r="D111" s="2831" t="s">
        <v>2724</v>
      </c>
      <c r="E111" s="2857">
        <v>0.1</v>
      </c>
      <c r="F111" s="2857">
        <v>15</v>
      </c>
    </row>
    <row r="112" spans="1:6" ht="24">
      <c r="A112" s="2857">
        <v>40</v>
      </c>
      <c r="B112" s="3486"/>
      <c r="C112" s="2857" t="s">
        <v>2725</v>
      </c>
      <c r="D112" s="2831" t="s">
        <v>2726</v>
      </c>
      <c r="E112" s="2857">
        <v>0.1</v>
      </c>
      <c r="F112" s="2857">
        <v>15</v>
      </c>
    </row>
    <row r="113" spans="1:6" ht="13.5">
      <c r="A113" s="2857">
        <v>41</v>
      </c>
      <c r="B113" s="3487" t="s">
        <v>2727</v>
      </c>
      <c r="C113" s="2857" t="s">
        <v>2728</v>
      </c>
      <c r="D113" s="2831" t="s">
        <v>2729</v>
      </c>
      <c r="E113" s="2857">
        <v>0.1</v>
      </c>
      <c r="F113" s="2857">
        <v>15</v>
      </c>
    </row>
    <row r="114" spans="1:6" ht="13.5">
      <c r="A114" s="2857">
        <v>42</v>
      </c>
      <c r="B114" s="3487"/>
      <c r="C114" s="2857" t="s">
        <v>2730</v>
      </c>
      <c r="D114" s="2831" t="s">
        <v>2731</v>
      </c>
      <c r="E114" s="2857">
        <v>0.1</v>
      </c>
      <c r="F114" s="2857">
        <v>15</v>
      </c>
    </row>
    <row r="115" spans="1:6" ht="24">
      <c r="A115" s="2857">
        <v>43</v>
      </c>
      <c r="B115" s="3487"/>
      <c r="C115" s="2857" t="s">
        <v>2732</v>
      </c>
      <c r="D115" s="2831" t="s">
        <v>2733</v>
      </c>
      <c r="E115" s="2857">
        <v>0.1</v>
      </c>
      <c r="F115" s="2857">
        <v>15</v>
      </c>
    </row>
    <row r="116" spans="1:6" ht="13.5">
      <c r="A116" s="2857">
        <v>44</v>
      </c>
      <c r="B116" s="3482" t="s">
        <v>2734</v>
      </c>
      <c r="C116" s="2857" t="s">
        <v>2735</v>
      </c>
      <c r="D116" s="2831" t="s">
        <v>2736</v>
      </c>
      <c r="E116" s="2857">
        <v>0.1</v>
      </c>
      <c r="F116" s="2857">
        <v>15</v>
      </c>
    </row>
    <row r="117" spans="1:6" ht="24">
      <c r="A117" s="2857">
        <v>45</v>
      </c>
      <c r="B117" s="3486"/>
      <c r="C117" s="2831" t="s">
        <v>2737</v>
      </c>
      <c r="D117" s="2831" t="s">
        <v>2738</v>
      </c>
      <c r="E117" s="2857">
        <v>0.1</v>
      </c>
      <c r="F117" s="2857">
        <v>15</v>
      </c>
    </row>
    <row r="118" spans="1:6" ht="24">
      <c r="A118" s="2857">
        <v>46</v>
      </c>
      <c r="B118" s="3482" t="s">
        <v>2739</v>
      </c>
      <c r="C118" s="2857" t="s">
        <v>2740</v>
      </c>
      <c r="D118" s="2831" t="s">
        <v>2741</v>
      </c>
      <c r="E118" s="2857">
        <v>0.1</v>
      </c>
      <c r="F118" s="2857">
        <v>15</v>
      </c>
    </row>
    <row r="119" spans="1:6" ht="24">
      <c r="A119" s="2857">
        <v>47</v>
      </c>
      <c r="B119" s="3486"/>
      <c r="C119" s="2857" t="s">
        <v>2742</v>
      </c>
      <c r="D119" s="2831" t="s">
        <v>2743</v>
      </c>
      <c r="E119" s="2857">
        <v>0.1</v>
      </c>
      <c r="F119" s="2857">
        <v>15</v>
      </c>
    </row>
    <row r="120" spans="1:6" ht="13.5">
      <c r="A120" s="2857">
        <v>48</v>
      </c>
      <c r="B120" s="3482" t="s">
        <v>2744</v>
      </c>
      <c r="C120" s="2857" t="s">
        <v>2745</v>
      </c>
      <c r="D120" s="2831" t="s">
        <v>2746</v>
      </c>
      <c r="E120" s="2857">
        <v>0.1</v>
      </c>
      <c r="F120" s="2857">
        <v>15</v>
      </c>
    </row>
    <row r="121" spans="1:6" ht="13.5">
      <c r="A121" s="2857">
        <v>49</v>
      </c>
      <c r="B121" s="3486"/>
      <c r="C121" s="2857" t="s">
        <v>2747</v>
      </c>
      <c r="D121" s="2831" t="s">
        <v>2748</v>
      </c>
      <c r="E121" s="2857">
        <v>0.1</v>
      </c>
      <c r="F121" s="2857">
        <v>15</v>
      </c>
    </row>
    <row r="122" spans="1:6" ht="24">
      <c r="A122" s="2857">
        <v>50</v>
      </c>
      <c r="B122" s="3487" t="s">
        <v>2749</v>
      </c>
      <c r="C122" s="2857" t="s">
        <v>2750</v>
      </c>
      <c r="D122" s="2831" t="s">
        <v>2751</v>
      </c>
      <c r="E122" s="2857">
        <v>0.1</v>
      </c>
      <c r="F122" s="2857">
        <v>15</v>
      </c>
    </row>
    <row r="123" spans="1:6" ht="24">
      <c r="A123" s="2857">
        <v>51</v>
      </c>
      <c r="B123" s="3487"/>
      <c r="C123" s="2857" t="s">
        <v>2752</v>
      </c>
      <c r="D123" s="2831" t="s">
        <v>2753</v>
      </c>
      <c r="E123" s="2857">
        <v>0.1</v>
      </c>
      <c r="F123" s="2857">
        <v>15</v>
      </c>
    </row>
    <row r="124" spans="1:6" ht="24">
      <c r="A124" s="2857">
        <v>52</v>
      </c>
      <c r="B124" s="3487" t="s">
        <v>2754</v>
      </c>
      <c r="C124" s="2857" t="s">
        <v>2755</v>
      </c>
      <c r="D124" s="2831" t="s">
        <v>2756</v>
      </c>
      <c r="E124" s="2857">
        <v>0.1</v>
      </c>
      <c r="F124" s="2857">
        <v>15</v>
      </c>
    </row>
    <row r="125" spans="1:6" ht="24">
      <c r="A125" s="2857">
        <v>53</v>
      </c>
      <c r="B125" s="3487"/>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87" t="s">
        <v>2762</v>
      </c>
      <c r="C127" s="2857" t="s">
        <v>2763</v>
      </c>
      <c r="D127" s="2831" t="s">
        <v>2764</v>
      </c>
      <c r="E127" s="2857">
        <v>0.1</v>
      </c>
      <c r="F127" s="2857">
        <v>15</v>
      </c>
    </row>
    <row r="128" spans="1:6" ht="13.5">
      <c r="A128" s="2857">
        <v>56</v>
      </c>
      <c r="B128" s="3487"/>
      <c r="C128" s="2857" t="s">
        <v>2765</v>
      </c>
      <c r="D128" s="2831" t="s">
        <v>2766</v>
      </c>
      <c r="E128" s="2857">
        <v>0.1</v>
      </c>
      <c r="F128" s="2857">
        <v>15</v>
      </c>
    </row>
    <row r="129" spans="1:6" ht="24">
      <c r="A129" s="2857">
        <v>57</v>
      </c>
      <c r="B129" s="3487"/>
      <c r="C129" s="2857" t="s">
        <v>2767</v>
      </c>
      <c r="D129" s="2831" t="s">
        <v>2768</v>
      </c>
      <c r="E129" s="2857">
        <v>0.1</v>
      </c>
      <c r="F129" s="2857">
        <v>15</v>
      </c>
    </row>
    <row r="130" spans="1:6" ht="24">
      <c r="A130" s="2857">
        <v>58</v>
      </c>
      <c r="B130" s="3487" t="s">
        <v>2769</v>
      </c>
      <c r="C130" s="2857" t="s">
        <v>2770</v>
      </c>
      <c r="D130" s="2831" t="s">
        <v>2771</v>
      </c>
      <c r="E130" s="2857">
        <v>0.1</v>
      </c>
      <c r="F130" s="2857">
        <v>15</v>
      </c>
    </row>
    <row r="131" spans="1:6" ht="13.5">
      <c r="A131" s="2857">
        <v>59</v>
      </c>
      <c r="B131" s="3487"/>
      <c r="C131" s="2857" t="s">
        <v>2772</v>
      </c>
      <c r="D131" s="2831" t="s">
        <v>2773</v>
      </c>
      <c r="E131" s="2857">
        <v>0.1</v>
      </c>
      <c r="F131" s="2857">
        <v>15</v>
      </c>
    </row>
    <row r="132" spans="1:6" ht="13.5">
      <c r="A132" s="2857">
        <v>60</v>
      </c>
      <c r="B132" s="3482" t="s">
        <v>2774</v>
      </c>
      <c r="C132" s="2857" t="s">
        <v>2775</v>
      </c>
      <c r="D132" s="2831" t="s">
        <v>2776</v>
      </c>
      <c r="E132" s="2857">
        <v>0.1</v>
      </c>
      <c r="F132" s="2857">
        <v>15</v>
      </c>
    </row>
    <row r="133" spans="1:6" ht="13.5">
      <c r="A133" s="2857">
        <v>61</v>
      </c>
      <c r="B133" s="3486"/>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87" t="s">
        <v>2782</v>
      </c>
      <c r="C135" s="2857" t="s">
        <v>2783</v>
      </c>
      <c r="D135" s="2831" t="s">
        <v>2784</v>
      </c>
      <c r="E135" s="2857">
        <v>0.1</v>
      </c>
      <c r="F135" s="2857">
        <v>15</v>
      </c>
    </row>
    <row r="136" spans="1:6" ht="13.5">
      <c r="A136" s="2857">
        <v>64</v>
      </c>
      <c r="B136" s="3487"/>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activeCell="S309" sqref="S309"/>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6"/>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0"/>
      <c r="B4" s="3173" t="s">
        <v>917</v>
      </c>
      <c r="C4" s="3173"/>
      <c r="D4" s="3173"/>
      <c r="E4" s="1390"/>
    </row>
    <row r="5" spans="1:5" ht="16.5" thickTop="1">
      <c r="B5" s="3171" t="s">
        <v>909</v>
      </c>
      <c r="C5" s="1391" t="s">
        <v>910</v>
      </c>
      <c r="D5" s="796">
        <f ca="1">结果表!H101</f>
        <v>4151</v>
      </c>
    </row>
    <row r="6" spans="1:5" ht="15.75">
      <c r="B6" s="3171"/>
      <c r="C6" s="1391" t="s">
        <v>911</v>
      </c>
      <c r="D6" s="796" t="str">
        <f ca="1">NUMBERSTRING(INT(D5*10000),2)&amp;"元整"</f>
        <v>肆仟壹佰伍拾壹万元整</v>
      </c>
    </row>
    <row r="7" spans="1:5" ht="15.75">
      <c r="B7" s="3176"/>
      <c r="C7" s="1392" t="s">
        <v>912</v>
      </c>
      <c r="D7" s="797">
        <f ca="1">结果表!H102</f>
        <v>5888</v>
      </c>
    </row>
    <row r="8" spans="1:5" ht="15.75">
      <c r="B8" s="3177" t="str">
        <f>结果表!E103</f>
        <v>2.估价师知悉的法定优先受偿款</v>
      </c>
      <c r="C8" s="1393" t="s">
        <v>913</v>
      </c>
      <c r="D8" s="797">
        <f>结果表!H103</f>
        <v>0</v>
      </c>
    </row>
    <row r="9" spans="1:5" ht="15.75">
      <c r="B9" s="317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0" t="str">
        <f>结果表!E107</f>
        <v>3.房地产抵押价值</v>
      </c>
      <c r="C13" s="1396" t="s">
        <v>910</v>
      </c>
      <c r="D13" s="799">
        <f ca="1">结果表!H107</f>
        <v>4151</v>
      </c>
    </row>
    <row r="14" spans="1:5" ht="15.75">
      <c r="B14" s="3171"/>
      <c r="C14" s="1391" t="s">
        <v>911</v>
      </c>
      <c r="D14" s="796" t="str">
        <f ca="1">NUMBERSTRING(INT(D13*10000),2)&amp;"元整"</f>
        <v>肆仟壹佰伍拾壹万元整</v>
      </c>
    </row>
    <row r="15" spans="1:5" ht="15">
      <c r="B15" s="3176"/>
      <c r="C15" s="1392" t="s">
        <v>921</v>
      </c>
      <c r="D15" s="805">
        <f ca="1">结果表!H108</f>
        <v>5888</v>
      </c>
    </row>
    <row r="16" spans="1:5" ht="15">
      <c r="B16" s="3177" t="str">
        <f>结果表!E109</f>
        <v>——</v>
      </c>
      <c r="C16" s="1396" t="s">
        <v>922</v>
      </c>
      <c r="D16" s="1397" t="str">
        <f>结果表!H109</f>
        <v>——</v>
      </c>
    </row>
    <row r="17" spans="1:5" ht="15.75">
      <c r="B17" s="3178"/>
      <c r="C17" s="1391" t="s">
        <v>923</v>
      </c>
      <c r="D17" s="796" t="e">
        <f>NUMBERSTRING(INT(D16*10000),2)&amp;"元整"</f>
        <v>#VALUE!</v>
      </c>
    </row>
    <row r="18" spans="1:5" ht="15">
      <c r="B18" s="3179"/>
      <c r="C18" s="1392" t="s">
        <v>912</v>
      </c>
      <c r="D18" s="805" t="str">
        <f>结果表!H110</f>
        <v>——</v>
      </c>
    </row>
    <row r="19" spans="1:5" ht="15.75">
      <c r="B19" s="3170" t="str">
        <f>结果表!E111</f>
        <v>——</v>
      </c>
      <c r="C19" s="1396" t="s">
        <v>910</v>
      </c>
      <c r="D19" s="797" t="str">
        <f>结果表!H111</f>
        <v>——</v>
      </c>
    </row>
    <row r="20" spans="1:5" ht="15.75">
      <c r="B20" s="3171"/>
      <c r="C20" s="1391" t="s">
        <v>923</v>
      </c>
      <c r="D20" s="796" t="e">
        <f>NUMBERSTRING(INT(D19*10000),2)&amp;"元整"</f>
        <v>#VALUE!</v>
      </c>
    </row>
    <row r="21" spans="1:5" ht="15.75" thickBot="1">
      <c r="B21" s="317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29829</v>
      </c>
      <c r="C2" s="2" t="s">
        <v>106</v>
      </c>
      <c r="D2" s="190"/>
      <c r="E2" s="190"/>
      <c r="F2" s="190"/>
      <c r="G2" s="190"/>
    </row>
    <row r="3" spans="1:7" s="191" customFormat="1" ht="18" customHeight="1" thickBot="1">
      <c r="A3" s="194" t="s">
        <v>58</v>
      </c>
      <c r="B3" s="195">
        <f ca="1">ROUND(B2*10000/'数据-汇总表'!E3,0)</f>
        <v>42312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134</v>
      </c>
      <c r="D10" s="794">
        <f>'数据-汇总表'!E6</f>
        <v>7049.7000000000007</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141</v>
      </c>
      <c r="D19" s="203">
        <f>'数据-汇总表'!E3</f>
        <v>7049.7000000000007</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1061</v>
      </c>
      <c r="D22" s="226">
        <f ca="1">C26</f>
        <v>5.0000000000000001E-4</v>
      </c>
      <c r="E22" s="227" t="s">
        <v>99</v>
      </c>
      <c r="F22" s="228">
        <f ca="1">'数据-取费表'!B40</f>
        <v>3.3500000000000002E-2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1044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7</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5.0000000000000001E-4</v>
      </c>
      <c r="D26" s="229"/>
      <c r="E26" s="232"/>
      <c r="F26" s="230"/>
      <c r="G26" s="234"/>
    </row>
    <row r="27" spans="1:7" s="205" customFormat="1" ht="24.75">
      <c r="A27" s="730" t="s">
        <v>342</v>
      </c>
      <c r="B27" s="235" t="s">
        <v>85</v>
      </c>
      <c r="C27" s="236">
        <f>C28</f>
        <v>2117</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2117</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26314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3456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3172</v>
      </c>
      <c r="D34" s="208"/>
      <c r="E34" s="211"/>
      <c r="F34" s="248">
        <f>IF('数据-取费表'!B24=0,1,'数据-取费表'!N16)</f>
        <v>1</v>
      </c>
      <c r="G34" s="210" t="s">
        <v>89</v>
      </c>
    </row>
    <row r="35" spans="1:7" ht="13.5" customHeight="1">
      <c r="A35" s="733" t="s">
        <v>351</v>
      </c>
      <c r="B35" s="206" t="s">
        <v>33</v>
      </c>
      <c r="C35" s="211">
        <f>ROUND(C34*F35,0)</f>
        <v>95</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141</v>
      </c>
      <c r="D37" s="208">
        <f>'数据-汇总表'!E3</f>
        <v>7049.7000000000007</v>
      </c>
      <c r="E37" s="240">
        <f>'数据-取费表'!B35</f>
        <v>200</v>
      </c>
      <c r="F37" s="250"/>
      <c r="G37" s="252" t="s">
        <v>92</v>
      </c>
    </row>
    <row r="38" spans="1:7" ht="13.5" customHeight="1">
      <c r="A38" s="733" t="s">
        <v>354</v>
      </c>
      <c r="B38" s="206" t="s">
        <v>36</v>
      </c>
      <c r="C38" s="211">
        <f>ROUND(C34*F38,0)</f>
        <v>48</v>
      </c>
      <c r="D38" s="211"/>
      <c r="E38" s="211"/>
      <c r="F38" s="250">
        <f>'数据-取费表'!B36</f>
        <v>1.4999999999999999E-2</v>
      </c>
      <c r="G38" s="210" t="s">
        <v>90</v>
      </c>
    </row>
    <row r="39" spans="1:7" s="205" customFormat="1" ht="13.5" customHeight="1">
      <c r="A39" s="730" t="s">
        <v>338</v>
      </c>
      <c r="B39" s="201" t="s">
        <v>77</v>
      </c>
      <c r="C39" s="223">
        <f>ROUND(C33*F20,0)</f>
        <v>69</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88</v>
      </c>
      <c r="D41" s="226">
        <f ca="1">C44</f>
        <v>5.0000000000000001E-4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86</v>
      </c>
      <c r="D42" s="229"/>
      <c r="E42" s="229"/>
      <c r="F42" s="230"/>
      <c r="G42" s="3351" t="s">
        <v>94</v>
      </c>
    </row>
    <row r="43" spans="1:7" ht="13.5" customHeight="1">
      <c r="A43" s="733" t="s">
        <v>347</v>
      </c>
      <c r="B43" s="206" t="s">
        <v>426</v>
      </c>
      <c r="C43" s="229">
        <f ca="1">ROUND(IF('数据-取费表'!B22&lt;=1,C39*F22*'数据-取费表'!B21/2,C39*(POWER((1+F22),'数据-取费表'!B21/2)-1)),0)</f>
        <v>2</v>
      </c>
      <c r="D43" s="229"/>
      <c r="E43" s="229"/>
      <c r="F43" s="230"/>
      <c r="G43" s="3352"/>
    </row>
    <row r="44" spans="1:7" ht="13.5" customHeight="1">
      <c r="A44" s="733" t="s">
        <v>348</v>
      </c>
      <c r="B44" s="206" t="s">
        <v>428</v>
      </c>
      <c r="C44" s="229">
        <f ca="1">ROUND(IF('数据-取费表'!B22&lt;=1,C40*F22*'数据-取费表'!B21/2,C40*(POWER((1+F22),'数据-取费表'!B21/2)-1)),4)</f>
        <v>5.0000000000000001E-4</v>
      </c>
      <c r="D44" s="229"/>
      <c r="E44" s="229"/>
      <c r="F44" s="230"/>
      <c r="G44" s="3353"/>
    </row>
    <row r="45" spans="1:7" s="205" customFormat="1" ht="13.5" customHeight="1">
      <c r="A45" s="730" t="s">
        <v>341</v>
      </c>
      <c r="B45" s="235" t="s">
        <v>85</v>
      </c>
      <c r="C45" s="236">
        <f>C46</f>
        <v>353</v>
      </c>
      <c r="D45" s="226">
        <f>C47</f>
        <v>2E-3</v>
      </c>
      <c r="E45" s="227" t="s">
        <v>102</v>
      </c>
      <c r="F45" s="237"/>
      <c r="G45" s="238" t="s">
        <v>434</v>
      </c>
    </row>
    <row r="46" spans="1:7" s="205" customFormat="1" ht="13.5" customHeight="1">
      <c r="A46" s="733" t="s">
        <v>349</v>
      </c>
      <c r="B46" s="239" t="s">
        <v>427</v>
      </c>
      <c r="C46" s="240">
        <f>ROUND((C33+C39)*F27,0)</f>
        <v>353</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4287</v>
      </c>
      <c r="D49" s="223"/>
      <c r="E49" s="223"/>
      <c r="F49" s="255"/>
      <c r="G49" s="225" t="s">
        <v>435</v>
      </c>
    </row>
    <row r="50" spans="1:7" s="249" customFormat="1" ht="24">
      <c r="A50" s="730" t="s">
        <v>344</v>
      </c>
      <c r="B50" s="201" t="s">
        <v>97</v>
      </c>
      <c r="C50" s="223"/>
      <c r="D50" s="223"/>
      <c r="E50" s="223"/>
      <c r="F50" s="255">
        <f>IF('数据-取费表'!B24=0,'数据-取费表'!N16,1)</f>
        <v>0.82</v>
      </c>
      <c r="G50" s="238" t="s">
        <v>98</v>
      </c>
    </row>
    <row r="51" spans="1:7" ht="16.5" customHeight="1">
      <c r="A51" s="730" t="s">
        <v>345</v>
      </c>
      <c r="B51" s="201" t="s">
        <v>105</v>
      </c>
      <c r="C51" s="223">
        <f ca="1">ROUND(C49*F50,0)</f>
        <v>3515</v>
      </c>
      <c r="D51" s="223"/>
      <c r="E51" s="223"/>
      <c r="F51" s="255"/>
      <c r="G51" s="225" t="s">
        <v>37</v>
      </c>
    </row>
    <row r="52" spans="1:7" s="199" customFormat="1" ht="16.5" thickBot="1">
      <c r="A52" s="256" t="s">
        <v>38</v>
      </c>
      <c r="B52" s="257"/>
      <c r="C52" s="258">
        <f ca="1">C31+C51</f>
        <v>29829</v>
      </c>
      <c r="D52" s="257"/>
      <c r="E52" s="257"/>
      <c r="F52" s="257"/>
      <c r="G52" s="259"/>
    </row>
    <row r="55" spans="1:7" ht="15">
      <c r="B55" s="261" t="s">
        <v>39</v>
      </c>
      <c r="C55" s="262"/>
    </row>
    <row r="56" spans="1:7">
      <c r="B56" s="264" t="s">
        <v>40</v>
      </c>
      <c r="C56" s="265">
        <f ca="1">ROUND(C51/C52,3)</f>
        <v>0.11799999999999999</v>
      </c>
    </row>
    <row r="57" spans="1:7">
      <c r="B57" s="264" t="s">
        <v>41</v>
      </c>
      <c r="C57" s="266">
        <f ca="1">1-C56</f>
        <v>0.88200000000000001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0" t="s">
        <v>2832</v>
      </c>
      <c r="B1" s="3490"/>
      <c r="C1" s="3490"/>
      <c r="D1" s="3490"/>
      <c r="E1" s="3490"/>
      <c r="F1" s="3490"/>
      <c r="G1" s="3491"/>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88"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89"/>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2" t="s">
        <v>3174</v>
      </c>
      <c r="B1" s="3492"/>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493" t="s">
        <v>3225</v>
      </c>
      <c r="B1" s="3493"/>
      <c r="C1" s="3493"/>
      <c r="D1" s="3493"/>
      <c r="E1" s="3493"/>
      <c r="F1" s="3494"/>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2937">
        <f>基准地价修正!G23</f>
        <v>45561</v>
      </c>
      <c r="B1" s="2929" t="s">
        <v>3364</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3375</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3376</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3370</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3377</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3372</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3368</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3367</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3363</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3362</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3361</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2" t="s">
        <v>3359</v>
      </c>
    </row>
    <row r="24" spans="1:30">
      <c r="I24" s="1404" t="s">
        <v>2818</v>
      </c>
    </row>
    <row r="26" spans="1:30" s="2008" customFormat="1" ht="12.75">
      <c r="B26" s="2929" t="s">
        <v>3365</v>
      </c>
      <c r="C26" s="2930"/>
      <c r="D26" s="2930"/>
      <c r="E26" s="2930"/>
      <c r="F26" s="2930"/>
      <c r="G26" s="2930"/>
      <c r="H26" s="2930"/>
      <c r="I26" s="2930"/>
      <c r="J26" s="2896"/>
      <c r="K26" s="2930" t="s">
        <v>2819</v>
      </c>
      <c r="L26" s="2930"/>
      <c r="M26" s="2930"/>
      <c r="N26" s="2930"/>
      <c r="O26" s="2930"/>
      <c r="P26" s="2930"/>
      <c r="Q26" s="2896"/>
      <c r="R26" s="3495" t="s">
        <v>2820</v>
      </c>
      <c r="S26" s="3496"/>
      <c r="T26" s="3496"/>
      <c r="U26" s="3496"/>
      <c r="V26" s="3496"/>
      <c r="W26" s="3496"/>
      <c r="X26" s="2896"/>
      <c r="Y26" s="3495" t="s">
        <v>2821</v>
      </c>
      <c r="Z26" s="3496"/>
      <c r="AA26" s="3496"/>
      <c r="AB26" s="3496"/>
      <c r="AC26" s="3496"/>
      <c r="AD26" s="3496"/>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3375</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3378</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3370</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3379</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3371</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3369</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3367</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3366</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3362</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3361</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2" t="s">
        <v>3360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45561</v>
      </c>
      <c r="D1" s="1216" t="s">
        <v>603</v>
      </c>
      <c r="E1" s="1211">
        <f>'数据-取费表'!B22</f>
        <v>1.5</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2302</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800" t="s">
        <v>925</v>
      </c>
      <c r="E3" s="800" t="s">
        <v>931</v>
      </c>
      <c r="F3" s="800" t="s">
        <v>925</v>
      </c>
      <c r="G3" s="800" t="s">
        <v>926</v>
      </c>
      <c r="H3" s="800" t="s">
        <v>925</v>
      </c>
      <c r="I3" s="800" t="s">
        <v>926</v>
      </c>
    </row>
    <row r="4" spans="1:9" ht="15">
      <c r="A4" s="1402" t="str">
        <f>项目基本情况!S2</f>
        <v>北京市房地产</v>
      </c>
      <c r="B4" s="800">
        <f>项目基本情况!C17</f>
        <v>7049.7000000000007</v>
      </c>
      <c r="C4" s="800">
        <f>项目基本情况!C18</f>
        <v>0</v>
      </c>
      <c r="D4" s="800" t="e">
        <f ca="1">结果表!D118</f>
        <v>#REF!</v>
      </c>
      <c r="E4" s="800" t="e">
        <f ca="1">结果表!E118</f>
        <v>#REF!</v>
      </c>
      <c r="F4" s="800" t="e">
        <f ca="1">结果表!F118</f>
        <v>#REF!</v>
      </c>
      <c r="G4" s="800" t="e">
        <f ca="1">结果表!G118</f>
        <v>#REF!</v>
      </c>
      <c r="H4" s="800">
        <f ca="1">结果表!H118</f>
        <v>4151</v>
      </c>
      <c r="I4" s="800">
        <f ca="1">结果表!I118</f>
        <v>5888</v>
      </c>
    </row>
    <row r="5" spans="1:9" ht="30" customHeight="1">
      <c r="A5" s="3182" t="s">
        <v>927</v>
      </c>
      <c r="B5" s="3182"/>
      <c r="C5" s="3182"/>
      <c r="D5" s="3182" t="e">
        <f ca="1">结果表!D119</f>
        <v>#REF!</v>
      </c>
      <c r="E5" s="3182"/>
      <c r="F5" s="3182" t="e">
        <f ca="1">结果表!F119</f>
        <v>#REF!</v>
      </c>
      <c r="G5" s="3182"/>
      <c r="H5" s="3182" t="str">
        <f ca="1">结果表!H119</f>
        <v>肆仟壹佰伍拾壹万元整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f ca="1">结果表!D122</f>
        <v>4151</v>
      </c>
      <c r="E8" s="3183"/>
      <c r="F8" s="3183"/>
      <c r="G8" s="3183"/>
      <c r="H8" s="3183"/>
      <c r="I8" s="3183"/>
    </row>
    <row r="9" spans="1:9" ht="15">
      <c r="A9" s="3182" t="s">
        <v>927</v>
      </c>
      <c r="B9" s="3182"/>
      <c r="C9" s="3182"/>
      <c r="D9" s="3182" t="str">
        <f ca="1">结果表!D123</f>
        <v>肆仟壹佰伍拾壹万元整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9" t="s">
        <v>949</v>
      </c>
      <c r="B1" s="3189"/>
      <c r="C1" s="3189"/>
      <c r="D1" s="3189"/>
    </row>
    <row r="2" spans="1:4" ht="18">
      <c r="A2" s="3190" t="s">
        <v>933</v>
      </c>
      <c r="B2" s="3190"/>
      <c r="C2" s="3190"/>
      <c r="D2" s="319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0" t="s">
        <v>939</v>
      </c>
      <c r="B6" s="3190"/>
      <c r="C6" s="3190"/>
      <c r="D6" s="319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3" t="s">
        <v>956</v>
      </c>
      <c r="B15" s="3198" t="s">
        <v>109</v>
      </c>
      <c r="C15" s="3199"/>
    </row>
    <row r="16" spans="1:7" ht="13.5">
      <c r="A16" s="3204"/>
      <c r="B16" s="3198" t="s">
        <v>42</v>
      </c>
      <c r="C16" s="3199"/>
    </row>
    <row r="17" spans="1:3" ht="13.5">
      <c r="A17" s="3204"/>
      <c r="B17" s="3201" t="s">
        <v>957</v>
      </c>
      <c r="C17" s="1428" t="s">
        <v>956</v>
      </c>
    </row>
    <row r="18" spans="1:3" ht="13.5">
      <c r="A18" s="3204"/>
      <c r="B18" s="3201"/>
      <c r="C18" s="1428" t="s">
        <v>958</v>
      </c>
    </row>
    <row r="19" spans="1:3" ht="13.5">
      <c r="A19" s="3204"/>
      <c r="B19" s="3201"/>
      <c r="C19" s="1428" t="s">
        <v>959</v>
      </c>
    </row>
    <row r="20" spans="1:3" ht="13.5">
      <c r="A20" s="3205"/>
      <c r="B20" s="3200" t="s">
        <v>960</v>
      </c>
      <c r="C20" s="3199"/>
    </row>
    <row r="21" spans="1:3" ht="13.5">
      <c r="A21" s="1429" t="s">
        <v>961</v>
      </c>
      <c r="B21" s="1430"/>
      <c r="C21" s="1431"/>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8" t="s">
        <v>967</v>
      </c>
    </row>
    <row r="26" spans="1:3" ht="13.5">
      <c r="A26" s="3202"/>
      <c r="B26" s="3201"/>
      <c r="C26" s="1428" t="s">
        <v>968</v>
      </c>
    </row>
    <row r="27" spans="1:3" ht="13.5">
      <c r="A27" s="3202"/>
      <c r="B27" s="3201"/>
      <c r="C27" s="1428" t="s">
        <v>969</v>
      </c>
    </row>
    <row r="28" spans="1:3" ht="13.5">
      <c r="A28" s="3202"/>
      <c r="B28" s="3201"/>
      <c r="C28" s="1428" t="s">
        <v>970</v>
      </c>
    </row>
    <row r="29" spans="1:3" ht="13.5">
      <c r="A29" s="3202"/>
      <c r="B29" s="3201"/>
      <c r="C29" s="1428" t="s">
        <v>971</v>
      </c>
    </row>
    <row r="30" spans="1:3" ht="13.5">
      <c r="A30" s="3202"/>
      <c r="B30" s="3201"/>
      <c r="C30" s="1428" t="s">
        <v>972</v>
      </c>
    </row>
    <row r="31" spans="1:3" ht="13.5">
      <c r="A31" s="3202"/>
      <c r="B31" s="3201"/>
      <c r="C31" s="1428" t="s">
        <v>973</v>
      </c>
    </row>
    <row r="32" spans="1:3" ht="13.5">
      <c r="A32" s="3202"/>
      <c r="B32" s="3201"/>
      <c r="C32" s="1428" t="s">
        <v>974</v>
      </c>
    </row>
    <row r="33" spans="1:3" ht="13.5">
      <c r="A33" s="3202"/>
      <c r="B33" s="320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45575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9"/>
      <c r="E18" s="3208" t="s">
        <v>2162</v>
      </c>
      <c r="F18" s="3207"/>
      <c r="G18" s="320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租金比较法-办公</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2024-10-10T07:49:48Z</dcterms:modified>
</cp:coreProperties>
</file>