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Chang\报告审核\朝阳门南小街\"/>
    </mc:Choice>
  </mc:AlternateContent>
  <xr:revisionPtr revIDLastSave="0" documentId="13_ncr:1_{91D2C6DD-BFE6-4073-BA6A-CE41C1044AF6}" xr6:coauthVersionLast="45" xr6:coauthVersionMax="45" xr10:uidLastSave="{00000000-0000-0000-0000-000000000000}"/>
  <bookViews>
    <workbookView xWindow="1830" yWindow="1830" windowWidth="19230" windowHeight="6405" tabRatio="899" firstSheet="13"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结果一览表-" sheetId="80" r:id="rId27"/>
    <sheet name="比较法-办公-售价" sheetId="81" state="hidden" r:id="rId28"/>
    <sheet name="比较法-办公-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Sheet3" sheetId="82"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7" hidden="1">'比较法-办公-售价'!$A$1:$L$50</definedName>
    <definedName name="_xlnm._FilterDatabase" localSheetId="28"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'比较法-办公-售价'!$A$1:$K$55,'比较法-办公-售价'!$A$58:$M$132</definedName>
    <definedName name="_xlnm.Print_Area" localSheetId="28">'比较法-办公-租金'!$A$1:$K$55,'比较法-办公-租金'!$A$58:$M$132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'比较法-办公-售价'!$B$119:$M$119</definedName>
    <definedName name="办公层高" localSheetId="26">'[1]比较法-办公租金'!$B$119:$M$119</definedName>
    <definedName name="办公层高">'比较法-办公-租金'!$B$119:$M$119</definedName>
    <definedName name="办公朝向" localSheetId="27">'比较法-办公-售价'!$B$91:$M$91</definedName>
    <definedName name="办公朝向" localSheetId="26">'[1]比较法-办公租金'!$B$91:$M$91</definedName>
    <definedName name="办公朝向">'比较法-办公-租金'!$B$91:$M$91</definedName>
    <definedName name="办公道路级别" localSheetId="27">'比较法-办公-售价'!$B$87:$M$87</definedName>
    <definedName name="办公道路级别" localSheetId="26">'[1]比较法-办公租金'!$B$87:$M$87</definedName>
    <definedName name="办公道路级别">'比较法-办公-租金'!$B$87:$M$87</definedName>
    <definedName name="办公公共部分装修" localSheetId="27">'比较法-办公-售价'!$B$108:$M$108</definedName>
    <definedName name="办公公共部分装修" localSheetId="26">'[1]比较法-办公租金'!$B$108:$M$108</definedName>
    <definedName name="办公公共部分装修">'比较法-办公-租金'!$B$108:$M$108</definedName>
    <definedName name="办公基础设施水平" localSheetId="27">'比较法-办公-售价'!$B$117:$M$117</definedName>
    <definedName name="办公基础设施水平" localSheetId="26">'[1]比较法-办公租金'!$B$117:$M$117</definedName>
    <definedName name="办公基础设施水平">'比较法-办公-租金'!$B$117:$M$117</definedName>
    <definedName name="办公集聚程度" localSheetId="26">[1]定义!$M$1:$M$6</definedName>
    <definedName name="办公集聚程度">定义!$M$1:$M$6</definedName>
    <definedName name="办公建筑结构" localSheetId="27">'比较法-办公-售价'!$B$106:$M$106</definedName>
    <definedName name="办公建筑结构" localSheetId="26">'[1]比较法-办公租金'!$B$106:$M$106</definedName>
    <definedName name="办公建筑结构">'比较法-办公-租金'!$B$106:$M$106</definedName>
    <definedName name="办公建筑类型" localSheetId="27">'比较法-办公-售价'!$B$101:$M$101</definedName>
    <definedName name="办公建筑类型" localSheetId="26">'[1]比较法-办公租金'!$B$101:$M$101</definedName>
    <definedName name="办公建筑类型">'比较法-办公-租金'!$B$101:$M$101</definedName>
    <definedName name="办公交易情况" localSheetId="27">'比较法-办公-售价'!$A$62:$M$62</definedName>
    <definedName name="办公交易情况" localSheetId="26">'[1]比较法-办公租金'!$A$62:$M$62</definedName>
    <definedName name="办公交易情况">'比较法-办公-租金'!$A$62:$M$62</definedName>
    <definedName name="办公楼层" localSheetId="27">'比较法-办公-售价'!$B$89:$M$89</definedName>
    <definedName name="办公楼层" localSheetId="26">'[1]比较法-办公租金'!$B$89:$M$89</definedName>
    <definedName name="办公楼层">'比较法-办公-租金'!$B$89:$M$89</definedName>
    <definedName name="办公内部装修" localSheetId="27">'比较法-办公-售价'!$B$123:$M$123</definedName>
    <definedName name="办公内部装修" localSheetId="26">'[1]比较法-办公租金'!$B$123:$M$123</definedName>
    <definedName name="办公内部装修">'比较法-办公-租金'!$B$123:$M$123</definedName>
    <definedName name="办公物业管理" localSheetId="27">'比较法-办公-售价'!$B$115:$M$115</definedName>
    <definedName name="办公物业管理" localSheetId="26">'[1]比较法-办公租金'!$B$115:$M$115</definedName>
    <definedName name="办公物业管理">'比较法-办公-租金'!$B$115:$M$115</definedName>
    <definedName name="办公用途" localSheetId="27">'比较法-办公-售价'!$B$64:$M$64</definedName>
    <definedName name="办公用途" localSheetId="26">'[1]比较法-办公租金'!$B$64:$M$64</definedName>
    <definedName name="办公用途">'比较法-办公-租金'!$B$64:$M$64</definedName>
    <definedName name="仓储公共部分装修" localSheetId="26">'[1]比较法-仓储'!$B$77:$M$77</definedName>
    <definedName name="仓储公共部分装修">'比较法-仓储'!$B$77:$M$77</definedName>
    <definedName name="仓储交易情况" localSheetId="26">'[1]比较法-仓储'!$A$49:$M$49</definedName>
    <definedName name="仓储交易情况">'比较法-仓储'!$A$49:$M$49</definedName>
    <definedName name="仓储楼层" localSheetId="26">'[1]比较法-仓储'!$B$69:$M$69</definedName>
    <definedName name="仓储楼层">'比较法-仓储'!$B$69:$M$69</definedName>
    <definedName name="仓储物业等级" localSheetId="26">'[1]比较法-仓储'!$B$82:$M$82</definedName>
    <definedName name="仓储物业等级">'比较法-仓储'!$B$82:$M$82</definedName>
    <definedName name="仓储用途" localSheetId="26">'[1]比较法-仓储'!$B$51:$M$51</definedName>
    <definedName name="仓储用途">'比较法-仓储'!$B$51:$M$51</definedName>
    <definedName name="产业集聚程度" localSheetId="26">[1]定义!$N$1:$N$6</definedName>
    <definedName name="产业集聚程度">定义!$N$1:$N$6</definedName>
    <definedName name="车位公共部分装修" localSheetId="26">'[1]比较法-车位'!$B$83:$M$83</definedName>
    <definedName name="车位公共部分装修">'比较法-车位'!$B$83:$M$83</definedName>
    <definedName name="车位交易情况" localSheetId="26">'[1]比较法-车位'!$A$51:$M$51</definedName>
    <definedName name="车位交易情况">'比较法-车位'!$A$51:$M$51</definedName>
    <definedName name="车位类型" localSheetId="26">'[1]比较法-车位'!$B$93:$M$93</definedName>
    <definedName name="车位类型">'比较法-车位'!$B$93:$M$93</definedName>
    <definedName name="车位楼层" localSheetId="26">'[1]比较法-车位'!$B$71:$M$71</definedName>
    <definedName name="车位楼层">'比较法-车位'!$B$71:$M$71</definedName>
    <definedName name="车位配套类型" localSheetId="26">'[1]比较法-车位'!$B$79:$M$79</definedName>
    <definedName name="车位配套类型">'比较法-车位'!$B$79:$M$79</definedName>
    <definedName name="车位物业等级" localSheetId="26">'[1]比较法-车位'!$B$88:$M$88</definedName>
    <definedName name="车位物业等级">'比较法-车位'!$B$88:$M$88</definedName>
    <definedName name="车位用途" localSheetId="26">'[1]比较法-车位'!$B$53:$M$53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区片价!$J$1:$J$21</definedName>
    <definedName name="二级分类" localSheetId="26">[1]修正!$C$17:$C$39</definedName>
    <definedName name="二级分类">修正!$C$19:$C$51</definedName>
    <definedName name="法定最高年限" localSheetId="26">[1]定义!$G$1:$G$4</definedName>
    <definedName name="法定最高年限">定义!$G$1:$G$6</definedName>
    <definedName name="工业公共部分装修" localSheetId="26">'[1]比较法-工业'!$B$95:$M$95</definedName>
    <definedName name="工业公共部分装修">'比较法-工业'!$B$95:$M$95</definedName>
    <definedName name="工业基础设施水平" localSheetId="26">'[1]比较法-工业'!$B$102:$M$102</definedName>
    <definedName name="工业基础设施水平">'比较法-工业'!$B$102:$M$102</definedName>
    <definedName name="工业建筑结构" localSheetId="26">'[1]比较法-工业'!$B$93:$M$93</definedName>
    <definedName name="工业建筑结构">'比较法-工业'!$B$93:$M$93</definedName>
    <definedName name="工业建筑类型" localSheetId="26">'[1]比较法-工业'!$B$88:$M$88</definedName>
    <definedName name="工业建筑类型">'比较法-工业'!$B$88:$M$88</definedName>
    <definedName name="工业交易情况" localSheetId="26">'[1]比较法-工业'!$A$55:$M$55</definedName>
    <definedName name="工业交易情况">'比较法-工业'!$A$55:$M$55</definedName>
    <definedName name="工业内部装修" localSheetId="26">'[1]比较法-工业'!$B$104:$M$104</definedName>
    <definedName name="工业内部装修">'比较法-工业'!$B$104:$M$104</definedName>
    <definedName name="工业物业管理" localSheetId="26">'[1]比较法-工业'!$B$100:$M$100</definedName>
    <definedName name="工业物业管理">'比较法-工业'!$B$100:$M$100</definedName>
    <definedName name="工业用途" localSheetId="26">'[1]比较法-工业'!$B$57:$M$57</definedName>
    <definedName name="工业用途">'比较法-工业'!$B$57:$M$57</definedName>
    <definedName name="公共配套设施" localSheetId="26">[1]定义!$Q$1:$Q$6</definedName>
    <definedName name="公共配套设施">定义!$Q$1:$Q$6</definedName>
    <definedName name="估价范围判定">定义!$D$1:$D$4</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区片价!$Q$1:$Q$51</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区片价!$N$1:$N$64</definedName>
    <definedName name="内部装修维护情况" localSheetId="26">[1]定义!$U$1:$U$6</definedName>
    <definedName name="内部装修维护情况">定义!$U$1:$U$6</definedName>
    <definedName name="判定">[1]定义!$D$1:$D$4</definedName>
    <definedName name="七级">区片价!$O$1:$O$45</definedName>
    <definedName name="七通一平" localSheetId="26">[1]修正!$A$6:$A$14</definedName>
    <definedName name="七通一平">修正!$A$8:$A$16</definedName>
    <definedName name="区域土地利用方向" localSheetId="26">[1]定义!$P$1:$P$6</definedName>
    <definedName name="区域土地利用方向">定义!$P$1:$P$6</definedName>
    <definedName name="三级">区片价!$K$1:$K$26</definedName>
    <definedName name="商业层高" localSheetId="26">'[1]比较法-租金'!$B$116:$M$116</definedName>
    <definedName name="商业层高">'比较法-商业'!$B$116:$M$116</definedName>
    <definedName name="商业成新度">'比较法-商业'!$B$109:$M$109</definedName>
    <definedName name="商业繁华度" localSheetId="26">[1]定义!$L$1:$L$6</definedName>
    <definedName name="商业繁华度">定义!$L$1:$L$6</definedName>
    <definedName name="商业公共部分装修" localSheetId="26">'[1]比较法-租金'!$B$107:$M$107</definedName>
    <definedName name="商业公共部分装修">'比较法-商业'!$B$107:$M$107</definedName>
    <definedName name="商业基础设施水平" localSheetId="26">'[1]比较法-租金'!$B$112:$M$112</definedName>
    <definedName name="商业基础设施水平">'比较法-商业'!$B$112:$M$112</definedName>
    <definedName name="商业建筑结构" localSheetId="26">'[1]比较法-租金'!$B$105:$M$105</definedName>
    <definedName name="商业建筑结构">'比较法-商业'!$B$105:$M$105</definedName>
    <definedName name="商业交易情况" localSheetId="26">'[1]比较法-租金'!$A$61:$M$61</definedName>
    <definedName name="商业交易情况">'比较法-商业'!$A$61:$M$61</definedName>
    <definedName name="商业街名称" localSheetId="26">[1]修正!$C$59:$C$119</definedName>
    <definedName name="商业街名称">修正!$C$71:$C$138</definedName>
    <definedName name="商业进深比" localSheetId="26">'[1]比较法-租金'!$B$120:$M$120</definedName>
    <definedName name="商业进深比">'比较法-商业'!$B$120:$M$120</definedName>
    <definedName name="商业类型" localSheetId="26">'[1]比较法-租金'!$B$100:$M$100</definedName>
    <definedName name="商业类型">'比较法-商业'!$B$100:$M$100</definedName>
    <definedName name="商业临街状况" localSheetId="26">'[1]比较法-租金'!$B$86:$M$86</definedName>
    <definedName name="商业临街状况">'比较法-商业'!$B$86:$M$86</definedName>
    <definedName name="商业楼层" localSheetId="26">'[1]比较法-租金'!$B$92:$M$92</definedName>
    <definedName name="商业楼层">'比较法-商业'!$B$92:$M$92</definedName>
    <definedName name="商业内部装修" localSheetId="26">'[1]比较法-租金'!$B$122:$M$122</definedName>
    <definedName name="商业内部装修">'比较法-商业'!$B$122:$M$122</definedName>
    <definedName name="商业人流量" localSheetId="26">'[1]比较法-租金'!$B$90:$M$90</definedName>
    <definedName name="商业人流量">'比较法-商业'!$B$90:$M$90</definedName>
    <definedName name="商业业态" localSheetId="26">'[1]比较法-租金'!$B$114:$M$114</definedName>
    <definedName name="商业业态">'比较法-商业'!$B$114:$M$114</definedName>
    <definedName name="商业用途" localSheetId="26">'[1]比较法-租金'!$B$63:$M$63</definedName>
    <definedName name="商业用途">'比较法-商业'!$B$63:$M$63</definedName>
    <definedName name="十二级">区片价!$T$1:$T$8</definedName>
    <definedName name="十级">区片价!$R$1:$R$32</definedName>
    <definedName name="十一级">区片价!$S$1:$S$21</definedName>
    <definedName name="是否封闭" localSheetId="26">'[1]比较法-仓储'!$B$89:$M$89</definedName>
    <definedName name="是否封闭">'比较法-仓储'!$B$89:$M$89</definedName>
    <definedName name="是否直接入户" localSheetId="26">'[1]比较法-车位'!$B$95:$M$95</definedName>
    <definedName name="是否直接入户">'比较法-车位'!$B$95:$M$95</definedName>
    <definedName name="四级">区片价!$L$1:$L$33</definedName>
    <definedName name="套工道路等级" localSheetId="26">'[1]土地比较法-工业'!$B$97:$M$97</definedName>
    <definedName name="套工道路等级">'土地比较法-工业'!$B$97:$M$97</definedName>
    <definedName name="套工地质条件" localSheetId="26">'[1]土地比较法-工业'!$B$114:$M$114</definedName>
    <definedName name="套工地质条件">'土地比较法-工业'!$B$114:$M$114</definedName>
    <definedName name="套工交易情况" localSheetId="26">'[1]土地比较法-住宅、综合'!$A$73:$M$73</definedName>
    <definedName name="套工交易情况">'土地比较法-住宅、综合'!$A$72:$M$72</definedName>
    <definedName name="套工土地级别" localSheetId="26">'[1]土地比较法-工业'!$B$99:$M$99</definedName>
    <definedName name="套工土地级别">'土地比较法-工业'!$B$99:$M$99</definedName>
    <definedName name="套工用途" localSheetId="26">'[1]土地比较法-工业'!$B$70:$M$70</definedName>
    <definedName name="套工用途">'土地比较法-工业'!$B$70:$M$70</definedName>
    <definedName name="套工宗地开发程度" localSheetId="26">'[1]土地比较法-工业'!$B$112:$M$112</definedName>
    <definedName name="套工宗地开发程度">'土地比较法-工业'!$B$112:$M$112</definedName>
    <definedName name="套工宗地形状" localSheetId="26">'[1]土地比较法-工业'!$B$110:$M$110</definedName>
    <definedName name="套工宗地形状">'土地比较法-工业'!$B$110:$M$110</definedName>
    <definedName name="套综道路等级" localSheetId="26">'[1]土地比较法-住宅、综合'!$B$106:$M$106</definedName>
    <definedName name="套综道路等级">'土地比较法-住宅、综合'!$B$105:$M$105</definedName>
    <definedName name="套综工程地质条件" localSheetId="26">'[1]土地比较法-住宅、综合'!$B$125:$M$125</definedName>
    <definedName name="套综工程地质条件">'土地比较法-住宅、综合'!$B$124:$M$124</definedName>
    <definedName name="套综交易情况" localSheetId="26">'[1]土地比较法-住宅、综合'!$A$73:$M$73</definedName>
    <definedName name="套综交易情况">'土地比较法-住宅、综合'!$A$72:$M$72</definedName>
    <definedName name="套综临街宽度及深度" localSheetId="26">'[1]土地比较法-住宅、综合'!$B$121:$M$121</definedName>
    <definedName name="套综临街宽度及深度">'土地比较法-住宅、综合'!$B$120:$M$120</definedName>
    <definedName name="套综土地级别" localSheetId="26">'[1]土地比较法-住宅、综合'!$B$108:$M$108</definedName>
    <definedName name="套综土地级别">'土地比较法-住宅、综合'!$B$107:$M$107</definedName>
    <definedName name="套综用途" localSheetId="26">'[1]土地比较法-住宅、综合'!$B$75:$M$75</definedName>
    <definedName name="套综用途">'土地比较法-住宅、综合'!$B$74:$M$74</definedName>
    <definedName name="套综宗地内开发程度" localSheetId="26">'[1]土地比较法-住宅、综合'!$B$123:$M$123</definedName>
    <definedName name="套综宗地内开发程度">'土地比较法-住宅、综合'!$B$122:$M$122</definedName>
    <definedName name="套综宗地形状" localSheetId="26">'[1]土地比较法-住宅、综合'!$B$119:$M$119</definedName>
    <definedName name="套综宗地形状">'土地比较法-住宅、综合'!$B$118:$M$118</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定义!$I$1:$I$16</definedName>
    <definedName name="位置" localSheetId="26">[1]定义!$E$2:$E$4</definedName>
    <definedName name="位置">定义!$E$2:$E$4</definedName>
    <definedName name="五等判定" localSheetId="26">[1]定义!$W$1:$W$6</definedName>
    <definedName name="五等判定">定义!$W$1:$W$6</definedName>
    <definedName name="五级">区片价!$M$1:$M$41</definedName>
    <definedName name="项目类型" localSheetId="26">'[1]数据-汇总表'!$C$17:$C$26</definedName>
    <definedName name="项目类型" localSheetId="22">'[2]数据-汇总表'!$C$17:$C$26</definedName>
    <definedName name="项目类型">'数据-汇总表'!$C$17:$C$26</definedName>
    <definedName name="写字楼等级" localSheetId="27">'比较法-办公-售价'!$B$113:$M$113</definedName>
    <definedName name="写字楼等级" localSheetId="26">'[1]比较法-办公租金'!$B$113:$M$113</definedName>
    <definedName name="写字楼等级">'比较法-办公-租金'!$B$113:$M$113</definedName>
    <definedName name="一级">区片价!$I$1:$I$6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明细" localSheetId="26">[1]定义!$A$1:$A$50</definedName>
    <definedName name="用途明细">定义!$A$1:$A$50</definedName>
    <definedName name="有无电梯" localSheetId="26">'[1]比较法-仓储'!$B$84:$M$84</definedName>
    <definedName name="有无电梯">'比较法-仓储'!$B$84:$M$84</definedName>
    <definedName name="主用途" localSheetId="26">[1]定义!$F$1:$F$10</definedName>
    <definedName name="主用途">定义!$F$1:$F$12</definedName>
    <definedName name="住宅朝向" localSheetId="26">'[1]比较法-住宅'!$B$88:$M$88</definedName>
    <definedName name="住宅朝向">'比较法-住宅'!$B$88:$M$88</definedName>
    <definedName name="住宅房型" localSheetId="26">'[1]比较法-住宅'!$B$118:$M$118</definedName>
    <definedName name="住宅房型">'比较法-住宅'!$B$118:$M$118</definedName>
    <definedName name="住宅公共部分装修" localSheetId="26">'[1]比较法-住宅'!$B$109:$M$109</definedName>
    <definedName name="住宅公共部分装修">'比较法-住宅'!$B$109:$M$109</definedName>
    <definedName name="住宅基础设施水平" localSheetId="26">'[1]比较法-住宅'!$B$116:$M$116</definedName>
    <definedName name="住宅基础设施水平">'比较法-住宅'!$B$116:$M$116</definedName>
    <definedName name="住宅建筑结构" localSheetId="26">'[1]比较法-住宅'!$B$105:$M$105</definedName>
    <definedName name="住宅建筑结构">'比较法-住宅'!$B$105:$M$105</definedName>
    <definedName name="住宅建筑类型" localSheetId="26">'[1]比较法-住宅'!$B$100:$M$100</definedName>
    <definedName name="住宅建筑类型">'比较法-住宅'!$B$100:$M$100</definedName>
    <definedName name="住宅建筑品质" localSheetId="26">'[1]比较法-住宅'!$B$107:$M$107</definedName>
    <definedName name="住宅建筑品质">'比较法-住宅'!$B$107:$M$107</definedName>
    <definedName name="住宅交易情况" localSheetId="26">'[1]比较法-住宅'!$A$61:$M$61</definedName>
    <definedName name="住宅交易情况">'比较法-住宅'!$A$61:$M$61</definedName>
    <definedName name="住宅楼层" localSheetId="26">'[1]比较法-住宅'!$B$86:$M$86</definedName>
    <definedName name="住宅楼层">'比较法-住宅'!$B$86:$M$86</definedName>
    <definedName name="住宅内部装修" localSheetId="26">'[1]比较法-住宅'!$B$122:$M$122</definedName>
    <definedName name="住宅内部装修">'比较法-住宅'!$B$122:$M$122</definedName>
    <definedName name="住宅物业管理" localSheetId="26">'[1]比较法-住宅'!$B$114:$M$114</definedName>
    <definedName name="住宅物业管理">'比较法-住宅'!$B$114:$M$114</definedName>
    <definedName name="住宅用途" localSheetId="26">'[1]比较法-住宅'!$B$63:$M$63</definedName>
    <definedName name="住宅用途">'比较法-住宅'!$B$63:$M$63</definedName>
    <definedName name="住宅主力户型面积">'比较法-住宅'!$B$120:$M$120</definedName>
    <definedName name="注册房地产估价师" localSheetId="26">[1]估价师及机构信息!$A$3:$A$16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6" i="80" l="1"/>
  <c r="M2" i="80" s="1"/>
  <c r="M4" i="80" s="1"/>
  <c r="L27" i="80" l="1"/>
  <c r="N65" i="82"/>
  <c r="N51" i="82"/>
  <c r="D105" i="34" l="1"/>
  <c r="E105" i="34" s="1"/>
  <c r="F105" i="34" s="1"/>
  <c r="G105" i="34" s="1"/>
  <c r="H105" i="34" s="1"/>
  <c r="C24" i="34"/>
  <c r="C20" i="34"/>
  <c r="C18" i="34"/>
  <c r="C16" i="34"/>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D109" i="81"/>
  <c r="E109" i="81" s="1"/>
  <c r="H107" i="81"/>
  <c r="I107" i="81" s="1"/>
  <c r="J107" i="81" s="1"/>
  <c r="K107" i="81" s="1"/>
  <c r="L107" i="81" s="1"/>
  <c r="M107" i="81" s="1"/>
  <c r="D107" i="81"/>
  <c r="E107" i="81" s="1"/>
  <c r="F107" i="81" s="1"/>
  <c r="G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H32" i="81" s="1"/>
  <c r="B97" i="81"/>
  <c r="B95" i="81"/>
  <c r="H30" i="81" s="1"/>
  <c r="B93" i="81"/>
  <c r="E92" i="81"/>
  <c r="F92" i="81" s="1"/>
  <c r="G92" i="81" s="1"/>
  <c r="H92" i="81" s="1"/>
  <c r="I92" i="81" s="1"/>
  <c r="J92" i="81" s="1"/>
  <c r="K92" i="81" s="1"/>
  <c r="L92" i="81" s="1"/>
  <c r="M92" i="81" s="1"/>
  <c r="D92" i="81"/>
  <c r="B91" i="81"/>
  <c r="H28" i="81" s="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E84" i="81"/>
  <c r="F84" i="81" s="1"/>
  <c r="G84" i="81" s="1"/>
  <c r="D84" i="81"/>
  <c r="E82" i="81"/>
  <c r="F82" i="81" s="1"/>
  <c r="G82" i="81" s="1"/>
  <c r="D82" i="81"/>
  <c r="D80" i="81"/>
  <c r="E80" i="81" s="1"/>
  <c r="F80" i="81" s="1"/>
  <c r="G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AC47" i="81"/>
  <c r="Q47" i="81"/>
  <c r="Z47" i="81" s="1"/>
  <c r="J47" i="81"/>
  <c r="W47" i="81" s="1"/>
  <c r="H47" i="81"/>
  <c r="AB47" i="81" s="1"/>
  <c r="F47" i="81"/>
  <c r="AA47" i="81" s="1"/>
  <c r="Q46" i="81"/>
  <c r="Z46" i="81" s="1"/>
  <c r="H46" i="81"/>
  <c r="AB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U41" i="8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U33" i="81"/>
  <c r="Q33" i="81"/>
  <c r="Z33" i="81" s="1"/>
  <c r="J33" i="81"/>
  <c r="AC33" i="81" s="1"/>
  <c r="H33" i="81"/>
  <c r="AB33" i="81" s="1"/>
  <c r="F33" i="81"/>
  <c r="AA33" i="81" s="1"/>
  <c r="S32" i="81"/>
  <c r="Q32" i="81"/>
  <c r="Z32" i="81" s="1"/>
  <c r="J32" i="81"/>
  <c r="AC32" i="81" s="1"/>
  <c r="F32" i="81"/>
  <c r="AA32" i="81" s="1"/>
  <c r="Q31" i="81"/>
  <c r="Z31" i="81" s="1"/>
  <c r="J31" i="81"/>
  <c r="AC31" i="81" s="1"/>
  <c r="H31" i="81"/>
  <c r="U31" i="81" s="1"/>
  <c r="F31" i="81"/>
  <c r="AA31" i="81" s="1"/>
  <c r="Q30" i="81"/>
  <c r="Z30" i="81" s="1"/>
  <c r="J30" i="81"/>
  <c r="AC30" i="81" s="1"/>
  <c r="F30" i="81"/>
  <c r="S30" i="81" s="1"/>
  <c r="U29" i="81"/>
  <c r="Q29" i="81"/>
  <c r="Z29" i="81" s="1"/>
  <c r="J29" i="81"/>
  <c r="AC29" i="81" s="1"/>
  <c r="H29" i="81"/>
  <c r="AB29" i="81" s="1"/>
  <c r="F29" i="81"/>
  <c r="AA29" i="81" s="1"/>
  <c r="S28" i="81"/>
  <c r="Q28" i="81"/>
  <c r="Z28" i="81" s="1"/>
  <c r="J28" i="81"/>
  <c r="AC28" i="81" s="1"/>
  <c r="F28" i="81"/>
  <c r="AA28" i="81" s="1"/>
  <c r="Q27" i="81"/>
  <c r="Z27" i="81" s="1"/>
  <c r="J27" i="81"/>
  <c r="AC27" i="81" s="1"/>
  <c r="H27" i="81"/>
  <c r="U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H14" i="81"/>
  <c r="AB14" i="81" s="1"/>
  <c r="AC13" i="81"/>
  <c r="Q13" i="81"/>
  <c r="Z13" i="81" s="1"/>
  <c r="J13" i="81"/>
  <c r="W13" i="81" s="1"/>
  <c r="H13" i="81"/>
  <c r="AB13" i="81" s="1"/>
  <c r="F13" i="81"/>
  <c r="AA13" i="81" s="1"/>
  <c r="Q12" i="81"/>
  <c r="Z12" i="81" s="1"/>
  <c r="H12" i="81"/>
  <c r="AB12" i="81" s="1"/>
  <c r="Q11" i="81"/>
  <c r="Z11" i="81" s="1"/>
  <c r="J11" i="81"/>
  <c r="AC11" i="81" s="1"/>
  <c r="H11" i="81"/>
  <c r="AB11" i="81" s="1"/>
  <c r="F11" i="81"/>
  <c r="AA11" i="81" s="1"/>
  <c r="Q10" i="81"/>
  <c r="Z10" i="81" s="1"/>
  <c r="J10" i="81"/>
  <c r="AC10" i="81" s="1"/>
  <c r="H10" i="81"/>
  <c r="AB10" i="81" s="1"/>
  <c r="F10" i="81"/>
  <c r="AA10" i="81" s="1"/>
  <c r="AC9" i="81"/>
  <c r="Q9" i="81"/>
  <c r="Z9" i="81" s="1"/>
  <c r="J9" i="81"/>
  <c r="W9" i="81" s="1"/>
  <c r="H9" i="81"/>
  <c r="AB9" i="81" s="1"/>
  <c r="F9" i="81"/>
  <c r="AA9" i="81" s="1"/>
  <c r="J8" i="81"/>
  <c r="AC8" i="81" s="1"/>
  <c r="H8" i="81"/>
  <c r="U8" i="81" s="1"/>
  <c r="F8" i="81"/>
  <c r="AA8" i="81" s="1"/>
  <c r="B2" i="81"/>
  <c r="I3" i="80"/>
  <c r="N6" i="1"/>
  <c r="C37" i="34" s="1"/>
  <c r="F19" i="6"/>
  <c r="C34" i="34" s="1"/>
  <c r="C36" i="80"/>
  <c r="E28" i="80"/>
  <c r="E25" i="80"/>
  <c r="E24" i="80"/>
  <c r="C22" i="80"/>
  <c r="I20" i="80"/>
  <c r="F19" i="80"/>
  <c r="I17" i="80"/>
  <c r="F16" i="80"/>
  <c r="H15" i="80"/>
  <c r="C21" i="80" s="1"/>
  <c r="E19" i="80" s="1"/>
  <c r="E15" i="80"/>
  <c r="C15" i="80"/>
  <c r="H14" i="80"/>
  <c r="H12" i="80"/>
  <c r="I11" i="80"/>
  <c r="M10" i="80"/>
  <c r="H10" i="80"/>
  <c r="P9" i="80"/>
  <c r="O10" i="80" s="1"/>
  <c r="H9" i="80"/>
  <c r="I8" i="80"/>
  <c r="C8" i="80"/>
  <c r="C10" i="80" s="1"/>
  <c r="D2" i="81"/>
  <c r="D33" i="43" l="1"/>
  <c r="I7" i="80"/>
  <c r="S8" i="81"/>
  <c r="AB27" i="81"/>
  <c r="AA30" i="81"/>
  <c r="AB31" i="81"/>
  <c r="W34" i="81"/>
  <c r="U37" i="81"/>
  <c r="W38" i="81"/>
  <c r="W42" i="81"/>
  <c r="C11" i="80"/>
  <c r="H38" i="80"/>
  <c r="W8" i="81"/>
  <c r="I5" i="80"/>
  <c r="AB8" i="81"/>
  <c r="S25" i="81"/>
  <c r="S9" i="81"/>
  <c r="U10" i="81"/>
  <c r="W11" i="81"/>
  <c r="S13" i="81"/>
  <c r="U14" i="81"/>
  <c r="U15" i="81"/>
  <c r="U17" i="81"/>
  <c r="U19" i="81"/>
  <c r="U21" i="81"/>
  <c r="U23" i="81"/>
  <c r="W25" i="81"/>
  <c r="W28" i="81"/>
  <c r="W30" i="81"/>
  <c r="W32" i="81"/>
  <c r="S34" i="81"/>
  <c r="U35" i="81"/>
  <c r="W36" i="81"/>
  <c r="S38" i="81"/>
  <c r="U39" i="81"/>
  <c r="W40" i="81"/>
  <c r="S42" i="81"/>
  <c r="U43" i="81"/>
  <c r="W44" i="81"/>
  <c r="U46" i="81"/>
  <c r="AB28" i="81"/>
  <c r="U28" i="81"/>
  <c r="AB30" i="81"/>
  <c r="U30" i="81"/>
  <c r="AB32" i="81"/>
  <c r="U32" i="81"/>
  <c r="S11" i="81"/>
  <c r="U12" i="81"/>
  <c r="S36" i="81"/>
  <c r="S40" i="81"/>
  <c r="S44" i="81"/>
  <c r="U45" i="81"/>
  <c r="J12" i="81"/>
  <c r="F12" i="81"/>
  <c r="J14" i="81"/>
  <c r="F14" i="81"/>
  <c r="J46" i="81"/>
  <c r="F46" i="81"/>
  <c r="U9" i="81"/>
  <c r="S10" i="81"/>
  <c r="W10" i="81"/>
  <c r="U11" i="81"/>
  <c r="U13" i="81"/>
  <c r="S15" i="81"/>
  <c r="W15" i="81"/>
  <c r="S17" i="81"/>
  <c r="W17" i="81"/>
  <c r="S19" i="81"/>
  <c r="W19" i="81"/>
  <c r="S21" i="81"/>
  <c r="W21" i="81"/>
  <c r="S23" i="81"/>
  <c r="W23" i="81"/>
  <c r="U25" i="81"/>
  <c r="S27" i="81"/>
  <c r="W27" i="81"/>
  <c r="S29" i="81"/>
  <c r="W29" i="81"/>
  <c r="S31" i="81"/>
  <c r="W31" i="81"/>
  <c r="S33" i="81"/>
  <c r="W33" i="81"/>
  <c r="U34" i="81"/>
  <c r="S35" i="81"/>
  <c r="W35" i="81"/>
  <c r="U36" i="81"/>
  <c r="S37" i="81"/>
  <c r="W37" i="81"/>
  <c r="U38" i="81"/>
  <c r="S39" i="81"/>
  <c r="W39" i="81"/>
  <c r="U40" i="81"/>
  <c r="S41" i="81"/>
  <c r="W41" i="81"/>
  <c r="U42" i="81"/>
  <c r="S43" i="81"/>
  <c r="W43" i="81"/>
  <c r="U44" i="81"/>
  <c r="S45" i="81"/>
  <c r="W45" i="81"/>
  <c r="S47" i="81"/>
  <c r="U47" i="81"/>
  <c r="C12" i="80"/>
  <c r="C9" i="80"/>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AA14" i="81" l="1"/>
  <c r="S14" i="81"/>
  <c r="AC46" i="81"/>
  <c r="W46" i="81"/>
  <c r="AC14" i="81"/>
  <c r="W14" i="81"/>
  <c r="AC12" i="81"/>
  <c r="W12" i="81"/>
  <c r="AA46" i="81"/>
  <c r="S46" i="81"/>
  <c r="AA12" i="81"/>
  <c r="S12" i="81"/>
  <c r="C13" i="80"/>
  <c r="C14" i="80" s="1"/>
  <c r="P28" i="79"/>
  <c r="P26" i="79"/>
  <c r="C20" i="80" l="1"/>
  <c r="C19" i="80" s="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P9" i="79"/>
  <c r="T7" i="79"/>
  <c r="W7" i="79" s="1"/>
  <c r="T8" i="79"/>
  <c r="W8" i="79" s="1"/>
  <c r="T6" i="79"/>
  <c r="W6" i="79" s="1"/>
  <c r="V9" i="79"/>
  <c r="V8" i="79"/>
  <c r="V7" i="79"/>
  <c r="V6" i="79"/>
  <c r="T26" i="79"/>
  <c r="W26" i="79" s="1"/>
  <c r="T28" i="79"/>
  <c r="W28" i="79" s="1"/>
  <c r="T27" i="79"/>
  <c r="W27" i="79" s="1"/>
  <c r="R6" i="79"/>
  <c r="R7" i="79"/>
  <c r="R8" i="79"/>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c r="C43" i="71" s="1"/>
  <c r="D43" i="71" s="1"/>
  <c r="N41" i="71"/>
  <c r="B42" i="71"/>
  <c r="B43" i="71" s="1"/>
  <c r="B44" i="71" s="1"/>
  <c r="S44" i="71" s="1"/>
  <c r="D41" i="71"/>
  <c r="Q40" i="71"/>
  <c r="P40" i="71"/>
  <c r="O40" i="71"/>
  <c r="N40" i="71"/>
  <c r="Q39" i="71"/>
  <c r="P39" i="71"/>
  <c r="AA39" i="71"/>
  <c r="O39" i="71"/>
  <c r="Y39" i="71"/>
  <c r="Z39" i="71" s="1"/>
  <c r="N39" i="71"/>
  <c r="Q38" i="71"/>
  <c r="P38" i="71"/>
  <c r="O38" i="71"/>
  <c r="Y38" i="71" s="1"/>
  <c r="Z38" i="71" s="1"/>
  <c r="N38" i="71"/>
  <c r="Q37" i="71"/>
  <c r="F38" i="71" s="1"/>
  <c r="P37" i="71"/>
  <c r="O37" i="71"/>
  <c r="N37" i="71"/>
  <c r="D37" i="71"/>
  <c r="Q36" i="71"/>
  <c r="AB36" i="71" s="1"/>
  <c r="P36" i="71"/>
  <c r="O36" i="71"/>
  <c r="Y36" i="71" s="1"/>
  <c r="Z36" i="71" s="1"/>
  <c r="N36" i="71"/>
  <c r="Q35" i="71"/>
  <c r="AB35" i="71"/>
  <c r="P35" i="71"/>
  <c r="O35" i="71"/>
  <c r="N35" i="71"/>
  <c r="Q34" i="71"/>
  <c r="P34" i="71"/>
  <c r="O34" i="71"/>
  <c r="Y34" i="71" s="1"/>
  <c r="Z34" i="71" s="1"/>
  <c r="N34" i="71"/>
  <c r="X34" i="71" s="1"/>
  <c r="Q33" i="71"/>
  <c r="F34" i="71" s="1"/>
  <c r="P33" i="71"/>
  <c r="E34" i="71" s="1"/>
  <c r="E35" i="71" s="1"/>
  <c r="E36" i="71" s="1"/>
  <c r="U36" i="71" s="1"/>
  <c r="O33" i="71"/>
  <c r="N33" i="71"/>
  <c r="X33" i="71" s="1"/>
  <c r="D33" i="71"/>
  <c r="Q32" i="71"/>
  <c r="P32" i="71"/>
  <c r="O32" i="71"/>
  <c r="Y32" i="71" s="1"/>
  <c r="Z32" i="71" s="1"/>
  <c r="N32" i="71"/>
  <c r="Q31" i="71"/>
  <c r="P31" i="71"/>
  <c r="O31" i="71"/>
  <c r="N31" i="71"/>
  <c r="Q30" i="71"/>
  <c r="P30" i="71"/>
  <c r="O30" i="71"/>
  <c r="Y30" i="71"/>
  <c r="Z30" i="71" s="1"/>
  <c r="N30" i="71"/>
  <c r="F31" i="71"/>
  <c r="F32" i="71" s="1"/>
  <c r="V32" i="71" s="1"/>
  <c r="Q29" i="71"/>
  <c r="F30" i="71" s="1"/>
  <c r="P29" i="71"/>
  <c r="O29" i="71"/>
  <c r="N29" i="71"/>
  <c r="D29" i="71"/>
  <c r="O28" i="71"/>
  <c r="C28" i="71" s="1"/>
  <c r="T28" i="71" s="1"/>
  <c r="N28" i="71"/>
  <c r="B30" i="71"/>
  <c r="B31" i="71" s="1"/>
  <c r="B32" i="71" s="1"/>
  <c r="S32" i="71" s="1"/>
  <c r="B34" i="71"/>
  <c r="E38" i="71"/>
  <c r="C30" i="71"/>
  <c r="D30" i="71" s="1"/>
  <c r="AA30" i="71"/>
  <c r="C34" i="71"/>
  <c r="C35" i="71"/>
  <c r="D35" i="71" s="1"/>
  <c r="X36" i="71"/>
  <c r="C38" i="71"/>
  <c r="D38" i="71" s="1"/>
  <c r="Y37" i="71"/>
  <c r="Z37" i="71" s="1"/>
  <c r="X38" i="71"/>
  <c r="V52" i="71"/>
  <c r="Y26" i="71"/>
  <c r="Z26" i="71" s="1"/>
  <c r="B28" i="71"/>
  <c r="B27" i="71" s="1"/>
  <c r="B26" i="71" s="1"/>
  <c r="C31" i="71"/>
  <c r="C32" i="71" s="1"/>
  <c r="T32" i="71" s="1"/>
  <c r="D34" i="71"/>
  <c r="C39" i="71"/>
  <c r="D39" i="71" s="1"/>
  <c r="D42" i="71"/>
  <c r="P28" i="71"/>
  <c r="E55" i="71"/>
  <c r="E56" i="71" s="1"/>
  <c r="U56" i="71" s="1"/>
  <c r="E63" i="71"/>
  <c r="E64" i="71" s="1"/>
  <c r="U64" i="71" s="1"/>
  <c r="Q65" i="71"/>
  <c r="U68" i="71"/>
  <c r="E67" i="71"/>
  <c r="E66" i="71" s="1"/>
  <c r="P66" i="71" s="1"/>
  <c r="Q28" i="71"/>
  <c r="C55" i="71"/>
  <c r="D55" i="71" s="1"/>
  <c r="D54" i="71"/>
  <c r="C63" i="71"/>
  <c r="C64" i="71" s="1"/>
  <c r="T64" i="71" s="1"/>
  <c r="Q67" i="71"/>
  <c r="T68" i="71"/>
  <c r="O68" i="71"/>
  <c r="D68" i="71"/>
  <c r="C67" i="71"/>
  <c r="O67" i="71" s="1"/>
  <c r="Q68" i="71"/>
  <c r="C71" i="71"/>
  <c r="D71" i="71" s="1"/>
  <c r="E71" i="71"/>
  <c r="E70" i="71" s="1"/>
  <c r="C75" i="71"/>
  <c r="C74" i="71" s="1"/>
  <c r="E75" i="71"/>
  <c r="E74" i="71"/>
  <c r="D76" i="71"/>
  <c r="C79" i="71"/>
  <c r="C78" i="71" s="1"/>
  <c r="D78" i="71" s="1"/>
  <c r="E79" i="71"/>
  <c r="E78" i="71"/>
  <c r="C83" i="71"/>
  <c r="D83" i="71" s="1"/>
  <c r="C87" i="71"/>
  <c r="D87" i="71" s="1"/>
  <c r="C27" i="71"/>
  <c r="C26" i="71" s="1"/>
  <c r="D26" i="71" s="1"/>
  <c r="F28" i="71"/>
  <c r="F27" i="71" s="1"/>
  <c r="F26" i="71" s="1"/>
  <c r="AB25" i="71"/>
  <c r="E28" i="71"/>
  <c r="AA25" i="71"/>
  <c r="C66" i="71"/>
  <c r="D66" i="71" s="1"/>
  <c r="D67" i="71"/>
  <c r="D63" i="71"/>
  <c r="C82" i="71"/>
  <c r="D82" i="71" s="1"/>
  <c r="D74" i="71"/>
  <c r="C86" i="71"/>
  <c r="D86" i="71" s="1"/>
  <c r="C70" i="71"/>
  <c r="D70" i="71" s="1"/>
  <c r="C56" i="71"/>
  <c r="T56" i="71" s="1"/>
  <c r="C40" i="71"/>
  <c r="T40" i="71" s="1"/>
  <c r="C36" i="71"/>
  <c r="T36" i="71" s="1"/>
  <c r="D31" i="71"/>
  <c r="D27" i="71"/>
  <c r="O66" i="71"/>
  <c r="D3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B88" i="43" s="1"/>
  <c r="C22" i="20"/>
  <c r="B57" i="43" s="1"/>
  <c r="S25" i="40"/>
  <c r="U18" i="36"/>
  <c r="H25" i="40"/>
  <c r="J25" i="40"/>
  <c r="AC25" i="40" s="1"/>
  <c r="H29" i="39"/>
  <c r="AB29" i="39" s="1"/>
  <c r="J29" i="39"/>
  <c r="AC29" i="39" s="1"/>
  <c r="J18" i="36"/>
  <c r="H18" i="35"/>
  <c r="AB18" i="35" s="1"/>
  <c r="J18" i="35"/>
  <c r="W18" i="35" s="1"/>
  <c r="H21" i="37"/>
  <c r="U21" i="37" s="1"/>
  <c r="F21" i="37"/>
  <c r="S21" i="37" s="1"/>
  <c r="H21" i="34"/>
  <c r="U21" i="34" s="1"/>
  <c r="H21" i="33"/>
  <c r="F21" i="33"/>
  <c r="S21" i="33" s="1"/>
  <c r="H1" i="69"/>
  <c r="W25" i="40"/>
  <c r="AB25" i="40"/>
  <c r="U25" i="40"/>
  <c r="U29" i="39"/>
  <c r="W29" i="39"/>
  <c r="AC18" i="36"/>
  <c r="W18" i="36"/>
  <c r="AB21" i="37"/>
  <c r="AA21" i="37"/>
  <c r="AB21" i="34"/>
  <c r="U21" i="33"/>
  <c r="AB21" i="33"/>
  <c r="AA21" i="33"/>
  <c r="U18" i="35"/>
  <c r="G77" i="37"/>
  <c r="J21" i="37"/>
  <c r="J21" i="34"/>
  <c r="AC21" i="34" s="1"/>
  <c r="J21" i="33"/>
  <c r="W21" i="33" s="1"/>
  <c r="H21" i="21"/>
  <c r="F38" i="69"/>
  <c r="E37" i="69"/>
  <c r="F36" i="69"/>
  <c r="F35" i="69"/>
  <c r="F21" i="69"/>
  <c r="F20" i="69"/>
  <c r="F39" i="69" s="1"/>
  <c r="E10" i="69"/>
  <c r="E9" i="69"/>
  <c r="AC21" i="37"/>
  <c r="W21" i="37"/>
  <c r="AC21" i="33"/>
  <c r="AB21" i="21"/>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E15" i="4"/>
  <c r="F8" i="1" s="1"/>
  <c r="G8" i="1" s="1"/>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AZ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s="1"/>
  <c r="F92" i="40" s="1"/>
  <c r="G92" i="40" s="1"/>
  <c r="D90" i="40"/>
  <c r="E90" i="40" s="1"/>
  <c r="F90" i="40" s="1"/>
  <c r="G90" i="40" s="1"/>
  <c r="D88" i="40"/>
  <c r="E88" i="40"/>
  <c r="F88" i="40" s="1"/>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G73" i="37" s="1"/>
  <c r="D71" i="37"/>
  <c r="H15" i="37"/>
  <c r="AB15" i="37" s="1"/>
  <c r="B68" i="37"/>
  <c r="H14" i="37" s="1"/>
  <c r="AB14" i="37" s="1"/>
  <c r="B66" i="37"/>
  <c r="B64" i="37"/>
  <c r="H12" i="37" s="1"/>
  <c r="AB12" i="37" s="1"/>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AB11" i="35" s="1"/>
  <c r="B61" i="35"/>
  <c r="B59" i="35"/>
  <c r="H12" i="35" s="1"/>
  <c r="U12" i="35" s="1"/>
  <c r="B131" i="34"/>
  <c r="B129" i="34"/>
  <c r="H46" i="34" s="1"/>
  <c r="B127" i="34"/>
  <c r="B99" i="34"/>
  <c r="H32" i="34" s="1"/>
  <c r="AB32" i="34" s="1"/>
  <c r="B97" i="34"/>
  <c r="B95" i="34"/>
  <c r="F30" i="34" s="1"/>
  <c r="S30" i="34" s="1"/>
  <c r="B93" i="34"/>
  <c r="B75" i="34"/>
  <c r="J14" i="34" s="1"/>
  <c r="W14" i="34" s="1"/>
  <c r="B73" i="34"/>
  <c r="B71" i="34"/>
  <c r="H12" i="34" s="1"/>
  <c r="AB12" i="34" s="1"/>
  <c r="B130" i="33"/>
  <c r="B128" i="33"/>
  <c r="H45" i="33" s="1"/>
  <c r="B126" i="33"/>
  <c r="B98" i="33"/>
  <c r="J31" i="33" s="1"/>
  <c r="B96" i="33"/>
  <c r="B94" i="33"/>
  <c r="J29" i="33" s="1"/>
  <c r="B74" i="33"/>
  <c r="B72" i="33"/>
  <c r="J13" i="33" s="1"/>
  <c r="W13" i="33" s="1"/>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D70" i="34"/>
  <c r="E70" i="34"/>
  <c r="F70" i="34" s="1"/>
  <c r="M68" i="34"/>
  <c r="L68" i="34"/>
  <c r="K68" i="34"/>
  <c r="J68" i="34"/>
  <c r="I68" i="34"/>
  <c r="H68" i="34"/>
  <c r="G68" i="34"/>
  <c r="F68" i="34"/>
  <c r="E68" i="34"/>
  <c r="D68" i="34"/>
  <c r="C68" i="34"/>
  <c r="C64" i="34"/>
  <c r="H9" i="34" s="1"/>
  <c r="U9" i="34" s="1"/>
  <c r="P50" i="34"/>
  <c r="P49" i="34"/>
  <c r="V48" i="34"/>
  <c r="T48" i="34"/>
  <c r="R48" i="34"/>
  <c r="P48" i="34"/>
  <c r="Q47" i="34"/>
  <c r="Z47" i="34"/>
  <c r="Q46" i="34"/>
  <c r="Z46" i="34"/>
  <c r="Q45" i="34"/>
  <c r="Z45" i="34"/>
  <c r="Q44" i="34"/>
  <c r="Z44" i="34"/>
  <c r="Q43" i="34"/>
  <c r="Z43" i="34"/>
  <c r="Q42" i="34"/>
  <c r="Z42" i="34"/>
  <c r="Q41" i="34"/>
  <c r="Z41" i="34"/>
  <c r="Q40" i="34"/>
  <c r="Z40" i="34"/>
  <c r="Q39" i="34"/>
  <c r="Z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S8" i="34" s="1"/>
  <c r="D121" i="33"/>
  <c r="E121" i="33" s="1"/>
  <c r="F109" i="33"/>
  <c r="E109" i="33"/>
  <c r="D109" i="33"/>
  <c r="C109" i="33"/>
  <c r="D91" i="33"/>
  <c r="E91" i="33" s="1"/>
  <c r="F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AA27" i="33" s="1"/>
  <c r="D87" i="33"/>
  <c r="E87" i="33"/>
  <c r="F87" i="33" s="1"/>
  <c r="D85" i="33"/>
  <c r="E85" i="33"/>
  <c r="F85" i="33" s="1"/>
  <c r="G85" i="33" s="1"/>
  <c r="D81" i="33"/>
  <c r="E81" i="33"/>
  <c r="F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B130" i="21"/>
  <c r="B128" i="21"/>
  <c r="J45" i="21" s="1"/>
  <c r="B126" i="21"/>
  <c r="B98" i="21"/>
  <c r="H31" i="21" s="1"/>
  <c r="U31" i="21" s="1"/>
  <c r="B96" i="21"/>
  <c r="H30" i="21" s="1"/>
  <c r="B94" i="21"/>
  <c r="J29" i="21"/>
  <c r="AC29" i="21" s="1"/>
  <c r="B92" i="21"/>
  <c r="H28" i="21" s="1"/>
  <c r="AB28" i="21" s="1"/>
  <c r="B90" i="21"/>
  <c r="J27" i="21" s="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J44" i="39"/>
  <c r="AC44" i="39"/>
  <c r="F36" i="39"/>
  <c r="S36" i="39"/>
  <c r="H36" i="39"/>
  <c r="AB36" i="39"/>
  <c r="J35" i="39"/>
  <c r="AC35" i="39"/>
  <c r="F35" i="39"/>
  <c r="AA35" i="39"/>
  <c r="J36" i="39"/>
  <c r="AC36"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1" i="35"/>
  <c r="F36" i="34"/>
  <c r="S36" i="34" s="1"/>
  <c r="J35" i="34"/>
  <c r="H39" i="33"/>
  <c r="AB39" i="33" s="1"/>
  <c r="F26" i="33"/>
  <c r="AA26" i="33" s="1"/>
  <c r="U33" i="33"/>
  <c r="S40" i="33"/>
  <c r="W39" i="33"/>
  <c r="H39" i="37"/>
  <c r="AB39" i="37"/>
  <c r="S27" i="35"/>
  <c r="F11" i="40"/>
  <c r="AA11" i="40" s="1"/>
  <c r="H11" i="40"/>
  <c r="AB11" i="40" s="1"/>
  <c r="W8" i="40"/>
  <c r="AB39" i="40"/>
  <c r="AC40" i="40"/>
  <c r="AA9" i="40"/>
  <c r="AC9" i="40"/>
  <c r="S34" i="40"/>
  <c r="S40" i="40"/>
  <c r="W31" i="40"/>
  <c r="U34" i="40"/>
  <c r="S38" i="40"/>
  <c r="F42" i="39"/>
  <c r="AA42" i="39" s="1"/>
  <c r="F41" i="39"/>
  <c r="S41" i="39" s="1"/>
  <c r="H40" i="39"/>
  <c r="AB40" i="39" s="1"/>
  <c r="H39" i="39"/>
  <c r="U39" i="39" s="1"/>
  <c r="S38" i="39"/>
  <c r="S34" i="39"/>
  <c r="H34" i="39"/>
  <c r="U34" i="39" s="1"/>
  <c r="E108"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E114" i="34"/>
  <c r="F114" i="34" s="1"/>
  <c r="G114" i="34" s="1"/>
  <c r="H114" i="34" s="1"/>
  <c r="I114" i="34" s="1"/>
  <c r="J114" i="34" s="1"/>
  <c r="K114" i="34" s="1"/>
  <c r="L114" i="34" s="1"/>
  <c r="M114" i="34" s="1"/>
  <c r="H36" i="34"/>
  <c r="U36" i="34" s="1"/>
  <c r="S35" i="34"/>
  <c r="F27" i="34"/>
  <c r="AA27" i="34" s="1"/>
  <c r="F25" i="34"/>
  <c r="S25" i="34" s="1"/>
  <c r="H23" i="34"/>
  <c r="U23" i="34" s="1"/>
  <c r="J23" i="34"/>
  <c r="F19" i="34"/>
  <c r="S19" i="34" s="1"/>
  <c r="H17" i="34"/>
  <c r="U17" i="34" s="1"/>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H38" i="34"/>
  <c r="AB38" i="34" s="1"/>
  <c r="J36" i="34"/>
  <c r="W36"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11" i="33"/>
  <c r="W11" i="33" s="1"/>
  <c r="U23" i="40"/>
  <c r="J42" i="21"/>
  <c r="AC42" i="21" s="1"/>
  <c r="H42" i="21"/>
  <c r="U42" i="21" s="1"/>
  <c r="J10" i="35"/>
  <c r="AC10" i="35" s="1"/>
  <c r="BL587" i="3"/>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H13" i="33"/>
  <c r="U13" i="33" s="1"/>
  <c r="F31" i="33"/>
  <c r="S31" i="33" s="1"/>
  <c r="H30" i="34"/>
  <c r="AB30" i="34" s="1"/>
  <c r="F32" i="34"/>
  <c r="AA32" i="34" s="1"/>
  <c r="J46" i="34"/>
  <c r="AC46" i="34" s="1"/>
  <c r="J11" i="35"/>
  <c r="W11" i="35" s="1"/>
  <c r="F11" i="35"/>
  <c r="S11" i="35" s="1"/>
  <c r="J26" i="36"/>
  <c r="W26" i="36"/>
  <c r="H28" i="36"/>
  <c r="U28" i="36" s="1"/>
  <c r="H32" i="36"/>
  <c r="AB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H36" i="37"/>
  <c r="AB36" i="37" s="1"/>
  <c r="F107" i="37"/>
  <c r="J37" i="37"/>
  <c r="AC37" i="37"/>
  <c r="H37" i="37"/>
  <c r="U37" i="37"/>
  <c r="H14" i="33"/>
  <c r="U14" i="33" s="1"/>
  <c r="F14" i="33"/>
  <c r="S14" i="33" s="1"/>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s="1"/>
  <c r="F13" i="37"/>
  <c r="S13" i="37" s="1"/>
  <c r="J13" i="37"/>
  <c r="W13" i="37" s="1"/>
  <c r="F28" i="37"/>
  <c r="AA28" i="37" s="1"/>
  <c r="J28" i="37"/>
  <c r="AC28" i="37" s="1"/>
  <c r="H28" i="37"/>
  <c r="U28" i="37" s="1"/>
  <c r="H38" i="37"/>
  <c r="AB38" i="37" s="1"/>
  <c r="J38" i="37"/>
  <c r="AC38" i="37" s="1"/>
  <c r="F38" i="37"/>
  <c r="S38" i="37"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s="1"/>
  <c r="J14" i="40"/>
  <c r="W14" i="40" s="1"/>
  <c r="F14" i="40"/>
  <c r="AA14" i="40" s="1"/>
  <c r="J14" i="37"/>
  <c r="AC14" i="37" s="1"/>
  <c r="AA44" i="33"/>
  <c r="AA13" i="35"/>
  <c r="U31" i="34"/>
  <c r="U46" i="33"/>
  <c r="AA14" i="33"/>
  <c r="J36" i="37"/>
  <c r="AC36" i="37" s="1"/>
  <c r="J10" i="36"/>
  <c r="AC10" i="36" s="1"/>
  <c r="AA14" i="37"/>
  <c r="W31" i="34"/>
  <c r="AC13" i="36"/>
  <c r="S11" i="36"/>
  <c r="BA585" i="3"/>
  <c r="F17" i="21"/>
  <c r="AA17" i="21" s="1"/>
  <c r="H17" i="21"/>
  <c r="AB17" i="21" s="1"/>
  <c r="F15" i="21"/>
  <c r="S15" i="21" s="1"/>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BA520" i="3"/>
  <c r="BA512" i="3"/>
  <c r="BA510" i="3"/>
  <c r="BA508" i="3"/>
  <c r="AZ508" i="3" s="1"/>
  <c r="BA504" i="3"/>
  <c r="BA502" i="3"/>
  <c r="BA498" i="3"/>
  <c r="AZ498" i="3" s="1"/>
  <c r="BA496" i="3"/>
  <c r="BA587" i="3"/>
  <c r="AZ587" i="3" s="1"/>
  <c r="BA583" i="3"/>
  <c r="BA577" i="3"/>
  <c r="BA573" i="3"/>
  <c r="BA571" i="3"/>
  <c r="BA569" i="3"/>
  <c r="BA567" i="3"/>
  <c r="BA565" i="3"/>
  <c r="BA561" i="3"/>
  <c r="BA555" i="3"/>
  <c r="BA553" i="3"/>
  <c r="BA549" i="3"/>
  <c r="BA547" i="3"/>
  <c r="BA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AZ571" i="3" s="1"/>
  <c r="BQ569" i="3"/>
  <c r="BL569" i="3" s="1"/>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BQ543" i="3"/>
  <c r="BL543" i="3" s="1"/>
  <c r="AZ543" i="3" s="1"/>
  <c r="BQ541" i="3"/>
  <c r="BQ539" i="3"/>
  <c r="BL539" i="3"/>
  <c r="BQ537" i="3"/>
  <c r="BQ535" i="3"/>
  <c r="BL535" i="3" s="1"/>
  <c r="BQ533" i="3"/>
  <c r="BQ531" i="3"/>
  <c r="BL531" i="3"/>
  <c r="BQ529" i="3"/>
  <c r="BQ527" i="3"/>
  <c r="BL527" i="3" s="1"/>
  <c r="BQ525" i="3"/>
  <c r="BQ523" i="3"/>
  <c r="BL523" i="3"/>
  <c r="BA521" i="3"/>
  <c r="AC521" i="3"/>
  <c r="BQ521" i="3"/>
  <c r="BL520" i="3"/>
  <c r="G519" i="3"/>
  <c r="G515" i="3"/>
  <c r="G511" i="3"/>
  <c r="BQ519" i="3"/>
  <c r="BL519" i="3" s="1"/>
  <c r="BQ517" i="3"/>
  <c r="BQ515" i="3"/>
  <c r="BL515" i="3"/>
  <c r="BQ513" i="3"/>
  <c r="BQ511" i="3"/>
  <c r="BL511" i="3" s="1"/>
  <c r="BA509" i="3"/>
  <c r="AC509" i="3"/>
  <c r="BQ509" i="3"/>
  <c r="BL508" i="3"/>
  <c r="G507" i="3"/>
  <c r="G503" i="3"/>
  <c r="G499" i="3"/>
  <c r="G495" i="3"/>
  <c r="BQ507" i="3"/>
  <c r="BL507" i="3" s="1"/>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H43" i="33"/>
  <c r="AB43" i="33" s="1"/>
  <c r="H17" i="37"/>
  <c r="U17" i="37" s="1"/>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AB28" i="37"/>
  <c r="U33" i="37"/>
  <c r="U39" i="37"/>
  <c r="W26" i="37"/>
  <c r="W47" i="34"/>
  <c r="AB13" i="34"/>
  <c r="W44" i="33"/>
  <c r="U11" i="33"/>
  <c r="U19" i="21"/>
  <c r="W44" i="21"/>
  <c r="U26" i="21"/>
  <c r="AC46" i="21"/>
  <c r="U12" i="21"/>
  <c r="AB38" i="21"/>
  <c r="F43" i="33"/>
  <c r="AA43" i="33" s="1"/>
  <c r="W16" i="35"/>
  <c r="G107" i="37"/>
  <c r="H107" i="37" s="1"/>
  <c r="I107" i="37" s="1"/>
  <c r="J107" i="37" s="1"/>
  <c r="K107" i="37" s="1"/>
  <c r="L107" i="37" s="1"/>
  <c r="M107" i="37" s="1"/>
  <c r="H37" i="21"/>
  <c r="U37" i="21" s="1"/>
  <c r="S42" i="21"/>
  <c r="H19" i="34"/>
  <c r="AB19" i="34" s="1"/>
  <c r="F36" i="35"/>
  <c r="S36" i="35" s="1"/>
  <c r="H9" i="37"/>
  <c r="U9" i="37" s="1"/>
  <c r="J12" i="37"/>
  <c r="F12" i="37"/>
  <c r="S12" i="37" s="1"/>
  <c r="E71" i="37"/>
  <c r="F15" i="37"/>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AA25" i="21"/>
  <c r="H19" i="40"/>
  <c r="U19" i="40"/>
  <c r="G88" i="40"/>
  <c r="F19" i="40"/>
  <c r="S19" i="40" s="1"/>
  <c r="S14" i="40"/>
  <c r="AC13" i="40"/>
  <c r="W23" i="39"/>
  <c r="W43" i="39"/>
  <c r="AB45" i="39"/>
  <c r="AB44" i="39"/>
  <c r="U44"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4" i="3"/>
  <c r="AZ28" i="3"/>
  <c r="BL549" i="3"/>
  <c r="AZ546" i="3"/>
  <c r="G546" i="3"/>
  <c r="G524" i="3"/>
  <c r="G303" i="3"/>
  <c r="BL304" i="3"/>
  <c r="G305" i="3"/>
  <c r="BL306" i="3"/>
  <c r="BA308" i="3"/>
  <c r="AZ308" i="3"/>
  <c r="BA309" i="3"/>
  <c r="BL309" i="3"/>
  <c r="AZ309" i="3" s="1"/>
  <c r="G310" i="3"/>
  <c r="BA311" i="3"/>
  <c r="AZ311" i="3" s="1"/>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AZ115" i="3" s="1"/>
  <c r="BL116" i="3"/>
  <c r="AZ116" i="3" s="1"/>
  <c r="G117" i="3"/>
  <c r="BA119" i="3"/>
  <c r="BL120" i="3"/>
  <c r="AZ120" i="3" s="1"/>
  <c r="G121" i="3"/>
  <c r="BA123" i="3"/>
  <c r="AZ123" i="3" s="1"/>
  <c r="BL124" i="3"/>
  <c r="AZ124" i="3" s="1"/>
  <c r="G125" i="3"/>
  <c r="BA127" i="3"/>
  <c r="AZ127" i="3" s="1"/>
  <c r="BL128" i="3"/>
  <c r="G129" i="3"/>
  <c r="BA131" i="3"/>
  <c r="AZ131" i="3" s="1"/>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s="1"/>
  <c r="G197" i="3"/>
  <c r="BA199" i="3"/>
  <c r="AZ199" i="3"/>
  <c r="BL200" i="3"/>
  <c r="G201" i="3"/>
  <c r="BA203" i="3"/>
  <c r="AZ203" i="3"/>
  <c r="BL204" i="3"/>
  <c r="AZ204" i="3"/>
  <c r="AZ39" i="3"/>
  <c r="AZ43" i="3"/>
  <c r="AZ47" i="3"/>
  <c r="AZ67" i="3"/>
  <c r="AZ71" i="3"/>
  <c r="AZ83" i="3"/>
  <c r="AZ136" i="3"/>
  <c r="AZ144" i="3"/>
  <c r="AZ160" i="3"/>
  <c r="AZ176" i="3"/>
  <c r="AZ192" i="3"/>
  <c r="AZ85" i="3"/>
  <c r="AZ93" i="3"/>
  <c r="AZ101" i="3"/>
  <c r="AZ105" i="3"/>
  <c r="AZ109" i="3"/>
  <c r="AZ128" i="3"/>
  <c r="G530" i="3"/>
  <c r="G516" i="3"/>
  <c r="G506" i="3"/>
  <c r="G494" i="3"/>
  <c r="G16" i="3"/>
  <c r="G15" i="3"/>
  <c r="BA304" i="3"/>
  <c r="AZ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BA364" i="3"/>
  <c r="BL364" i="3"/>
  <c r="G365" i="3"/>
  <c r="G368" i="3"/>
  <c r="BL369" i="3"/>
  <c r="BA371" i="3"/>
  <c r="BA372" i="3"/>
  <c r="AZ372" i="3"/>
  <c r="BL372" i="3"/>
  <c r="G373" i="3"/>
  <c r="G376" i="3"/>
  <c r="BL377" i="3"/>
  <c r="BL379" i="3"/>
  <c r="BA381" i="3"/>
  <c r="BA382" i="3"/>
  <c r="BL382" i="3"/>
  <c r="G383" i="3"/>
  <c r="G386" i="3"/>
  <c r="BL387" i="3"/>
  <c r="BA389" i="3"/>
  <c r="AZ389" i="3" s="1"/>
  <c r="BA390" i="3"/>
  <c r="BL390" i="3"/>
  <c r="G391" i="3"/>
  <c r="G394" i="3"/>
  <c r="AZ154" i="3"/>
  <c r="AZ170" i="3"/>
  <c r="AZ186" i="3"/>
  <c r="AZ202" i="3"/>
  <c r="AZ206" i="3"/>
  <c r="BA16" i="3"/>
  <c r="BL303" i="3"/>
  <c r="G304" i="3"/>
  <c r="BA306" i="3"/>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BL331" i="3"/>
  <c r="G332" i="3"/>
  <c r="BA334" i="3"/>
  <c r="BL335" i="3"/>
  <c r="G336" i="3"/>
  <c r="BA338" i="3"/>
  <c r="AZ338" i="3" s="1"/>
  <c r="BL339" i="3"/>
  <c r="G340" i="3"/>
  <c r="BL343" i="3"/>
  <c r="G344" i="3"/>
  <c r="G348" i="3"/>
  <c r="G355" i="3"/>
  <c r="AZ209" i="3"/>
  <c r="AZ218" i="3"/>
  <c r="G342" i="3"/>
  <c r="BL345" i="3"/>
  <c r="AZ345" i="3"/>
  <c r="G346" i="3"/>
  <c r="BL349" i="3"/>
  <c r="BL352" i="3"/>
  <c r="G353" i="3"/>
  <c r="BA357" i="3"/>
  <c r="AZ357" i="3"/>
  <c r="BL358" i="3"/>
  <c r="G359" i="3"/>
  <c r="BA361" i="3"/>
  <c r="AZ361" i="3" s="1"/>
  <c r="BL362" i="3"/>
  <c r="G363" i="3"/>
  <c r="BA365" i="3"/>
  <c r="AZ365" i="3" s="1"/>
  <c r="BL366" i="3"/>
  <c r="AZ366" i="3" s="1"/>
  <c r="G367" i="3"/>
  <c r="BA369" i="3"/>
  <c r="AZ369" i="3" s="1"/>
  <c r="BL370" i="3"/>
  <c r="G371" i="3"/>
  <c r="BA373" i="3"/>
  <c r="AZ373" i="3" s="1"/>
  <c r="BL374" i="3"/>
  <c r="G375" i="3"/>
  <c r="BA377" i="3"/>
  <c r="AZ233" i="3"/>
  <c r="AZ237" i="3"/>
  <c r="AZ249" i="3"/>
  <c r="AZ253" i="3"/>
  <c r="AZ269" i="3"/>
  <c r="AZ273" i="3"/>
  <c r="BA379" i="3"/>
  <c r="AZ379" i="3"/>
  <c r="BL380" i="3"/>
  <c r="G381" i="3"/>
  <c r="BA383" i="3"/>
  <c r="AZ383" i="3"/>
  <c r="BL384" i="3"/>
  <c r="G385" i="3"/>
  <c r="BA387" i="3"/>
  <c r="BL388" i="3"/>
  <c r="G389" i="3"/>
  <c r="BA391" i="3"/>
  <c r="AZ391" i="3" s="1"/>
  <c r="BL392" i="3"/>
  <c r="G393" i="3"/>
  <c r="AZ275" i="3"/>
  <c r="AZ287" i="3"/>
  <c r="AZ291" i="3"/>
  <c r="BM5" i="3"/>
  <c r="BH5" i="3"/>
  <c r="BD5" i="3"/>
  <c r="BQ5" i="3"/>
  <c r="AZ549" i="3"/>
  <c r="AZ496" i="3"/>
  <c r="G548" i="3"/>
  <c r="G538" i="3"/>
  <c r="G502" i="3"/>
  <c r="AZ343" i="3"/>
  <c r="BE5" i="3"/>
  <c r="G17" i="3"/>
  <c r="BA17" i="3"/>
  <c r="BT5" i="3"/>
  <c r="AZ360" i="3"/>
  <c r="AZ368" i="3"/>
  <c r="BA15" i="3"/>
  <c r="BR5" i="3"/>
  <c r="AZ384" i="3"/>
  <c r="AZ396" i="3"/>
  <c r="G509" i="3"/>
  <c r="BL493" i="3"/>
  <c r="AZ376" i="3"/>
  <c r="U36" i="40"/>
  <c r="F83" i="43"/>
  <c r="H85" i="43" s="1"/>
  <c r="F50" i="43"/>
  <c r="H54" i="43" s="1"/>
  <c r="F72" i="43"/>
  <c r="H75" i="43" s="1"/>
  <c r="U17" i="39"/>
  <c r="S14" i="35"/>
  <c r="U43" i="21"/>
  <c r="U35" i="21"/>
  <c r="AC35" i="21"/>
  <c r="G10" i="1"/>
  <c r="W37" i="37"/>
  <c r="U13" i="37"/>
  <c r="AA12" i="40"/>
  <c r="J37" i="33"/>
  <c r="W37" i="33"/>
  <c r="F106" i="33"/>
  <c r="G106" i="33" s="1"/>
  <c r="H106" i="33"/>
  <c r="I106" i="33" s="1"/>
  <c r="J106" i="33" s="1"/>
  <c r="K106" i="33" s="1"/>
  <c r="L106" i="33" s="1"/>
  <c r="M106" i="33" s="1"/>
  <c r="J34" i="33"/>
  <c r="F33" i="34"/>
  <c r="S33" i="34" s="1"/>
  <c r="H20" i="36"/>
  <c r="J20" i="36"/>
  <c r="W20" i="36" s="1"/>
  <c r="W24" i="36"/>
  <c r="J27" i="36"/>
  <c r="W27" i="36" s="1"/>
  <c r="AB25" i="37"/>
  <c r="AC33" i="40"/>
  <c r="F111" i="40"/>
  <c r="G111" i="40" s="1"/>
  <c r="H111" i="40"/>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U27" i="40"/>
  <c r="J30" i="40"/>
  <c r="AC30" i="40"/>
  <c r="F30" i="40"/>
  <c r="AA30" i="40"/>
  <c r="S31" i="39"/>
  <c r="E98" i="40"/>
  <c r="F98" i="40" s="1"/>
  <c r="G98" i="40" s="1"/>
  <c r="H98" i="40" s="1"/>
  <c r="I98" i="40" s="1"/>
  <c r="J98" i="40" s="1"/>
  <c r="K98" i="40" s="1"/>
  <c r="L98" i="40" s="1"/>
  <c r="M98" i="40" s="1"/>
  <c r="F10" i="33"/>
  <c r="S10" i="33" s="1"/>
  <c r="F34" i="33"/>
  <c r="S34" i="33" s="1"/>
  <c r="H34" i="33"/>
  <c r="U34" i="33" s="1"/>
  <c r="F35" i="33"/>
  <c r="J39" i="34"/>
  <c r="AC38" i="39"/>
  <c r="F39" i="39"/>
  <c r="S39" i="39" s="1"/>
  <c r="J39" i="39"/>
  <c r="AC39" i="39" s="1"/>
  <c r="AZ353" i="3"/>
  <c r="AZ386" i="3"/>
  <c r="C40" i="11"/>
  <c r="AZ223" i="3"/>
  <c r="AZ232" i="3"/>
  <c r="AZ235" i="3"/>
  <c r="AZ248" i="3"/>
  <c r="AZ251" i="3"/>
  <c r="AZ271" i="3"/>
  <c r="AZ280" i="3"/>
  <c r="AZ114" i="3"/>
  <c r="AZ130" i="3"/>
  <c r="AZ29" i="3"/>
  <c r="AZ31" i="3"/>
  <c r="AZ33" i="3"/>
  <c r="AZ37" i="3"/>
  <c r="AZ45" i="3"/>
  <c r="AZ50" i="3"/>
  <c r="AZ58" i="3"/>
  <c r="AZ69" i="3"/>
  <c r="AZ102" i="3"/>
  <c r="F23" i="39"/>
  <c r="AA23" i="39" s="1"/>
  <c r="H27" i="36"/>
  <c r="U27" i="36" s="1"/>
  <c r="F27" i="36"/>
  <c r="AA27" i="36" s="1"/>
  <c r="H33" i="34"/>
  <c r="U33" i="34" s="1"/>
  <c r="F32" i="37"/>
  <c r="AA32" i="37"/>
  <c r="H96" i="37"/>
  <c r="I96" i="37" s="1"/>
  <c r="J96" i="37" s="1"/>
  <c r="K96" i="37" s="1"/>
  <c r="L96" i="37" s="1"/>
  <c r="M96" i="37" s="1"/>
  <c r="F20" i="36"/>
  <c r="AA20" i="36" s="1"/>
  <c r="H23" i="39"/>
  <c r="U23" i="39" s="1"/>
  <c r="D48" i="9"/>
  <c r="M52" i="9" s="1"/>
  <c r="K9" i="1"/>
  <c r="M9" i="1" s="1"/>
  <c r="D93" i="9"/>
  <c r="K6" i="1"/>
  <c r="AB34" i="36"/>
  <c r="U34" i="36"/>
  <c r="AB33" i="36"/>
  <c r="U33" i="36"/>
  <c r="AC39" i="40"/>
  <c r="W39" i="40"/>
  <c r="AZ401" i="3"/>
  <c r="S32" i="36"/>
  <c r="AZ408" i="3"/>
  <c r="AZ457" i="3"/>
  <c r="AZ473" i="3"/>
  <c r="BL14" i="3"/>
  <c r="AC13" i="34"/>
  <c r="AA47" i="34"/>
  <c r="W28" i="37"/>
  <c r="S19" i="39"/>
  <c r="F12" i="33"/>
  <c r="AA12" i="33" s="1"/>
  <c r="H12" i="39"/>
  <c r="AB12" i="39"/>
  <c r="F39" i="40"/>
  <c r="BA14" i="3"/>
  <c r="AZ14" i="3" s="1"/>
  <c r="AZ234" i="3"/>
  <c r="AZ250" i="3"/>
  <c r="AZ149" i="3"/>
  <c r="AZ165" i="3"/>
  <c r="AZ181" i="3"/>
  <c r="AZ197" i="3"/>
  <c r="AZ26" i="3"/>
  <c r="AZ35" i="3"/>
  <c r="AZ41" i="3"/>
  <c r="B12" i="1"/>
  <c r="E12" i="1" s="1"/>
  <c r="B10" i="1"/>
  <c r="E10" i="1" s="1"/>
  <c r="AZ107" i="3"/>
  <c r="K12" i="1"/>
  <c r="M12" i="1" s="1"/>
  <c r="S13" i="1"/>
  <c r="AR13" i="1" s="1"/>
  <c r="R13" i="1"/>
  <c r="J51" i="67"/>
  <c r="C42" i="1"/>
  <c r="C24" i="12" s="1"/>
  <c r="AB37" i="40"/>
  <c r="S35" i="40"/>
  <c r="U35" i="40"/>
  <c r="W38" i="40"/>
  <c r="S17" i="40"/>
  <c r="AC17" i="40"/>
  <c r="AC15" i="40"/>
  <c r="AB27" i="40"/>
  <c r="S30" i="40"/>
  <c r="AA19" i="40"/>
  <c r="U21" i="40"/>
  <c r="AB19" i="40"/>
  <c r="S37" i="39"/>
  <c r="U35" i="39"/>
  <c r="F32" i="39"/>
  <c r="F106" i="39"/>
  <c r="G106" i="39" s="1"/>
  <c r="H106" i="39" s="1"/>
  <c r="I106" i="39" s="1"/>
  <c r="J106" i="39" s="1"/>
  <c r="K106" i="39" s="1"/>
  <c r="L106" i="39" s="1"/>
  <c r="M106" i="39" s="1"/>
  <c r="AB27" i="39"/>
  <c r="U31" i="39"/>
  <c r="J21" i="39"/>
  <c r="W21" i="39" s="1"/>
  <c r="F21" i="39"/>
  <c r="G94" i="39"/>
  <c r="H21" i="39"/>
  <c r="W19" i="39"/>
  <c r="S17" i="39"/>
  <c r="AA12" i="39"/>
  <c r="S9" i="39"/>
  <c r="U14" i="39"/>
  <c r="AC13" i="39"/>
  <c r="U12" i="39"/>
  <c r="U13" i="36"/>
  <c r="U26" i="36"/>
  <c r="S33" i="36"/>
  <c r="AA26" i="36"/>
  <c r="AA34" i="36"/>
  <c r="AC26" i="36"/>
  <c r="AA22" i="36"/>
  <c r="AB14" i="36"/>
  <c r="U22" i="36"/>
  <c r="S16" i="36"/>
  <c r="S24" i="36"/>
  <c r="U24" i="36"/>
  <c r="U16" i="36"/>
  <c r="S14" i="36"/>
  <c r="AA25" i="35"/>
  <c r="S23" i="35"/>
  <c r="W24" i="35"/>
  <c r="AB13" i="35"/>
  <c r="U29" i="35"/>
  <c r="U28" i="35"/>
  <c r="AB27" i="35"/>
  <c r="U32" i="35"/>
  <c r="AC30" i="35"/>
  <c r="S32" i="35"/>
  <c r="AA36" i="35"/>
  <c r="AB16" i="35"/>
  <c r="U22" i="35"/>
  <c r="S20" i="35"/>
  <c r="AC20" i="35"/>
  <c r="S22" i="35"/>
  <c r="AA11" i="35"/>
  <c r="AC9" i="35"/>
  <c r="W9" i="35"/>
  <c r="W13" i="35"/>
  <c r="F9" i="35"/>
  <c r="S9" i="35" s="1"/>
  <c r="H9" i="35"/>
  <c r="U9" i="35" s="1"/>
  <c r="S25" i="37"/>
  <c r="S26" i="37"/>
  <c r="AC29" i="37"/>
  <c r="U29" i="37"/>
  <c r="S32" i="37"/>
  <c r="AB31" i="37"/>
  <c r="W30" i="37"/>
  <c r="S36" i="37"/>
  <c r="AA38" i="37"/>
  <c r="U32" i="37"/>
  <c r="W38" i="37"/>
  <c r="AC35" i="37"/>
  <c r="W39" i="37"/>
  <c r="S30" i="37"/>
  <c r="AC15" i="37"/>
  <c r="J17" i="37"/>
  <c r="W17" i="37" s="1"/>
  <c r="F17" i="37"/>
  <c r="AB17" i="37"/>
  <c r="F19" i="37"/>
  <c r="AA19" i="37" s="1"/>
  <c r="F79" i="37"/>
  <c r="F23" i="37"/>
  <c r="S23" i="37" s="1"/>
  <c r="U23" i="37"/>
  <c r="AC13" i="37"/>
  <c r="H10" i="37"/>
  <c r="AB10" i="37" s="1"/>
  <c r="F11" i="37"/>
  <c r="S11" i="37" s="1"/>
  <c r="W25" i="34"/>
  <c r="AB8" i="34"/>
  <c r="AA33" i="34"/>
  <c r="W41" i="34"/>
  <c r="AC42" i="34"/>
  <c r="AB35" i="34"/>
  <c r="AB41" i="34"/>
  <c r="AA45" i="34"/>
  <c r="AA25" i="34"/>
  <c r="S17" i="34"/>
  <c r="AA29" i="34"/>
  <c r="S23" i="34"/>
  <c r="S13" i="34"/>
  <c r="H10" i="34"/>
  <c r="AB10" i="34" s="1"/>
  <c r="F11" i="34"/>
  <c r="S11" i="34" s="1"/>
  <c r="W42" i="33"/>
  <c r="S27"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G77" i="21"/>
  <c r="F23" i="21"/>
  <c r="S23" i="21" s="1"/>
  <c r="E85" i="21"/>
  <c r="C18" i="9"/>
  <c r="D18" i="9" s="1"/>
  <c r="F34" i="67"/>
  <c r="F62" i="67" s="1"/>
  <c r="M20" i="67"/>
  <c r="F34" i="15"/>
  <c r="F62" i="15" s="1"/>
  <c r="G13" i="3"/>
  <c r="BA13" i="3"/>
  <c r="BL17" i="3"/>
  <c r="AZ17"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O7" i="1" s="1"/>
  <c r="P7" i="1" s="1"/>
  <c r="G1" i="15"/>
  <c r="G1" i="69"/>
  <c r="G1" i="67"/>
  <c r="W23" i="40"/>
  <c r="AB31" i="40"/>
  <c r="AB28" i="40"/>
  <c r="W28" i="40"/>
  <c r="W34" i="40"/>
  <c r="W19" i="40"/>
  <c r="W37" i="40"/>
  <c r="AC14" i="40"/>
  <c r="S13" i="40"/>
  <c r="AA15" i="40"/>
  <c r="S31" i="40"/>
  <c r="U15" i="40"/>
  <c r="AB17" i="40"/>
  <c r="U8" i="40"/>
  <c r="S8" i="40"/>
  <c r="AA39" i="39"/>
  <c r="AC41" i="39"/>
  <c r="U42" i="39"/>
  <c r="U41" i="39"/>
  <c r="W25" i="39"/>
  <c r="U13" i="39"/>
  <c r="AA13" i="39"/>
  <c r="S14" i="39"/>
  <c r="AA14" i="39"/>
  <c r="AB11" i="39"/>
  <c r="AA27" i="39"/>
  <c r="W17" i="39"/>
  <c r="AC17" i="39"/>
  <c r="W31" i="39"/>
  <c r="AC31" i="39"/>
  <c r="S23" i="39"/>
  <c r="AB39" i="39"/>
  <c r="W34" i="39"/>
  <c r="U38" i="39"/>
  <c r="S8" i="39"/>
  <c r="S20" i="36"/>
  <c r="U32" i="36"/>
  <c r="W29" i="36"/>
  <c r="AC20" i="36"/>
  <c r="AB28" i="36"/>
  <c r="W9" i="36"/>
  <c r="W22" i="36"/>
  <c r="S9" i="36"/>
  <c r="AB20" i="35"/>
  <c r="AC25" i="35"/>
  <c r="U25" i="35"/>
  <c r="U24" i="35"/>
  <c r="S35" i="35"/>
  <c r="W35" i="35"/>
  <c r="AA35" i="37"/>
  <c r="S27" i="37"/>
  <c r="S28" i="37"/>
  <c r="W32" i="37"/>
  <c r="U38" i="37"/>
  <c r="AB37" i="37"/>
  <c r="AB35" i="37"/>
  <c r="AA31" i="37"/>
  <c r="U19" i="37"/>
  <c r="AA29" i="37"/>
  <c r="U8" i="37"/>
  <c r="U19" i="34"/>
  <c r="AC45" i="34"/>
  <c r="AA31" i="34"/>
  <c r="AA30" i="34"/>
  <c r="AB45" i="34"/>
  <c r="AB47" i="34"/>
  <c r="AC14" i="34"/>
  <c r="AC29" i="34"/>
  <c r="W46" i="34"/>
  <c r="S32" i="34"/>
  <c r="U30" i="34"/>
  <c r="U38" i="34"/>
  <c r="AA8" i="34"/>
  <c r="AB9" i="34"/>
  <c r="U32" i="34"/>
  <c r="W23" i="34"/>
  <c r="AC23" i="34"/>
  <c r="AC35" i="34"/>
  <c r="W35" i="34"/>
  <c r="U12" i="34"/>
  <c r="AB28" i="33"/>
  <c r="AC37" i="33"/>
  <c r="W46" i="33"/>
  <c r="U38" i="33"/>
  <c r="AB34" i="33"/>
  <c r="AB44" i="33"/>
  <c r="AA30" i="33"/>
  <c r="AC14" i="33"/>
  <c r="W14" i="33"/>
  <c r="AC30" i="33"/>
  <c r="W30" i="33"/>
  <c r="AA31" i="33"/>
  <c r="AC13" i="33"/>
  <c r="U15" i="33"/>
  <c r="S11" i="33"/>
  <c r="U37" i="33"/>
  <c r="AC28" i="33"/>
  <c r="W8" i="33"/>
  <c r="S44" i="21"/>
  <c r="U28" i="21"/>
  <c r="I101" i="21"/>
  <c r="J101" i="21" s="1"/>
  <c r="K101" i="21" s="1"/>
  <c r="L101" i="21" s="1"/>
  <c r="M101" i="21" s="1"/>
  <c r="F33" i="21"/>
  <c r="AA33" i="21" s="1"/>
  <c r="J33" i="21"/>
  <c r="AC33" i="21" s="1"/>
  <c r="H33" i="21"/>
  <c r="AB33" i="21" s="1"/>
  <c r="F37" i="21"/>
  <c r="AA37" i="21" s="1"/>
  <c r="AA26" i="21"/>
  <c r="AB46" i="21"/>
  <c r="AB31" i="21"/>
  <c r="AC15" i="21"/>
  <c r="AB13" i="21"/>
  <c r="J37" i="21"/>
  <c r="W37" i="21" s="1"/>
  <c r="H15" i="21"/>
  <c r="U15" i="21"/>
  <c r="J17" i="21"/>
  <c r="AC17" i="21"/>
  <c r="W39" i="21"/>
  <c r="S46" i="21"/>
  <c r="H45" i="21"/>
  <c r="F29" i="21"/>
  <c r="S29" i="21" s="1"/>
  <c r="F13" i="21"/>
  <c r="AC38" i="21"/>
  <c r="H32" i="21"/>
  <c r="H9" i="21"/>
  <c r="U9" i="21" s="1"/>
  <c r="J9" i="21"/>
  <c r="J32" i="21"/>
  <c r="W32" i="21" s="1"/>
  <c r="F32" i="21"/>
  <c r="U17" i="21"/>
  <c r="W29" i="21"/>
  <c r="S19" i="21"/>
  <c r="S9" i="21"/>
  <c r="AA9" i="21"/>
  <c r="K141" i="21"/>
  <c r="K144" i="21"/>
  <c r="K143" i="21"/>
  <c r="U27" i="21"/>
  <c r="AB25" i="21"/>
  <c r="AB44" i="21"/>
  <c r="W13" i="21"/>
  <c r="W42" i="21"/>
  <c r="F10" i="21"/>
  <c r="AA10" i="21" s="1"/>
  <c r="K145" i="21"/>
  <c r="W17" i="21"/>
  <c r="W25" i="21"/>
  <c r="AA29" i="21"/>
  <c r="S27" i="21"/>
  <c r="S17" i="21"/>
  <c r="AA15" i="21"/>
  <c r="AC27"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S32" i="39"/>
  <c r="AB21" i="39"/>
  <c r="U21" i="39"/>
  <c r="AA21" i="39"/>
  <c r="S21" i="39"/>
  <c r="AC17" i="37"/>
  <c r="J19" i="37"/>
  <c r="AC19" i="37" s="1"/>
  <c r="S19" i="37"/>
  <c r="J23" i="37"/>
  <c r="G79" i="37"/>
  <c r="J10" i="37"/>
  <c r="W10" i="37" s="1"/>
  <c r="G63" i="37"/>
  <c r="H11" i="37"/>
  <c r="AB11" i="37" s="1"/>
  <c r="G70" i="34"/>
  <c r="H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AC23" i="33"/>
  <c r="H19" i="33"/>
  <c r="U19" i="33" s="1"/>
  <c r="G81" i="33"/>
  <c r="H17" i="33"/>
  <c r="U17" i="33" s="1"/>
  <c r="F17" i="33"/>
  <c r="W17" i="33"/>
  <c r="AC17" i="33"/>
  <c r="S37" i="21"/>
  <c r="AA23" i="21"/>
  <c r="AB15" i="21"/>
  <c r="J23" i="21"/>
  <c r="F85" i="21"/>
  <c r="G85" i="21" s="1"/>
  <c r="H23" i="21"/>
  <c r="U23" i="21" s="1"/>
  <c r="AP7" i="1"/>
  <c r="AB9" i="21"/>
  <c r="AA32" i="21"/>
  <c r="S32" i="21"/>
  <c r="W9" i="21"/>
  <c r="AC9" i="21"/>
  <c r="AB32" i="21"/>
  <c r="U32" i="21"/>
  <c r="A18" i="62"/>
  <c r="B64" i="72" s="1"/>
  <c r="U32" i="39"/>
  <c r="AC32" i="39"/>
  <c r="W19" i="37"/>
  <c r="W23" i="37"/>
  <c r="AC23" i="37"/>
  <c r="H63" i="37"/>
  <c r="I63" i="37" s="1"/>
  <c r="J63" i="37" s="1"/>
  <c r="K63" i="37" s="1"/>
  <c r="L63" i="37" s="1"/>
  <c r="M63" i="37" s="1"/>
  <c r="J11" i="37"/>
  <c r="AC11" i="37" s="1"/>
  <c r="I70" i="34"/>
  <c r="J70" i="34" s="1"/>
  <c r="K70" i="34" s="1"/>
  <c r="L70" i="34" s="1"/>
  <c r="M70" i="34" s="1"/>
  <c r="J11" i="34"/>
  <c r="W11" i="34" s="1"/>
  <c r="AB36" i="33"/>
  <c r="W27" i="33"/>
  <c r="AC27" i="33"/>
  <c r="W25" i="33"/>
  <c r="AC25" i="33"/>
  <c r="AB19" i="33"/>
  <c r="AA17" i="33"/>
  <c r="S17" i="33"/>
  <c r="AB23" i="21"/>
  <c r="AC23" i="21"/>
  <c r="W23" i="21"/>
  <c r="H109" i="9"/>
  <c r="M49" i="9" s="1"/>
  <c r="D16" i="53"/>
  <c r="B34" i="72" s="1"/>
  <c r="H112" i="9"/>
  <c r="D21" i="53"/>
  <c r="B39" i="72" s="1"/>
  <c r="H111" i="9"/>
  <c r="D126" i="9" s="1"/>
  <c r="D19" i="53"/>
  <c r="B38" i="72" s="1"/>
  <c r="AD3" i="71"/>
  <c r="J1" i="7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19" i="9"/>
  <c r="F3" i="73"/>
  <c r="F40" i="15"/>
  <c r="F16" i="67"/>
  <c r="C76" i="15"/>
  <c r="B11" i="76"/>
  <c r="M28" i="15"/>
  <c r="F9" i="15"/>
  <c r="B9" i="76"/>
  <c r="B8" i="76"/>
  <c r="C20" i="9"/>
  <c r="E2" i="69"/>
  <c r="M9" i="15"/>
  <c r="D34" i="9"/>
  <c r="F6" i="73"/>
  <c r="F43" i="67"/>
  <c r="F36" i="15"/>
  <c r="F26" i="15"/>
  <c r="M8" i="67"/>
  <c r="AO13" i="1"/>
  <c r="E8" i="76"/>
  <c r="C76" i="67"/>
  <c r="E7" i="76"/>
  <c r="F6" i="15"/>
  <c r="F40" i="67"/>
  <c r="F42" i="15"/>
  <c r="E12" i="76"/>
  <c r="M29" i="67"/>
  <c r="L48" i="67"/>
  <c r="F20" i="31"/>
  <c r="J15" i="67"/>
  <c r="D20" i="9"/>
  <c r="M26" i="67"/>
  <c r="M26" i="15"/>
  <c r="F38" i="67"/>
  <c r="M24" i="67"/>
  <c r="B10" i="76"/>
  <c r="M8" i="15"/>
  <c r="F37" i="67"/>
  <c r="F5" i="73"/>
  <c r="L47" i="67"/>
  <c r="D19" i="9"/>
  <c r="F8" i="15"/>
  <c r="L48" i="15"/>
  <c r="M23" i="67"/>
  <c r="M6" i="67"/>
  <c r="M28" i="67"/>
  <c r="D35" i="9"/>
  <c r="B12" i="76"/>
  <c r="F9" i="67"/>
  <c r="M9" i="67"/>
  <c r="E13" i="76"/>
  <c r="F26" i="67"/>
  <c r="E10" i="76"/>
  <c r="B13" i="76"/>
  <c r="E9" i="76"/>
  <c r="M22" i="67"/>
  <c r="F6" i="67"/>
  <c r="J15" i="15"/>
  <c r="M22" i="15"/>
  <c r="F43" i="15"/>
  <c r="F13" i="67"/>
  <c r="M24" i="15"/>
  <c r="E11" i="76"/>
  <c r="F38" i="15"/>
  <c r="F13" i="15"/>
  <c r="L47" i="15"/>
  <c r="F7" i="73"/>
  <c r="F37" i="15"/>
  <c r="F16" i="15"/>
  <c r="M6" i="15"/>
  <c r="M29" i="15"/>
  <c r="F7" i="67"/>
  <c r="F42" i="67"/>
  <c r="F7" i="15"/>
  <c r="F8" i="67"/>
  <c r="F36" i="67"/>
  <c r="B7" i="76"/>
  <c r="E2" i="68"/>
  <c r="F4" i="73"/>
  <c r="M23" i="15"/>
  <c r="D7" i="73"/>
  <c r="AA36" i="34" l="1"/>
  <c r="W26" i="33"/>
  <c r="AC26" i="33"/>
  <c r="F78" i="34"/>
  <c r="G78" i="34" s="1"/>
  <c r="J15" i="34"/>
  <c r="AC15" i="34" s="1"/>
  <c r="F15" i="34"/>
  <c r="H15" i="34"/>
  <c r="AB15" i="34" s="1"/>
  <c r="W12" i="33"/>
  <c r="AC12" i="33"/>
  <c r="AC12" i="36"/>
  <c r="W12" i="36"/>
  <c r="AB40" i="40"/>
  <c r="U40" i="40"/>
  <c r="C21" i="71"/>
  <c r="D21" i="71" s="1"/>
  <c r="S23" i="33"/>
  <c r="AZ15" i="3"/>
  <c r="W12" i="39"/>
  <c r="AC12" i="39"/>
  <c r="AC12" i="40"/>
  <c r="W12" i="40"/>
  <c r="AP6" i="1"/>
  <c r="B14" i="74"/>
  <c r="AZ377" i="3"/>
  <c r="AZ362" i="3"/>
  <c r="AZ334" i="3"/>
  <c r="AZ306" i="3"/>
  <c r="AZ390" i="3"/>
  <c r="AZ387" i="3"/>
  <c r="AZ382" i="3"/>
  <c r="AZ364" i="3"/>
  <c r="AZ346" i="3"/>
  <c r="AZ329" i="3"/>
  <c r="AZ380" i="3"/>
  <c r="AZ515" i="3"/>
  <c r="AZ565" i="3"/>
  <c r="AZ569" i="3"/>
  <c r="AZ573" i="3"/>
  <c r="AZ583" i="3"/>
  <c r="BL581" i="3"/>
  <c r="BA581" i="3"/>
  <c r="BA580" i="3"/>
  <c r="AZ580" i="3" s="1"/>
  <c r="BL579" i="3"/>
  <c r="BA579" i="3"/>
  <c r="BL578" i="3"/>
  <c r="BA578" i="3"/>
  <c r="BL576" i="3"/>
  <c r="BA576" i="3"/>
  <c r="BL575" i="3"/>
  <c r="BA575" i="3"/>
  <c r="BA574" i="3"/>
  <c r="AZ574" i="3" s="1"/>
  <c r="BA564" i="3"/>
  <c r="AZ564" i="3" s="1"/>
  <c r="BL563" i="3"/>
  <c r="BA563" i="3"/>
  <c r="AZ563" i="3" s="1"/>
  <c r="BL562" i="3"/>
  <c r="BA562" i="3"/>
  <c r="BL561" i="3"/>
  <c r="AZ561" i="3" s="1"/>
  <c r="BL560" i="3"/>
  <c r="BA560" i="3"/>
  <c r="BA559" i="3"/>
  <c r="AZ559" i="3" s="1"/>
  <c r="BL551" i="3"/>
  <c r="BA551" i="3"/>
  <c r="BL550" i="3"/>
  <c r="BA550" i="3"/>
  <c r="AZ550" i="3" s="1"/>
  <c r="BL15" i="3"/>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BL312" i="3"/>
  <c r="AZ312" i="3" s="1"/>
  <c r="BL317" i="3"/>
  <c r="AZ317" i="3" s="1"/>
  <c r="G323" i="3"/>
  <c r="BL324" i="3"/>
  <c r="AZ324" i="3" s="1"/>
  <c r="BL330" i="3"/>
  <c r="AZ330" i="3" s="1"/>
  <c r="BA332" i="3"/>
  <c r="AZ332" i="3" s="1"/>
  <c r="BA335" i="3"/>
  <c r="BA339" i="3"/>
  <c r="AZ339" i="3" s="1"/>
  <c r="G345" i="3"/>
  <c r="BL348" i="3"/>
  <c r="AZ348" i="3" s="1"/>
  <c r="BA352" i="3"/>
  <c r="AZ352" i="3" s="1"/>
  <c r="BL354" i="3"/>
  <c r="AZ354" i="3" s="1"/>
  <c r="BA358" i="3"/>
  <c r="AZ358" i="3" s="1"/>
  <c r="BL363" i="3"/>
  <c r="BL367" i="3"/>
  <c r="AZ367" i="3" s="1"/>
  <c r="G369" i="3"/>
  <c r="BL381" i="3"/>
  <c r="AZ381" i="3" s="1"/>
  <c r="AZ335" i="3"/>
  <c r="AZ307" i="3"/>
  <c r="AZ16" i="3"/>
  <c r="AZ363" i="3"/>
  <c r="AZ371" i="3"/>
  <c r="W14" i="37"/>
  <c r="AZ545" i="3"/>
  <c r="AZ511" i="3"/>
  <c r="AZ519" i="3"/>
  <c r="AZ577" i="3"/>
  <c r="AZ504" i="3"/>
  <c r="AZ520" i="3"/>
  <c r="AZ532" i="3"/>
  <c r="AZ544" i="3"/>
  <c r="AZ554" i="3"/>
  <c r="AZ558" i="3"/>
  <c r="AB26" i="33"/>
  <c r="S41" i="33"/>
  <c r="BL586" i="3"/>
  <c r="BA586" i="3"/>
  <c r="BL585" i="3"/>
  <c r="AZ585" i="3" s="1"/>
  <c r="J9" i="33"/>
  <c r="H12" i="33"/>
  <c r="H39" i="34"/>
  <c r="AB39" i="34" s="1"/>
  <c r="H12" i="36"/>
  <c r="F44" i="39"/>
  <c r="G574" i="3"/>
  <c r="G558" i="3"/>
  <c r="G542" i="3"/>
  <c r="BL541" i="3"/>
  <c r="AZ541" i="3" s="1"/>
  <c r="G541" i="3"/>
  <c r="BL540" i="3"/>
  <c r="AZ540" i="3" s="1"/>
  <c r="G540" i="3"/>
  <c r="BA539" i="3"/>
  <c r="AZ539" i="3" s="1"/>
  <c r="BL538" i="3"/>
  <c r="AZ538" i="3" s="1"/>
  <c r="BL537" i="3"/>
  <c r="AZ537" i="3" s="1"/>
  <c r="G537" i="3"/>
  <c r="BA535" i="3"/>
  <c r="AZ535" i="3" s="1"/>
  <c r="G535" i="3"/>
  <c r="G534" i="3"/>
  <c r="BL533" i="3"/>
  <c r="AZ533" i="3" s="1"/>
  <c r="G533" i="3"/>
  <c r="BA531" i="3"/>
  <c r="AZ531" i="3" s="1"/>
  <c r="G531" i="3"/>
  <c r="BL530" i="3"/>
  <c r="AZ530" i="3" s="1"/>
  <c r="BL529" i="3"/>
  <c r="AZ529" i="3" s="1"/>
  <c r="G529" i="3"/>
  <c r="BA528" i="3"/>
  <c r="AZ528" i="3" s="1"/>
  <c r="BA527" i="3"/>
  <c r="AZ527" i="3" s="1"/>
  <c r="G527" i="3"/>
  <c r="BA526" i="3"/>
  <c r="AZ526" i="3" s="1"/>
  <c r="BL525" i="3"/>
  <c r="AZ525" i="3" s="1"/>
  <c r="G525" i="3"/>
  <c r="BA524" i="3"/>
  <c r="AZ524" i="3" s="1"/>
  <c r="BA523" i="3"/>
  <c r="AZ523" i="3" s="1"/>
  <c r="BL522" i="3"/>
  <c r="BA522" i="3"/>
  <c r="G522" i="3"/>
  <c r="BL521" i="3"/>
  <c r="AZ521" i="3" s="1"/>
  <c r="G521" i="3"/>
  <c r="G520" i="3"/>
  <c r="BL518" i="3"/>
  <c r="BA518" i="3"/>
  <c r="G518" i="3"/>
  <c r="BL517" i="3"/>
  <c r="BA517" i="3"/>
  <c r="G517" i="3"/>
  <c r="BA516" i="3"/>
  <c r="AZ516" i="3" s="1"/>
  <c r="BA514" i="3"/>
  <c r="AZ514" i="3" s="1"/>
  <c r="BL513" i="3"/>
  <c r="BA513" i="3"/>
  <c r="G513" i="3"/>
  <c r="BL512" i="3"/>
  <c r="AZ512" i="3" s="1"/>
  <c r="G512" i="3"/>
  <c r="BL510" i="3"/>
  <c r="AZ510" i="3" s="1"/>
  <c r="G510" i="3"/>
  <c r="BL509" i="3"/>
  <c r="AZ509" i="3" s="1"/>
  <c r="BA507" i="3"/>
  <c r="AZ507" i="3" s="1"/>
  <c r="BA506" i="3"/>
  <c r="AZ506" i="3" s="1"/>
  <c r="BL505" i="3"/>
  <c r="AZ505" i="3" s="1"/>
  <c r="G505" i="3"/>
  <c r="G504" i="3"/>
  <c r="BA503" i="3"/>
  <c r="AZ503" i="3" s="1"/>
  <c r="BL502" i="3"/>
  <c r="AZ502" i="3" s="1"/>
  <c r="BL501" i="3"/>
  <c r="AZ501" i="3" s="1"/>
  <c r="G501" i="3"/>
  <c r="BL500" i="3"/>
  <c r="BA500" i="3"/>
  <c r="BL499" i="3"/>
  <c r="BA499" i="3"/>
  <c r="G498" i="3"/>
  <c r="BL497" i="3"/>
  <c r="AZ497" i="3" s="1"/>
  <c r="G497" i="3"/>
  <c r="G496" i="3"/>
  <c r="BL495" i="3"/>
  <c r="BA495" i="3"/>
  <c r="BO5" i="3"/>
  <c r="F29" i="6" s="1"/>
  <c r="BL494" i="3"/>
  <c r="BJ5" i="3"/>
  <c r="BF5" i="3"/>
  <c r="BA494" i="3"/>
  <c r="H5" i="3"/>
  <c r="BS5" i="3"/>
  <c r="F28" i="6" s="1"/>
  <c r="BN5" i="3"/>
  <c r="BK5" i="3"/>
  <c r="BG5" i="3"/>
  <c r="BC5" i="3"/>
  <c r="G493" i="3"/>
  <c r="E5" i="6"/>
  <c r="G14" i="3"/>
  <c r="BI5" i="3"/>
  <c r="BP5" i="3"/>
  <c r="BL13" i="3"/>
  <c r="AZ403" i="3"/>
  <c r="AZ409" i="3"/>
  <c r="AZ416" i="3"/>
  <c r="AZ418" i="3"/>
  <c r="AZ422" i="3"/>
  <c r="AZ425" i="3"/>
  <c r="AZ432" i="3"/>
  <c r="AZ434" i="3"/>
  <c r="AZ445" i="3"/>
  <c r="AZ447" i="3"/>
  <c r="AZ450" i="3"/>
  <c r="AZ454" i="3"/>
  <c r="AZ459" i="3"/>
  <c r="AZ464" i="3"/>
  <c r="AZ467" i="3"/>
  <c r="AZ474" i="3"/>
  <c r="AZ477" i="3"/>
  <c r="AZ480" i="3"/>
  <c r="AZ482" i="3"/>
  <c r="AZ486" i="3"/>
  <c r="AZ488" i="3"/>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A281" i="3"/>
  <c r="AZ281" i="3" s="1"/>
  <c r="BL283" i="3"/>
  <c r="AZ283" i="3" s="1"/>
  <c r="BA284" i="3"/>
  <c r="AZ284" i="3" s="1"/>
  <c r="BL286" i="3"/>
  <c r="AZ286" i="3" s="1"/>
  <c r="BL288" i="3"/>
  <c r="AZ288"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AZ293"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D50" i="71"/>
  <c r="C51" i="71"/>
  <c r="E23" i="71"/>
  <c r="E22" i="71" s="1"/>
  <c r="E21" i="71" s="1"/>
  <c r="E20" i="71" s="1"/>
  <c r="V24" i="71"/>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G99" i="3"/>
  <c r="BL99" i="3"/>
  <c r="G101" i="3"/>
  <c r="G102" i="3"/>
  <c r="G103" i="3"/>
  <c r="BL103" i="3"/>
  <c r="G105" i="3"/>
  <c r="G106" i="3"/>
  <c r="BL106" i="3"/>
  <c r="G109" i="3"/>
  <c r="G110" i="3"/>
  <c r="C59" i="71"/>
  <c r="D58" i="71"/>
  <c r="BA110" i="3"/>
  <c r="AZ110" i="3" s="1"/>
  <c r="BA111" i="3"/>
  <c r="AZ111" i="3" s="1"/>
  <c r="AC18" i="35"/>
  <c r="S21" i="21"/>
  <c r="S18" i="35"/>
  <c r="S18" i="36"/>
  <c r="P27" i="6"/>
  <c r="D64" i="71"/>
  <c r="D56" i="71"/>
  <c r="O65" i="71"/>
  <c r="P65" i="71"/>
  <c r="P67" i="71"/>
  <c r="D79" i="71"/>
  <c r="D28" i="71"/>
  <c r="U28" i="71" s="1"/>
  <c r="S28" i="71"/>
  <c r="AA27" i="71"/>
  <c r="Y28" i="71"/>
  <c r="Z28" i="71" s="1"/>
  <c r="Y29" i="71"/>
  <c r="Z29" i="71" s="1"/>
  <c r="F35" i="71"/>
  <c r="F36" i="71" s="1"/>
  <c r="V36" i="71" s="1"/>
  <c r="AA33" i="71"/>
  <c r="F39" i="71"/>
  <c r="F40" i="71" s="1"/>
  <c r="V40" i="71" s="1"/>
  <c r="X28" i="71"/>
  <c r="AB31" i="71"/>
  <c r="Y17" i="71"/>
  <c r="Z17" i="71" s="1"/>
  <c r="J33" i="34"/>
  <c r="W27" i="34"/>
  <c r="G6" i="1"/>
  <c r="I24" i="43"/>
  <c r="D59" i="81"/>
  <c r="E59" i="81" s="1"/>
  <c r="F59" i="81" s="1"/>
  <c r="G59" i="81" s="1"/>
  <c r="H59" i="81" s="1"/>
  <c r="I59" i="81" s="1"/>
  <c r="J59" i="81" s="1"/>
  <c r="K59" i="81" s="1"/>
  <c r="L59" i="81" s="1"/>
  <c r="M59" i="81" s="1"/>
  <c r="N59" i="81" s="1"/>
  <c r="O59" i="81" s="1"/>
  <c r="J7" i="81"/>
  <c r="F112" i="34"/>
  <c r="F37" i="34"/>
  <c r="J37" i="34"/>
  <c r="AC37" i="34" s="1"/>
  <c r="F124" i="34"/>
  <c r="G124" i="34" s="1"/>
  <c r="H124" i="34" s="1"/>
  <c r="I124" i="34" s="1"/>
  <c r="J124" i="34" s="1"/>
  <c r="K124" i="34" s="1"/>
  <c r="L124" i="34" s="1"/>
  <c r="M124" i="34" s="1"/>
  <c r="F43" i="34"/>
  <c r="AA43" i="34" s="1"/>
  <c r="J43" i="34"/>
  <c r="W43" i="34" s="1"/>
  <c r="H43" i="34"/>
  <c r="F118" i="34"/>
  <c r="G118" i="34" s="1"/>
  <c r="J40" i="34"/>
  <c r="W40" i="34" s="1"/>
  <c r="H40" i="34"/>
  <c r="U40" i="34" s="1"/>
  <c r="F40" i="34"/>
  <c r="AA40" i="34" s="1"/>
  <c r="F39" i="34"/>
  <c r="AA39" i="34" s="1"/>
  <c r="AB33" i="34"/>
  <c r="U39" i="34"/>
  <c r="AC43" i="34"/>
  <c r="AC36" i="34"/>
  <c r="AB36" i="34"/>
  <c r="F126" i="34"/>
  <c r="G126" i="34" s="1"/>
  <c r="H44" i="34"/>
  <c r="AB44" i="34" s="1"/>
  <c r="F44" i="34"/>
  <c r="AA44" i="34" s="1"/>
  <c r="J44" i="34"/>
  <c r="S44" i="34"/>
  <c r="S27" i="34"/>
  <c r="U27" i="34"/>
  <c r="AB23" i="34"/>
  <c r="W21" i="34"/>
  <c r="AA19" i="34"/>
  <c r="W19" i="34"/>
  <c r="AC17" i="34"/>
  <c r="W15" i="34"/>
  <c r="U15" i="34"/>
  <c r="B41" i="1"/>
  <c r="D68" i="9" s="1"/>
  <c r="F30" i="69"/>
  <c r="F48" i="69" s="1"/>
  <c r="F30" i="11"/>
  <c r="C48" i="11" s="1"/>
  <c r="AB17" i="33"/>
  <c r="AA13" i="21"/>
  <c r="S13" i="21"/>
  <c r="AA17" i="37"/>
  <c r="S17" i="37"/>
  <c r="C20" i="71"/>
  <c r="AA19" i="33"/>
  <c r="AA23" i="37"/>
  <c r="AA34" i="33"/>
  <c r="S39" i="34"/>
  <c r="U20" i="36"/>
  <c r="AB20" i="36"/>
  <c r="W34" i="33"/>
  <c r="AC34" i="33"/>
  <c r="G28" i="6"/>
  <c r="AZ351" i="3"/>
  <c r="AZ327" i="3"/>
  <c r="H64" i="43"/>
  <c r="H67" i="43"/>
  <c r="H69" i="43"/>
  <c r="S11" i="39"/>
  <c r="W11" i="39"/>
  <c r="AC11" i="39"/>
  <c r="AB25" i="39"/>
  <c r="U25" i="39"/>
  <c r="AA15" i="37"/>
  <c r="S15" i="37"/>
  <c r="AZ493" i="3"/>
  <c r="W45" i="21"/>
  <c r="AC45" i="21"/>
  <c r="AA28" i="34"/>
  <c r="S28" i="34"/>
  <c r="W25" i="36"/>
  <c r="AC25" i="36"/>
  <c r="U40" i="37"/>
  <c r="AB40" i="37"/>
  <c r="AZ581" i="3"/>
  <c r="AZ579" i="3"/>
  <c r="AZ578" i="3"/>
  <c r="AZ576" i="3"/>
  <c r="AZ575" i="3"/>
  <c r="AZ562" i="3"/>
  <c r="AZ560" i="3"/>
  <c r="AZ551" i="3"/>
  <c r="E19" i="71"/>
  <c r="E18" i="71" s="1"/>
  <c r="E17" i="71" s="1"/>
  <c r="E16" i="71" s="1"/>
  <c r="V20" i="71"/>
  <c r="U45" i="21"/>
  <c r="AB45" i="21"/>
  <c r="AA36" i="33"/>
  <c r="S36" i="33"/>
  <c r="AC33" i="34"/>
  <c r="W33" i="34"/>
  <c r="W39" i="34"/>
  <c r="AC39" i="34"/>
  <c r="S35" i="33"/>
  <c r="AA35" i="33"/>
  <c r="D8" i="53"/>
  <c r="D120" i="9"/>
  <c r="AA15" i="39"/>
  <c r="S15" i="39"/>
  <c r="AB37" i="39"/>
  <c r="U37" i="39"/>
  <c r="W12" i="37"/>
  <c r="AC12" i="37"/>
  <c r="AC14" i="21"/>
  <c r="W14" i="21"/>
  <c r="AB30" i="21"/>
  <c r="U30" i="21"/>
  <c r="AB9" i="33"/>
  <c r="U9" i="33"/>
  <c r="W29" i="33"/>
  <c r="AC29" i="33"/>
  <c r="W31" i="33"/>
  <c r="AC31" i="33"/>
  <c r="U45" i="33"/>
  <c r="AB45" i="33"/>
  <c r="U46" i="34"/>
  <c r="AB46" i="34"/>
  <c r="AZ518" i="3"/>
  <c r="AZ517" i="3"/>
  <c r="AZ513" i="3"/>
  <c r="AZ500" i="3"/>
  <c r="AZ499" i="3"/>
  <c r="AZ495" i="3"/>
  <c r="AZ494" i="3"/>
  <c r="G29" i="6"/>
  <c r="AB36" i="21"/>
  <c r="AC34" i="21"/>
  <c r="AC19" i="21"/>
  <c r="S35" i="21"/>
  <c r="U40" i="21"/>
  <c r="AB42" i="21"/>
  <c r="S28" i="33"/>
  <c r="S33" i="33"/>
  <c r="U39" i="33"/>
  <c r="U25" i="34"/>
  <c r="AC34" i="37"/>
  <c r="U36" i="37"/>
  <c r="W36" i="37"/>
  <c r="AA16" i="35"/>
  <c r="S24" i="35"/>
  <c r="AA13" i="36"/>
  <c r="AB13" i="40"/>
  <c r="U11" i="40"/>
  <c r="S33" i="40"/>
  <c r="S36" i="40"/>
  <c r="S37" i="40"/>
  <c r="U32" i="40"/>
  <c r="AB39" i="21"/>
  <c r="W43" i="33"/>
  <c r="S32" i="33"/>
  <c r="AA13" i="37"/>
  <c r="U15" i="37"/>
  <c r="S37" i="37"/>
  <c r="U14" i="35"/>
  <c r="S28" i="35"/>
  <c r="AA33" i="35"/>
  <c r="W14" i="36"/>
  <c r="U19" i="39"/>
  <c r="S28" i="40"/>
  <c r="S23" i="40"/>
  <c r="AA32" i="40"/>
  <c r="AC36" i="40"/>
  <c r="U30" i="33"/>
  <c r="S11" i="40"/>
  <c r="AC21" i="40"/>
  <c r="F27" i="40"/>
  <c r="J27" i="40"/>
  <c r="U12" i="40"/>
  <c r="BB5" i="3"/>
  <c r="AC5" i="3"/>
  <c r="W35" i="40"/>
  <c r="AB33" i="40"/>
  <c r="F9" i="37"/>
  <c r="S9" i="37" s="1"/>
  <c r="U26" i="37"/>
  <c r="W23" i="35"/>
  <c r="H28" i="34"/>
  <c r="AB27" i="37"/>
  <c r="S21" i="40"/>
  <c r="J27" i="37"/>
  <c r="H43" i="39"/>
  <c r="F43" i="39"/>
  <c r="H25" i="36"/>
  <c r="F25" i="36"/>
  <c r="F40" i="37"/>
  <c r="J40" i="37"/>
  <c r="J32" i="36"/>
  <c r="W32" i="36" s="1"/>
  <c r="AC11" i="35"/>
  <c r="F46" i="34"/>
  <c r="J32" i="34"/>
  <c r="J30" i="34"/>
  <c r="H14" i="34"/>
  <c r="F14" i="34"/>
  <c r="F45" i="33"/>
  <c r="J45" i="33"/>
  <c r="H31" i="33"/>
  <c r="F29" i="33"/>
  <c r="H29" i="33"/>
  <c r="F13" i="33"/>
  <c r="F45" i="21"/>
  <c r="F31" i="21"/>
  <c r="J31" i="21"/>
  <c r="J30" i="21"/>
  <c r="F30" i="21"/>
  <c r="J28" i="21"/>
  <c r="F28" i="21"/>
  <c r="H14" i="21"/>
  <c r="F14" i="21"/>
  <c r="AC38" i="34"/>
  <c r="AB42" i="34"/>
  <c r="S26" i="33"/>
  <c r="W8" i="34"/>
  <c r="W32" i="40"/>
  <c r="AB12" i="35"/>
  <c r="U38" i="40"/>
  <c r="U9" i="40"/>
  <c r="W33" i="33"/>
  <c r="U35" i="33"/>
  <c r="U34" i="34"/>
  <c r="W22" i="35"/>
  <c r="U9" i="39"/>
  <c r="J45" i="39"/>
  <c r="F45" i="39"/>
  <c r="J12" i="35"/>
  <c r="H36" i="35"/>
  <c r="J36" i="35"/>
  <c r="J23" i="36"/>
  <c r="H23" i="36"/>
  <c r="F23" i="36"/>
  <c r="W31" i="35"/>
  <c r="AC31" i="35"/>
  <c r="G551" i="3"/>
  <c r="G5" i="3" s="1"/>
  <c r="B3" i="3" s="1"/>
  <c r="BL548" i="3"/>
  <c r="AZ548" i="3" s="1"/>
  <c r="J9" i="34"/>
  <c r="F9" i="34"/>
  <c r="AA9" i="34" s="1"/>
  <c r="J12" i="34"/>
  <c r="F12" i="34"/>
  <c r="J34" i="35"/>
  <c r="H34" i="35"/>
  <c r="F34" i="35"/>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2" i="3"/>
  <c r="AZ290" i="3"/>
  <c r="AZ298" i="3"/>
  <c r="AZ301" i="3"/>
  <c r="AZ122" i="3"/>
  <c r="AZ125" i="3"/>
  <c r="AZ22" i="3"/>
  <c r="AZ54" i="3"/>
  <c r="AZ57" i="3"/>
  <c r="AZ70" i="3"/>
  <c r="AZ92" i="3"/>
  <c r="AZ99" i="3"/>
  <c r="AZ103" i="3"/>
  <c r="AZ106" i="3"/>
  <c r="K13" i="1"/>
  <c r="M13" i="1" s="1"/>
  <c r="O13" i="1" s="1"/>
  <c r="P13" i="1" s="1"/>
  <c r="F40" i="68"/>
  <c r="C21" i="68"/>
  <c r="F40" i="69"/>
  <c r="C40" i="69"/>
  <c r="C25" i="40"/>
  <c r="B100" i="43"/>
  <c r="B77" i="43"/>
  <c r="B68" i="43"/>
  <c r="C29" i="39"/>
  <c r="D40" i="71"/>
  <c r="D32" i="71"/>
  <c r="C44" i="71"/>
  <c r="D75" i="71"/>
  <c r="AB27" i="71"/>
  <c r="AA32" i="71"/>
  <c r="B35" i="71"/>
  <c r="B36" i="71" s="1"/>
  <c r="S36" i="71" s="1"/>
  <c r="Y31" i="71"/>
  <c r="Z31" i="71" s="1"/>
  <c r="Y25" i="71"/>
  <c r="Z25" i="71" s="1"/>
  <c r="Y27" i="71"/>
  <c r="Z27" i="71" s="1"/>
  <c r="X31" i="71"/>
  <c r="X32" i="71"/>
  <c r="X29" i="71"/>
  <c r="X26" i="71"/>
  <c r="AB32" i="71"/>
  <c r="AB29" i="71"/>
  <c r="AB26" i="71"/>
  <c r="AB28" i="71"/>
  <c r="AA31" i="71"/>
  <c r="AA38" i="71"/>
  <c r="AA37" i="71"/>
  <c r="X9" i="71"/>
  <c r="X10" i="71"/>
  <c r="X39" i="71"/>
  <c r="X35" i="71"/>
  <c r="E43" i="71"/>
  <c r="E44" i="71" s="1"/>
  <c r="U44" i="71" s="1"/>
  <c r="C47" i="71"/>
  <c r="D47" i="71" s="1"/>
  <c r="D46" i="71"/>
  <c r="S68" i="71"/>
  <c r="B67" i="71"/>
  <c r="N68" i="71"/>
  <c r="T72" i="71"/>
  <c r="D72" i="71"/>
  <c r="T80" i="71"/>
  <c r="D80" i="71"/>
  <c r="AA21" i="34"/>
  <c r="S21" i="34"/>
  <c r="E27" i="71"/>
  <c r="E26" i="71" s="1"/>
  <c r="V28" i="71"/>
  <c r="AA3" i="71"/>
  <c r="AA26" i="71"/>
  <c r="AA28" i="71"/>
  <c r="AB34" i="71"/>
  <c r="AB33" i="71"/>
  <c r="AA35" i="71"/>
  <c r="AA36" i="71"/>
  <c r="AB24" i="71"/>
  <c r="AA23" i="71"/>
  <c r="X22" i="71"/>
  <c r="AB21" i="71"/>
  <c r="X18" i="71"/>
  <c r="AA18" i="71"/>
  <c r="X14" i="71"/>
  <c r="AA13" i="71"/>
  <c r="E39" i="71"/>
  <c r="E40" i="71" s="1"/>
  <c r="U40" i="71" s="1"/>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Y9" i="71"/>
  <c r="Z9" i="71" s="1"/>
  <c r="Y10" i="71"/>
  <c r="Z10" i="71" s="1"/>
  <c r="AA9" i="71"/>
  <c r="AA10" i="71"/>
  <c r="X24" i="71"/>
  <c r="AA24" i="71"/>
  <c r="Y22" i="71"/>
  <c r="Z22" i="71" s="1"/>
  <c r="AB23" i="71"/>
  <c r="AA22" i="71"/>
  <c r="X21" i="71"/>
  <c r="Y21" i="71"/>
  <c r="Z21" i="71" s="1"/>
  <c r="AB18" i="71"/>
  <c r="Y14" i="71"/>
  <c r="Z14" i="71" s="1"/>
  <c r="Y24" i="71"/>
  <c r="Z24" i="71" s="1"/>
  <c r="AA21" i="71"/>
  <c r="Y18" i="71"/>
  <c r="Z18" i="71" s="1"/>
  <c r="AB15" i="71"/>
  <c r="X17" i="71"/>
  <c r="AA17" i="71"/>
  <c r="AB17" i="71"/>
  <c r="AB11" i="71"/>
  <c r="AB14" i="71"/>
  <c r="AA11" i="71"/>
  <c r="X11" i="71"/>
  <c r="Y12" i="71"/>
  <c r="Z12" i="71" s="1"/>
  <c r="Y13" i="71"/>
  <c r="Z13" i="71" s="1"/>
  <c r="Y23" i="71"/>
  <c r="Z23" i="71" s="1"/>
  <c r="X15" i="71"/>
  <c r="AA15" i="71"/>
  <c r="AB12" i="71"/>
  <c r="AB13" i="71"/>
  <c r="AA12" i="71"/>
  <c r="AA14" i="71"/>
  <c r="X13" i="71"/>
  <c r="X12"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F53" i="9"/>
  <c r="C5" i="11"/>
  <c r="C4" i="12"/>
  <c r="E14" i="6"/>
  <c r="E63" i="39" s="1"/>
  <c r="I4" i="6"/>
  <c r="G3" i="43" s="1"/>
  <c r="H26" i="43" s="1"/>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8"/>
  <c r="D3" i="73"/>
  <c r="D9" i="69"/>
  <c r="D6" i="73"/>
  <c r="D4" i="73"/>
  <c r="C16" i="67"/>
  <c r="C36" i="69"/>
  <c r="D5" i="73"/>
  <c r="C16" i="15"/>
  <c r="S40" i="34" l="1"/>
  <c r="AB40" i="34"/>
  <c r="F30" i="6"/>
  <c r="E29" i="6"/>
  <c r="K15" i="1" s="1"/>
  <c r="F7" i="36"/>
  <c r="J7" i="37"/>
  <c r="H7" i="36"/>
  <c r="D59" i="71"/>
  <c r="C60" i="71"/>
  <c r="AZ522" i="3"/>
  <c r="AB12" i="36"/>
  <c r="U12" i="36"/>
  <c r="U12" i="33"/>
  <c r="AB12" i="33"/>
  <c r="U44" i="34"/>
  <c r="AC40" i="34"/>
  <c r="D51" i="71"/>
  <c r="C52" i="71"/>
  <c r="AA44" i="39"/>
  <c r="S44" i="39"/>
  <c r="AC9" i="33"/>
  <c r="W9" i="33"/>
  <c r="AZ586" i="3"/>
  <c r="AZ469" i="3"/>
  <c r="S15" i="34"/>
  <c r="AA15" i="34"/>
  <c r="BA5" i="3"/>
  <c r="W37" i="34"/>
  <c r="F7" i="81"/>
  <c r="AA7" i="81" s="1"/>
  <c r="R49" i="81" s="1"/>
  <c r="H7" i="81"/>
  <c r="AB7" i="81" s="1"/>
  <c r="T49" i="81" s="1"/>
  <c r="G49" i="81" s="1"/>
  <c r="S7" i="81"/>
  <c r="U7" i="81"/>
  <c r="W7" i="81"/>
  <c r="AC7" i="81"/>
  <c r="V49" i="81" s="1"/>
  <c r="I49" i="81" s="1"/>
  <c r="AA37" i="34"/>
  <c r="S37" i="34"/>
  <c r="G112" i="34"/>
  <c r="H112" i="34" s="1"/>
  <c r="I112" i="34" s="1"/>
  <c r="J112" i="34" s="1"/>
  <c r="K112" i="34" s="1"/>
  <c r="L112" i="34" s="1"/>
  <c r="M112" i="34" s="1"/>
  <c r="H37" i="34"/>
  <c r="S43" i="34"/>
  <c r="AB43" i="34"/>
  <c r="U43" i="34"/>
  <c r="W44" i="34"/>
  <c r="AC44" i="34"/>
  <c r="S9" i="34"/>
  <c r="N370" i="46"/>
  <c r="G26" i="43"/>
  <c r="F26" i="43"/>
  <c r="N94" i="46"/>
  <c r="E26" i="43"/>
  <c r="J26" i="43"/>
  <c r="C48" i="69"/>
  <c r="C30" i="69"/>
  <c r="F31" i="12"/>
  <c r="C31" i="12" s="1"/>
  <c r="F28" i="67"/>
  <c r="C28" i="67" s="1"/>
  <c r="M18" i="67"/>
  <c r="J18" i="67" s="1"/>
  <c r="M18" i="15"/>
  <c r="F28" i="15"/>
  <c r="C28" i="15" s="1"/>
  <c r="F54" i="9"/>
  <c r="F32" i="67"/>
  <c r="F60" i="67" s="1"/>
  <c r="F48" i="9"/>
  <c r="O52" i="9" s="1"/>
  <c r="F30" i="68"/>
  <c r="F32" i="15"/>
  <c r="F60" i="15" s="1"/>
  <c r="F52" i="9"/>
  <c r="K1" i="73"/>
  <c r="G16" i="1"/>
  <c r="F10" i="39" s="1"/>
  <c r="S10" i="39" s="1"/>
  <c r="Q16" i="1"/>
  <c r="H16" i="1"/>
  <c r="P6" i="1"/>
  <c r="C13" i="12" s="1"/>
  <c r="K16" i="1"/>
  <c r="E510" i="3"/>
  <c r="E329" i="3"/>
  <c r="E205" i="3"/>
  <c r="E16" i="3"/>
  <c r="E296" i="3"/>
  <c r="E188" i="3"/>
  <c r="E140" i="3"/>
  <c r="E223" i="3"/>
  <c r="E116" i="3"/>
  <c r="E173" i="3"/>
  <c r="E105" i="3"/>
  <c r="E369"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2" i="3"/>
  <c r="E365" i="3"/>
  <c r="E356" i="3"/>
  <c r="E524" i="3"/>
  <c r="E564" i="3"/>
  <c r="E308" i="3"/>
  <c r="E360" i="3"/>
  <c r="E494" i="3"/>
  <c r="E137" i="3"/>
  <c r="E543" i="3"/>
  <c r="E534" i="3"/>
  <c r="E522" i="3"/>
  <c r="E512" i="3"/>
  <c r="E497" i="3"/>
  <c r="E49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93" i="3"/>
  <c r="E340" i="3"/>
  <c r="E383" i="3"/>
  <c r="E15" i="3"/>
  <c r="E197" i="3"/>
  <c r="E507" i="3"/>
  <c r="E540" i="3"/>
  <c r="E525" i="3"/>
  <c r="E498"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T44" i="71"/>
  <c r="D44" i="71"/>
  <c r="S34" i="35"/>
  <c r="AA34" i="35"/>
  <c r="AC34" i="35"/>
  <c r="W34" i="35"/>
  <c r="W12" i="34"/>
  <c r="AC12" i="34"/>
  <c r="AC9" i="34"/>
  <c r="W9" i="34"/>
  <c r="AB23" i="36"/>
  <c r="U23" i="36"/>
  <c r="AC36" i="35"/>
  <c r="W36" i="35"/>
  <c r="W12" i="35"/>
  <c r="AC12" i="35"/>
  <c r="W45" i="39"/>
  <c r="AC45" i="39"/>
  <c r="S14" i="21"/>
  <c r="AA14" i="21"/>
  <c r="AA28" i="21"/>
  <c r="S28" i="21"/>
  <c r="S30" i="21"/>
  <c r="AA30" i="21"/>
  <c r="W31" i="21"/>
  <c r="AC31" i="21"/>
  <c r="S45" i="21"/>
  <c r="AA45" i="21"/>
  <c r="AB29" i="33"/>
  <c r="U29" i="33"/>
  <c r="AB31" i="33"/>
  <c r="U31" i="33"/>
  <c r="S45" i="33"/>
  <c r="AA45" i="33"/>
  <c r="AB14" i="34"/>
  <c r="U14" i="34"/>
  <c r="W32" i="34"/>
  <c r="AC32" i="34"/>
  <c r="AC40" i="37"/>
  <c r="W40" i="37"/>
  <c r="AA25" i="36"/>
  <c r="S25" i="36"/>
  <c r="AA43" i="39"/>
  <c r="S43" i="39"/>
  <c r="AC27" i="37"/>
  <c r="W27" i="37"/>
  <c r="AC27" i="40"/>
  <c r="W27" i="40"/>
  <c r="C19" i="71"/>
  <c r="T20" i="71"/>
  <c r="D20" i="71"/>
  <c r="U20" i="71" s="1"/>
  <c r="AZ5" i="3"/>
  <c r="B66" i="71"/>
  <c r="N67" i="71"/>
  <c r="AB34" i="35"/>
  <c r="U34" i="35"/>
  <c r="S12" i="34"/>
  <c r="AA12" i="34"/>
  <c r="AA23" i="36"/>
  <c r="S23" i="36"/>
  <c r="AC23" i="36"/>
  <c r="W23" i="36"/>
  <c r="AB36" i="35"/>
  <c r="U36" i="35"/>
  <c r="S45" i="39"/>
  <c r="AA45" i="39"/>
  <c r="AB14" i="21"/>
  <c r="U14" i="21"/>
  <c r="AC28" i="21"/>
  <c r="W28" i="21"/>
  <c r="AC30" i="21"/>
  <c r="W30" i="21"/>
  <c r="S31" i="21"/>
  <c r="AA31" i="21"/>
  <c r="AA13" i="33"/>
  <c r="S13" i="33"/>
  <c r="S29" i="33"/>
  <c r="AA29" i="33"/>
  <c r="AC45" i="33"/>
  <c r="W45" i="33"/>
  <c r="AA14" i="34"/>
  <c r="S14" i="34"/>
  <c r="AC30" i="34"/>
  <c r="W30" i="34"/>
  <c r="AA46" i="34"/>
  <c r="S46" i="34"/>
  <c r="AA40" i="37"/>
  <c r="S40" i="37"/>
  <c r="AB25" i="36"/>
  <c r="U25" i="36"/>
  <c r="AB43" i="39"/>
  <c r="U43" i="39"/>
  <c r="AB28" i="34"/>
  <c r="U28" i="34"/>
  <c r="S27" i="40"/>
  <c r="AA27" i="40"/>
  <c r="BL5" i="3"/>
  <c r="D121" i="9"/>
  <c r="D7" i="52" s="1"/>
  <c r="D6" i="52"/>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D3" i="81" s="1"/>
  <c r="B3" i="81" s="1"/>
  <c r="M14" i="1"/>
  <c r="D5" i="43"/>
  <c r="J10" i="40"/>
  <c r="AC10" i="40" s="1"/>
  <c r="F10" i="40"/>
  <c r="S10" i="40" s="1"/>
  <c r="H10" i="40"/>
  <c r="AB10" i="40" s="1"/>
  <c r="C7" i="43"/>
  <c r="C5" i="43" s="1"/>
  <c r="D10" i="52"/>
  <c r="D125" i="9"/>
  <c r="D11" i="52" s="1"/>
  <c r="B7" i="74"/>
  <c r="C7" i="74" s="1"/>
  <c r="F67" i="39"/>
  <c r="F59" i="67"/>
  <c r="H7" i="37"/>
  <c r="AB7" i="37" s="1"/>
  <c r="T42" i="37" s="1"/>
  <c r="G42" i="37" s="1"/>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9"/>
  <c r="Q60" i="67"/>
  <c r="Q73" i="67"/>
  <c r="M11" i="67"/>
  <c r="J10" i="67" s="1"/>
  <c r="J5"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F41" i="67"/>
  <c r="F27" i="69"/>
  <c r="G1" i="73"/>
  <c r="D26" i="43" l="1"/>
  <c r="C25" i="43" s="1"/>
  <c r="T52" i="71"/>
  <c r="D52" i="71"/>
  <c r="T60" i="71"/>
  <c r="D60" i="71"/>
  <c r="I53" i="81"/>
  <c r="J53" i="81" s="1"/>
  <c r="E49" i="81"/>
  <c r="I54" i="81" s="1"/>
  <c r="J54" i="81" s="1"/>
  <c r="R50" i="81"/>
  <c r="G53" i="81"/>
  <c r="H53" i="81" s="1"/>
  <c r="G54" i="81"/>
  <c r="H54" i="81" s="1"/>
  <c r="U37" i="34"/>
  <c r="AB37" i="34"/>
  <c r="T49" i="34" s="1"/>
  <c r="G49" i="34" s="1"/>
  <c r="G53" i="34" s="1"/>
  <c r="H53" i="34" s="1"/>
  <c r="F45" i="69"/>
  <c r="C47" i="69"/>
  <c r="D45" i="69" s="1"/>
  <c r="C29" i="69"/>
  <c r="D27" i="69" s="1"/>
  <c r="C32" i="67"/>
  <c r="F48" i="68"/>
  <c r="C48" i="68"/>
  <c r="C30" i="68"/>
  <c r="F27" i="11"/>
  <c r="C29" i="11" s="1"/>
  <c r="D27" i="11" s="1"/>
  <c r="J10" i="39"/>
  <c r="W10" i="39" s="1"/>
  <c r="H10" i="39"/>
  <c r="U10" i="39" s="1"/>
  <c r="B40" i="1"/>
  <c r="L36" i="43" s="1"/>
  <c r="L37" i="43" s="1"/>
  <c r="F28" i="12"/>
  <c r="C29" i="12" s="1"/>
  <c r="D28" i="12" s="1"/>
  <c r="E11" i="71"/>
  <c r="E10" i="71" s="1"/>
  <c r="E9" i="71" s="1"/>
  <c r="E8" i="71" s="1"/>
  <c r="E7" i="71" s="1"/>
  <c r="E6" i="71" s="1"/>
  <c r="E5" i="71" s="1"/>
  <c r="V12" i="71"/>
  <c r="E65" i="39"/>
  <c r="N65" i="71"/>
  <c r="N66" i="71"/>
  <c r="C18" i="71"/>
  <c r="D19"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M27" i="67"/>
  <c r="F41" i="15"/>
  <c r="C49" i="81" l="1"/>
  <c r="C50" i="81"/>
  <c r="E54" i="81"/>
  <c r="F54" i="81" s="1"/>
  <c r="E53" i="81"/>
  <c r="F53" i="81" s="1"/>
  <c r="G54" i="34"/>
  <c r="H54" i="34" s="1"/>
  <c r="R50" i="34"/>
  <c r="C49" i="34" s="1"/>
  <c r="D35" i="80" s="1"/>
  <c r="J8" i="80" s="1"/>
  <c r="E49" i="34"/>
  <c r="E53" i="34" s="1"/>
  <c r="F53" i="34" s="1"/>
  <c r="D116" i="43"/>
  <c r="F22" i="11"/>
  <c r="C23" i="11" s="1"/>
  <c r="F24" i="15"/>
  <c r="C24" i="15" s="1"/>
  <c r="F22" i="69"/>
  <c r="F41" i="69" s="1"/>
  <c r="F22" i="68"/>
  <c r="F41" i="68" s="1"/>
  <c r="F24" i="67"/>
  <c r="C24" i="67" s="1"/>
  <c r="F25" i="12"/>
  <c r="C26" i="12" s="1"/>
  <c r="D25" i="12" s="1"/>
  <c r="C47" i="11"/>
  <c r="D45" i="11" s="1"/>
  <c r="Q36" i="43"/>
  <c r="M36" i="43"/>
  <c r="P36" i="43"/>
  <c r="O36" i="43"/>
  <c r="N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8"/>
  <c r="C17" i="67"/>
  <c r="C34" i="69"/>
  <c r="D10" i="69"/>
  <c r="C14" i="67"/>
  <c r="C17" i="15"/>
  <c r="I54" i="34" l="1"/>
  <c r="J54" i="34" s="1"/>
  <c r="E54" i="34"/>
  <c r="F54" i="34" s="1"/>
  <c r="H21" i="6"/>
  <c r="C50" i="34"/>
  <c r="C44" i="68"/>
  <c r="D41" i="68" s="1"/>
  <c r="C44" i="11"/>
  <c r="D41" i="11" s="1"/>
  <c r="C24" i="11"/>
  <c r="C26" i="11"/>
  <c r="D22" i="11" s="1"/>
  <c r="C44" i="69"/>
  <c r="D41" i="69" s="1"/>
  <c r="C25" i="11"/>
  <c r="C26" i="69"/>
  <c r="D22" i="69" s="1"/>
  <c r="C26" i="68"/>
  <c r="D22" i="68" s="1"/>
  <c r="H25" i="6"/>
  <c r="D17" i="71"/>
  <c r="C16"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B29" i="1"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8" i="69" l="1"/>
  <c r="C5" i="69" s="1"/>
  <c r="C23" i="69"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AC7" i="21" s="1"/>
  <c r="V48" i="21" s="1"/>
  <c r="I48" i="21" s="1"/>
  <c r="C14" i="71"/>
  <c r="D15"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c r="C20" i="68" l="1"/>
  <c r="C28" i="68" s="1"/>
  <c r="C27" i="68" s="1"/>
  <c r="C22" i="12"/>
  <c r="C27" i="12" s="1"/>
  <c r="C25" i="12" s="1"/>
  <c r="D14" i="71"/>
  <c r="C13"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C30" i="12" l="1"/>
  <c r="C28" i="12" s="1"/>
  <c r="C32" i="12" s="1"/>
  <c r="B2" i="12" s="1"/>
  <c r="B3" i="12"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C51" i="69" l="1"/>
  <c r="C7" i="80" s="1"/>
  <c r="C23" i="80"/>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67"/>
  <c r="C52" i="69" l="1"/>
  <c r="C3" i="80" s="1"/>
  <c r="C4" i="80" s="1"/>
  <c r="C10" i="71"/>
  <c r="D11"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7" i="69" l="1"/>
  <c r="C56" i="69" s="1"/>
  <c r="B2" i="69"/>
  <c r="C9" i="71"/>
  <c r="D10"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B3" i="69"/>
  <c r="D2" i="34"/>
  <c r="D2" i="37"/>
  <c r="D2" i="36"/>
  <c r="L51" i="15"/>
  <c r="D2" i="35"/>
  <c r="C8" i="71" l="1"/>
  <c r="D9"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AO6" i="1"/>
  <c r="AO10" i="1"/>
  <c r="AO11" i="1"/>
  <c r="AO9" i="1"/>
  <c r="AO12" i="1"/>
  <c r="C7" i="71" l="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6" i="71" l="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8" i="80" l="1"/>
  <c r="C18" i="80" l="1"/>
  <c r="E16" i="80" s="1"/>
  <c r="C17" i="80"/>
  <c r="C16" i="80" s="1"/>
  <c r="C26" i="80" l="1"/>
  <c r="C27" i="80" l="1"/>
  <c r="C24" i="80" s="1"/>
  <c r="C29" i="80" s="1"/>
  <c r="C30" i="80" s="1"/>
  <c r="D36" i="80" s="1"/>
  <c r="D37" i="80" l="1"/>
  <c r="G35" i="80"/>
  <c r="J9" i="80"/>
  <c r="C38" i="80" l="1"/>
  <c r="C39" i="80" s="1"/>
  <c r="E38" i="80"/>
  <c r="E39" i="80" s="1"/>
  <c r="N34" i="80"/>
  <c r="J10" i="80"/>
  <c r="G37" i="80"/>
  <c r="H5" i="52" l="1"/>
  <c r="H119" i="9"/>
  <c r="B47" i="72"/>
  <c r="D4" i="52"/>
  <c r="D54" i="9"/>
  <c r="C68" i="9"/>
  <c r="C73" i="9"/>
  <c r="C78" i="9"/>
  <c r="N61" i="9"/>
  <c r="N59" i="9"/>
  <c r="N60" i="9"/>
  <c r="E81" i="9"/>
  <c r="E80" i="9"/>
  <c r="C80" i="9"/>
  <c r="B22" i="72"/>
  <c r="D6" i="53"/>
  <c r="M54" i="9"/>
  <c r="D56" i="9"/>
  <c r="D58" i="9"/>
  <c r="C97" i="9"/>
  <c r="B52" i="72"/>
  <c r="G4" i="52"/>
  <c r="C5" i="74"/>
  <c r="B30" i="72"/>
  <c r="D8" i="52"/>
  <c r="M48" i="9"/>
  <c r="C6" i="74"/>
  <c r="P57" i="9"/>
  <c r="D55" i="9"/>
  <c r="M53" i="9"/>
  <c r="N57" i="9"/>
  <c r="N58" i="9"/>
  <c r="I4" i="52"/>
  <c r="C105" i="9"/>
  <c r="C72" i="9"/>
  <c r="C79" i="9"/>
  <c r="C81" i="9"/>
  <c r="C104" i="9"/>
  <c r="H4" i="52"/>
  <c r="D13" i="53"/>
  <c r="D14" i="53"/>
  <c r="B32" i="72"/>
  <c r="D5" i="53"/>
  <c r="B20" i="72"/>
  <c r="F119" i="9"/>
  <c r="F5" i="52"/>
  <c r="B53" i="72"/>
  <c r="D53" i="9"/>
  <c r="D52" i="9"/>
  <c r="G118" i="9"/>
  <c r="F118" i="9"/>
  <c r="F4" i="52"/>
  <c r="B51" i="72"/>
  <c r="H108" i="9"/>
  <c r="D15" i="53"/>
  <c r="B31" i="72"/>
  <c r="E4" i="52"/>
  <c r="B48" i="72"/>
  <c r="C64" i="9"/>
  <c r="C63" i="9"/>
  <c r="C67" i="9"/>
  <c r="D59" i="9"/>
  <c r="M55" i="9"/>
  <c r="H107" i="9"/>
  <c r="D122" i="9"/>
  <c r="D123" i="9"/>
  <c r="D9" i="52"/>
  <c r="C85" i="9"/>
  <c r="C95" i="9"/>
  <c r="C96" i="9"/>
  <c r="E96" i="9"/>
  <c r="E97" i="9"/>
  <c r="H102" i="9"/>
  <c r="D7" i="53"/>
  <c r="B21" i="72"/>
  <c r="E118" i="9"/>
  <c r="D118" i="9"/>
  <c r="D119" i="9"/>
  <c r="D5" i="52"/>
  <c r="B49" i="72"/>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<sst xmlns="http://schemas.openxmlformats.org/spreadsheetml/2006/main" count="8266" uniqueCount="3563">
  <si>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</si>
  <si>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</si>
  <si>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</si>
  <si>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</si>
  <si>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</si>
  <si>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</si>
  <si>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</si>
  <si>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</si>
  <si>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</si>
  <si>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</si>
  <si>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</si>
  <si>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</si>
  <si>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</si>
  <si>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</si>
  <si>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</si>
  <si>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</si>
  <si>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</si>
  <si>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</si>
  <si>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</si>
  <si>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</si>
  <si>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</si>
  <si>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</si>
  <si>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</si>
  <si>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</si>
  <si>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</si>
  <si>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</si>
  <si>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</si>
  <si>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</si>
  <si>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</si>
  <si>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</si>
  <si>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</si>
  <si>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</si>
  <si>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</si>
  <si>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</si>
  <si>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</si>
  <si>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</si>
  <si>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</si>
  <si>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</si>
  <si>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</si>
  <si>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</si>
  <si>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</si>
  <si>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</si>
  <si>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</si>
  <si>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</si>
  <si>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</si>
  <si>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</si>
  <si>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</si>
  <si>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</si>
  <si>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</si>
  <si>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</si>
  <si>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</si>
  <si>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</si>
  <si>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</si>
  <si>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</si>
  <si>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</si>
  <si>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</si>
  <si>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</si>
  <si>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</si>
  <si>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</si>
  <si>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</si>
  <si>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</si>
  <si>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</si>
  <si>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</si>
  <si>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</si>
  <si>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</si>
  <si>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</si>
  <si>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</si>
  <si>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</si>
  <si>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</si>
  <si>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</si>
  <si>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</si>
  <si>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</si>
  <si>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</si>
  <si>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</si>
  <si>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</si>
  <si>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</si>
  <si>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</si>
  <si>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</si>
  <si>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</si>
  <si>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</si>
  <si>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</si>
  <si>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</si>
  <si>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</si>
  <si>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</si>
  <si>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</si>
  <si>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</si>
  <si>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</si>
  <si>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</si>
  <si>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</si>
  <si>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</si>
  <si>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</si>
  <si>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</si>
  <si>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</si>
  <si>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</si>
  <si>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</si>
  <si>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</si>
  <si>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</si>
  <si>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</si>
  <si>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</si>
  <si>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</si>
  <si>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</si>
  <si>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</si>
  <si>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</si>
  <si>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</si>
  <si>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</si>
  <si>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</si>
  <si>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</si>
  <si>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</si>
  <si>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</si>
  <si>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</si>
  <si>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</si>
  <si>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</si>
  <si>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</si>
  <si>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</si>
  <si>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</si>
  <si>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</si>
  <si>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</si>
  <si>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</si>
  <si>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</si>
  <si>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</si>
  <si>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</si>
  <si>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</si>
  <si>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</si>
  <si>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</si>
  <si>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</si>
  <si>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</si>
  <si>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</si>
  <si>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</si>
  <si>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</si>
  <si>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</si>
  <si>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</si>
  <si>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</si>
  <si>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</si>
  <si>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</si>
  <si>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</si>
  <si>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</si>
  <si>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</si>
  <si>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</si>
  <si>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</si>
  <si>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</si>
  <si>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</si>
  <si>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</si>
  <si>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</si>
  <si>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</si>
  <si>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</si>
  <si>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</si>
  <si>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</si>
  <si>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</si>
  <si>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</si>
  <si>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</si>
  <si>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</si>
  <si>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</si>
  <si>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</si>
  <si>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</si>
  <si>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</si>
  <si>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</si>
  <si>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</si>
  <si>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</si>
  <si>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</si>
  <si>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</si>
  <si>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</si>
  <si>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</si>
  <si>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</si>
  <si>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</si>
  <si>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</si>
  <si>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</si>
  <si>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</si>
  <si>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</si>
  <si>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</si>
  <si>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</si>
  <si>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</si>
  <si>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</si>
  <si>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</si>
  <si>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</si>
  <si>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</si>
  <si>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</si>
  <si>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</si>
  <si>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</si>
  <si>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</si>
  <si>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</si>
  <si>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</si>
  <si>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</si>
  <si>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</si>
  <si>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</si>
  <si>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</si>
  <si>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</si>
  <si>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</si>
  <si>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</si>
  <si>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</si>
  <si>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</si>
  <si>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</si>
  <si>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</si>
  <si>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</si>
  <si>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</si>
  <si>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</si>
  <si>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</si>
  <si>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</si>
  <si>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</si>
  <si>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</si>
  <si>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</si>
  <si>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</si>
  <si>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</si>
  <si>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</si>
  <si>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</si>
  <si>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</si>
  <si>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</si>
  <si>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</si>
  <si>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</si>
  <si>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</si>
  <si>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</si>
  <si>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</si>
  <si>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</si>
  <si>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</si>
  <si>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</si>
  <si>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</si>
  <si>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</si>
  <si>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</si>
  <si>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</si>
  <si>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</si>
  <si>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</si>
  <si>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</si>
  <si>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</si>
  <si>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</si>
  <si>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</si>
  <si>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</si>
  <si>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</si>
  <si>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</si>
  <si>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</si>
  <si>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</si>
  <si>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</si>
  <si>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</si>
  <si>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</si>
  <si>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</si>
  <si>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</si>
  <si>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</si>
  <si>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</si>
  <si>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</si>
  <si>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</si>
  <si>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</si>
  <si>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</si>
  <si>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</si>
  <si>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</si>
  <si>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</si>
  <si>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</si>
  <si>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</si>
  <si>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</si>
  <si>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</si>
  <si>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</si>
  <si>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</si>
  <si>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</si>
  <si>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</si>
  <si>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</si>
  <si>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</si>
  <si>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</si>
  <si>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</si>
  <si>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</si>
  <si>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</si>
  <si>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</si>
  <si>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</si>
  <si>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</si>
  <si>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</si>
  <si>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</si>
  <si>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</si>
  <si>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</si>
  <si>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</si>
  <si>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</si>
  <si>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</si>
  <si>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</si>
  <si>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</si>
  <si>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</si>
  <si>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</si>
  <si>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</si>
  <si>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</si>
  <si>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</si>
  <si>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</si>
  <si>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</si>
  <si>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</si>
  <si>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</si>
  <si>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</si>
  <si>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</si>
  <si>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</si>
  <si>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</si>
  <si>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</si>
  <si>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</si>
  <si>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</si>
  <si>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</si>
  <si>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</si>
  <si>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</si>
  <si>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</si>
  <si>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</si>
  <si>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</si>
  <si>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</si>
  <si>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</si>
  <si>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</si>
  <si>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</si>
  <si>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</si>
  <si>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</si>
  <si>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</si>
  <si>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</si>
  <si>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</si>
  <si>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</si>
  <si>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</si>
  <si>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</si>
  <si>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</si>
  <si>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</si>
  <si>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</si>
  <si>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</si>
  <si>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</si>
  <si>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</si>
  <si>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</si>
  <si>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</si>
  <si>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</si>
  <si>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</si>
  <si>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</si>
  <si>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</si>
  <si>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</si>
  <si>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</si>
  <si>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</si>
  <si>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</si>
  <si>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</si>
  <si>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</si>
  <si>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</si>
  <si>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</si>
  <si>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</si>
  <si>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</si>
  <si>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</si>
  <si>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</si>
  <si>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</si>
  <si>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</si>
  <si>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</si>
  <si>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</si>
  <si>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</si>
  <si>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</si>
  <si>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</si>
  <si>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</si>
  <si>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</si>
  <si>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</si>
  <si>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</si>
  <si>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</si>
  <si>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</si>
  <si>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</si>
  <si>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</si>
  <si>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</si>
  <si>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</si>
  <si>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</si>
  <si>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</si>
  <si>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</si>
  <si>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</si>
  <si>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</si>
  <si>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</si>
  <si>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</si>
  <si>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</si>
  <si>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</si>
  <si>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</si>
  <si>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</si>
  <si>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</si>
  <si>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</si>
  <si>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</si>
  <si>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</si>
  <si>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</si>
  <si>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</si>
  <si>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</si>
  <si>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</si>
  <si>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</si>
  <si>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</si>
  <si>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</si>
  <si>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</si>
  <si>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</si>
  <si>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</si>
  <si>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</si>
  <si>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</si>
  <si>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</si>
  <si>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</si>
  <si>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</si>
  <si>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</si>
  <si>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</si>
  <si>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</si>
  <si>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</si>
  <si>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</si>
  <si>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</si>
  <si>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</si>
  <si>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</si>
  <si>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</si>
  <si>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</si>
  <si>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</si>
  <si>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</si>
  <si>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</si>
  <si>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</si>
  <si>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</si>
  <si>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</si>
  <si>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</si>
  <si>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</si>
  <si>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</si>
  <si>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</si>
  <si>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</si>
  <si>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</si>
  <si>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</si>
  <si>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</si>
  <si>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</si>
  <si>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</si>
  <si>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</si>
  <si>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</si>
  <si>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</si>
  <si>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</si>
  <si>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</si>
  <si>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</si>
  <si>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</si>
  <si>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</si>
  <si>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</si>
  <si>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</si>
  <si>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</si>
  <si>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</si>
  <si>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</si>
  <si>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</si>
  <si>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</si>
  <si>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</si>
  <si>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</si>
  <si>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</si>
  <si>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</si>
  <si>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</si>
  <si>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</si>
  <si>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</si>
  <si>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</si>
  <si>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</si>
  <si>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</si>
  <si>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</si>
  <si>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</si>
  <si>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</si>
  <si>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</si>
  <si>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</si>
  <si>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</si>
  <si>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</si>
  <si>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</si>
  <si>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</si>
  <si>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</si>
  <si>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</si>
  <si>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</si>
  <si>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</si>
  <si>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</si>
  <si>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</si>
  <si>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</si>
  <si>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</si>
  <si>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</si>
  <si>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</si>
  <si>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</si>
  <si>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</si>
  <si>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</si>
  <si>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</si>
  <si>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</si>
  <si>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</si>
  <si>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</si>
  <si>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</si>
  <si>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</si>
  <si>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</si>
  <si>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</si>
  <si>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</si>
  <si>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</si>
  <si>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</si>
  <si>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</si>
  <si>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</si>
  <si>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</si>
  <si>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</si>
  <si>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</si>
  <si>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</si>
  <si>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</si>
  <si>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</si>
  <si>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</si>
  <si>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</si>
  <si>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</si>
  <si>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</si>
  <si>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</si>
  <si>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</si>
  <si>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</si>
  <si>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</si>
  <si>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</si>
  <si>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</si>
  <si>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</si>
  <si>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</si>
  <si>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</si>
  <si>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</si>
  <si>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</si>
  <si>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</si>
  <si>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</si>
  <si>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</si>
  <si>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</si>
  <si>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</si>
  <si>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</si>
  <si>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</si>
  <si>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</si>
  <si>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</si>
  <si>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</si>
  <si>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</si>
  <si>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</si>
  <si>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</si>
  <si>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</si>
  <si>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</si>
  <si>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</si>
  <si>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</si>
  <si>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</si>
  <si>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</si>
  <si>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</si>
  <si>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</si>
  <si>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</si>
  <si>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</si>
  <si>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</si>
  <si>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</si>
  <si>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</si>
  <si>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</si>
  <si>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</si>
  <si>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</si>
  <si>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</si>
  <si>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</si>
  <si>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</si>
  <si>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</si>
  <si>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</si>
  <si>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</si>
  <si>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</si>
  <si>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</si>
  <si>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</si>
  <si>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</si>
  <si>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</si>
  <si>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</si>
  <si>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</si>
  <si>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</si>
  <si>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</si>
  <si>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</si>
  <si>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</si>
  <si>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</si>
  <si>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</si>
  <si>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</si>
  <si>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</si>
  <si>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</si>
  <si>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</si>
  <si>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</si>
  <si>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</si>
  <si>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</si>
  <si>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</si>
  <si>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</si>
  <si>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</si>
  <si>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</si>
  <si>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</si>
  <si>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</si>
  <si>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</si>
  <si>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</si>
  <si>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</si>
  <si>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</si>
  <si>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</si>
  <si>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</si>
  <si>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</si>
  <si>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</si>
  <si>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</si>
  <si>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</si>
  <si>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</si>
  <si>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</si>
  <si>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</si>
  <si>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</si>
  <si>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</si>
  <si>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</si>
  <si>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</si>
  <si>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</si>
  <si>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</si>
  <si>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</si>
  <si>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</si>
  <si>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</si>
  <si>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</si>
  <si>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</si>
  <si>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</si>
  <si>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</si>
  <si>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</si>
  <si>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</si>
  <si>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</si>
  <si>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</si>
  <si>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</si>
  <si>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</si>
  <si>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</si>
  <si>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</si>
  <si>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</si>
  <si>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</si>
  <si>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</si>
  <si>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</si>
  <si>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</si>
  <si>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</si>
  <si>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</si>
  <si>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</si>
  <si>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</si>
  <si>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</si>
  <si>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</si>
  <si>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</si>
  <si>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</si>
  <si>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</si>
  <si>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</si>
  <si>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</si>
  <si>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</si>
  <si>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</si>
  <si>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</si>
  <si>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</si>
  <si>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</si>
  <si>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</si>
  <si>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</si>
  <si>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</si>
  <si>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</si>
  <si>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</si>
  <si>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</si>
  <si>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</si>
  <si>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</si>
  <si>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</si>
  <si>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</si>
  <si>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</si>
  <si>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</si>
  <si>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</si>
  <si>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</si>
  <si>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</si>
  <si>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</si>
  <si>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</si>
  <si>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</si>
  <si>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</si>
  <si>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</si>
  <si>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</si>
  <si>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</si>
  <si>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</si>
  <si>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</si>
  <si>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</si>
  <si>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</si>
  <si>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</si>
  <si>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</si>
  <si>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</si>
  <si>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</si>
  <si>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</si>
  <si>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</si>
  <si>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</si>
  <si>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</si>
  <si>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</si>
  <si>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</si>
  <si>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</si>
  <si>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</si>
  <si>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</si>
  <si>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</si>
  <si>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</si>
  <si>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</si>
  <si>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</si>
  <si>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</si>
  <si>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</si>
  <si>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</si>
  <si>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</si>
  <si>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</si>
  <si>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</si>
  <si>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</si>
  <si>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</si>
  <si>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</si>
  <si>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</si>
  <si>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</si>
  <si>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</si>
  <si>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</si>
  <si>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</si>
  <si>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</si>
  <si>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</si>
  <si>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</si>
  <si>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</si>
  <si>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</si>
  <si>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</si>
  <si>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</si>
  <si>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</si>
  <si>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</si>
  <si>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</si>
  <si>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</si>
  <si>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</si>
  <si>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</si>
  <si>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</si>
  <si>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</si>
  <si>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</si>
  <si>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</si>
  <si>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</si>
  <si>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</si>
  <si>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</si>
  <si>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</si>
  <si>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</si>
  <si>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</si>
  <si>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</si>
  <si>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</si>
  <si>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</si>
  <si>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</si>
  <si>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</si>
  <si>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</si>
  <si>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</si>
  <si>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</si>
  <si>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</si>
  <si>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</si>
  <si>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</si>
  <si>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</si>
  <si>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</si>
  <si>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</si>
  <si>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</si>
  <si>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</si>
  <si>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</si>
  <si>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</si>
  <si>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</si>
  <si>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</si>
  <si>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</si>
  <si>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</si>
  <si>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</si>
  <si>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</si>
  <si>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</si>
  <si>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</si>
  <si>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</si>
  <si>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</si>
  <si>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</si>
  <si>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</si>
  <si>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</si>
  <si>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</si>
  <si>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</si>
  <si>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</si>
  <si>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</si>
  <si>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</si>
  <si>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</si>
  <si>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</si>
  <si>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</si>
  <si>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</si>
  <si>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</si>
  <si>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</si>
  <si>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</si>
  <si>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</si>
  <si>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</si>
  <si>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</si>
  <si>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</si>
  <si>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</si>
  <si>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</si>
  <si>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</si>
  <si>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</si>
  <si>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</si>
  <si>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</si>
  <si>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</si>
  <si>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</si>
  <si>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</si>
  <si>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</si>
  <si>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</si>
  <si>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</si>
  <si>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</si>
  <si>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</si>
  <si>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</si>
  <si>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</si>
  <si>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</si>
  <si>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</si>
  <si>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</si>
  <si>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</si>
  <si>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</si>
  <si>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</si>
  <si>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</si>
  <si>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</si>
  <si>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</si>
  <si>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</si>
  <si>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</si>
  <si>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</si>
  <si>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</si>
  <si>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</si>
  <si>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</si>
  <si>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</si>
  <si>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</si>
  <si>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</si>
  <si>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</si>
  <si>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</si>
  <si>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</si>
  <si>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</si>
  <si>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</si>
  <si>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</si>
  <si>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</si>
  <si>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</si>
  <si>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</si>
  <si>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</si>
  <si>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</si>
  <si>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</si>
  <si>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</si>
  <si>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</si>
  <si>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</si>
  <si>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</si>
  <si>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</si>
  <si>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</si>
  <si>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</si>
  <si>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</si>
  <si>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</si>
  <si>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</si>
  <si>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</si>
  <si>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</si>
  <si>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</si>
  <si>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</si>
  <si>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</si>
  <si>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</si>
  <si>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</si>
  <si>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</si>
  <si>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</si>
  <si>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</si>
  <si>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</si>
  <si>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</si>
  <si>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</si>
  <si>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</si>
  <si>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</si>
  <si>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</si>
  <si>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</si>
  <si>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</si>
  <si>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</si>
  <si>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</si>
  <si>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</si>
  <si>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</si>
  <si>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</si>
  <si>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</si>
  <si>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</si>
  <si>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</si>
  <si>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</si>
  <si>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</si>
  <si>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</si>
  <si>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</si>
  <si>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</si>
  <si>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</si>
  <si>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</si>
  <si>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</si>
  <si>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</si>
  <si>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</si>
  <si>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</si>
  <si>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</si>
  <si>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</si>
  <si>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</si>
  <si>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</si>
  <si>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</si>
  <si>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</si>
  <si>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</si>
  <si>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</si>
  <si>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</si>
  <si>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</si>
  <si>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</si>
  <si>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</si>
  <si>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</si>
  <si>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</si>
  <si>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</si>
  <si>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</si>
  <si>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</si>
  <si>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</si>
  <si>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</si>
  <si>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</si>
  <si>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</si>
  <si>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</si>
  <si>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</si>
  <si>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</si>
  <si>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</si>
  <si>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</si>
  <si>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</si>
  <si>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</si>
  <si>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</si>
  <si>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</si>
  <si>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</si>
  <si>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</si>
  <si>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</si>
  <si>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</si>
  <si>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</si>
  <si>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</si>
  <si>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</si>
  <si>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</si>
  <si>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</si>
  <si>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</si>
  <si>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</si>
  <si>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</si>
  <si>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</si>
  <si>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</si>
  <si>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</si>
  <si>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</si>
  <si>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</si>
  <si>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</si>
  <si>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</si>
  <si>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</si>
  <si>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</si>
  <si>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</si>
  <si>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</si>
  <si>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</si>
  <si>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</si>
  <si>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</si>
  <si>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</si>
  <si>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</si>
  <si>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</si>
  <si>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</si>
  <si>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</si>
  <si>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</si>
  <si>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</si>
  <si>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</si>
  <si>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</si>
  <si>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</si>
  <si>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</si>
  <si>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</si>
  <si>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</si>
  <si>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</si>
  <si>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</si>
  <si>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</si>
  <si>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</si>
  <si>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</si>
  <si>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</si>
  <si>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</si>
  <si>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</si>
  <si>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</si>
  <si>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</si>
  <si>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</si>
  <si>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</si>
  <si>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</si>
  <si>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</si>
  <si>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</si>
  <si>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</si>
  <si>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</si>
  <si>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</si>
  <si>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</si>
  <si>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</si>
  <si>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</si>
  <si>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</si>
  <si>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</si>
  <si>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</si>
  <si>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</si>
  <si>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</si>
  <si>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</si>
  <si>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</si>
  <si>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</si>
  <si>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</si>
  <si>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</si>
  <si>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</si>
  <si>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</si>
  <si>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</si>
  <si>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</si>
  <si>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</si>
  <si>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</si>
  <si>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</si>
  <si>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</si>
  <si>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</si>
  <si>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</si>
  <si>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</si>
  <si>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</si>
  <si>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</si>
  <si>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</si>
  <si>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</si>
  <si>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</si>
  <si>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</si>
  <si>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</si>
  <si>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</si>
  <si>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</si>
  <si>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</si>
  <si>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</si>
  <si>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</si>
  <si>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</si>
  <si>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</si>
  <si>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</si>
  <si>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</si>
  <si>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</si>
  <si>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</si>
  <si>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</si>
  <si>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</si>
  <si>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</si>
  <si>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</si>
  <si>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</si>
  <si>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</si>
  <si>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</si>
  <si>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</si>
  <si>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</si>
  <si>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</si>
  <si>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</si>
  <si>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</si>
  <si>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</si>
  <si>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</si>
  <si>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</si>
  <si>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</si>
  <si>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</si>
  <si>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</si>
  <si>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</si>
  <si>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</si>
  <si>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</si>
  <si>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</si>
  <si>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</si>
  <si>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</si>
  <si>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</si>
  <si>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</si>
  <si>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</si>
  <si>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</si>
  <si>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</si>
  <si>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</si>
  <si>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</si>
  <si>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</si>
  <si>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</si>
  <si>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</si>
  <si>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</si>
  <si>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</si>
  <si>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</si>
  <si>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</si>
  <si>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</si>
  <si>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</si>
  <si>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</si>
  <si>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</si>
  <si>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</si>
  <si>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</si>
  <si>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</si>
  <si>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</si>
  <si>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</si>
  <si>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</si>
  <si>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</si>
  <si>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</si>
  <si>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</si>
  <si>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</si>
  <si>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</si>
  <si>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</si>
  <si>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</si>
  <si>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</si>
  <si>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</si>
  <si>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</si>
  <si>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</si>
  <si>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</si>
  <si>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</si>
  <si>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</si>
  <si>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</si>
  <si>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</si>
  <si>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</si>
  <si>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</si>
  <si>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</si>
  <si>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</si>
  <si>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</si>
  <si>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</si>
  <si>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</si>
  <si>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</si>
  <si>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</si>
  <si>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</si>
  <si>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</si>
  <si>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</si>
  <si>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</si>
  <si>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</si>
  <si>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</si>
  <si>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</si>
  <si>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</si>
  <si>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</si>
  <si>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</si>
  <si>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</si>
  <si>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</si>
  <si>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</si>
  <si>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</si>
  <si>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</si>
  <si>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</si>
  <si>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</si>
  <si>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</si>
  <si>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</si>
  <si>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</si>
  <si>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</si>
  <si>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</si>
  <si>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</si>
  <si>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</si>
  <si>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</si>
  <si>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</si>
  <si>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</si>
  <si>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</si>
  <si>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</si>
  <si>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</si>
  <si>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</si>
  <si>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</si>
  <si>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</si>
  <si>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</si>
  <si>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</si>
  <si>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</si>
  <si>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</si>
  <si>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</si>
  <si>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</si>
  <si>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</si>
  <si>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</si>
  <si>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</si>
  <si>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</si>
  <si>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</si>
  <si>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</si>
  <si>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</si>
  <si>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</si>
  <si>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</si>
  <si>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</si>
  <si>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</si>
  <si>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</si>
  <si>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</si>
  <si>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</si>
  <si>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</si>
  <si>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</si>
  <si>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</si>
  <si>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</si>
  <si>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</si>
  <si>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</si>
  <si>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</si>
  <si>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</si>
  <si>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</si>
  <si>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</si>
  <si>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</si>
  <si>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</si>
  <si>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</si>
  <si>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</si>
  <si>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</si>
  <si>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</si>
  <si>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</si>
  <si>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</si>
  <si>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</si>
  <si>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</si>
  <si>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</si>
  <si>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</si>
  <si>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</si>
  <si>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</si>
  <si>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</si>
  <si>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</si>
  <si>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</si>
  <si>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</si>
  <si>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</si>
  <si>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</si>
  <si>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</si>
  <si>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</si>
  <si>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</si>
  <si>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</si>
  <si>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</si>
  <si>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</si>
  <si>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</si>
  <si>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</si>
  <si>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</si>
  <si>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</si>
  <si>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</si>
  <si>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</si>
  <si>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</si>
  <si>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</si>
  <si>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</si>
  <si>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</si>
  <si>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</si>
  <si>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</si>
  <si>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</si>
  <si>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</si>
  <si>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</si>
  <si>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</si>
  <si>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</si>
  <si>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</si>
  <si>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</si>
  <si>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</si>
  <si>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</si>
  <si>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</si>
  <si>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</si>
  <si>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</si>
  <si>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</si>
  <si>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</si>
  <si>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</si>
  <si>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</si>
  <si>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</si>
  <si>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</si>
  <si>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</si>
  <si>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</si>
  <si>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</si>
  <si>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</si>
  <si>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</si>
  <si>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</si>
  <si>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</si>
  <si>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</si>
  <si>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</si>
  <si>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</si>
  <si>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</si>
  <si>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</si>
  <si>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</si>
  <si>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</si>
  <si>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</si>
  <si>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</si>
  <si>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</si>
  <si>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</si>
  <si>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</si>
  <si>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</si>
  <si>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</si>
  <si>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</si>
  <si>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</si>
  <si>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</si>
  <si>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</si>
  <si>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</si>
  <si>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</si>
  <si>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</si>
  <si>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</si>
  <si>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</si>
  <si>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</si>
  <si>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</si>
  <si>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</si>
  <si>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</si>
  <si>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</si>
  <si>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</si>
  <si>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</si>
  <si>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</si>
  <si>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</si>
  <si>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</si>
  <si>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</si>
  <si>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</si>
  <si>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</si>
  <si>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</si>
  <si>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</si>
  <si>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</si>
  <si>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</si>
  <si>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</si>
  <si>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</si>
  <si>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</si>
  <si>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</si>
  <si>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</si>
  <si>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</si>
  <si>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</si>
  <si>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</si>
  <si>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</si>
  <si>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</si>
  <si>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</si>
  <si>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</si>
  <si>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</si>
  <si>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</si>
  <si>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</si>
  <si>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</si>
  <si>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</si>
  <si>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</si>
  <si>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</si>
  <si>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</si>
  <si>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</si>
  <si>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</si>
  <si>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</si>
  <si>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</si>
  <si>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</si>
  <si>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</si>
  <si>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</si>
  <si>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</si>
  <si>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</si>
  <si>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</si>
  <si>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</si>
  <si>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</si>
  <si>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</si>
  <si>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</si>
  <si>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</si>
  <si>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</si>
  <si>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</si>
  <si>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</si>
  <si>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</si>
  <si>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</si>
  <si>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</si>
  <si>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</si>
  <si>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</si>
  <si>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</si>
  <si>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</si>
  <si>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</si>
  <si>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</si>
  <si>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</si>
  <si>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</si>
  <si>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</si>
  <si>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</si>
  <si>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</si>
  <si>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</si>
  <si>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</si>
  <si>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</si>
  <si>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</si>
  <si>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</si>
  <si>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</si>
  <si>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</si>
  <si>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</si>
  <si>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</si>
  <si>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</si>
  <si>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</si>
  <si>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</si>
  <si>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</si>
  <si>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</si>
  <si>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</si>
  <si>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</si>
  <si>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</si>
  <si>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</si>
  <si>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</si>
  <si>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</si>
  <si>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</si>
  <si>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</si>
  <si>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</si>
  <si>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</si>
  <si>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</si>
  <si>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</si>
  <si>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</si>
  <si>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</si>
  <si>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</si>
  <si>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</si>
  <si>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</si>
  <si>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</si>
  <si>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</si>
  <si>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</si>
  <si>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</si>
  <si>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</si>
  <si>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</si>
  <si>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</si>
  <si>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</si>
  <si>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</si>
  <si>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</si>
  <si>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</si>
  <si>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</si>
  <si>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</si>
  <si>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</si>
  <si>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</si>
  <si>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</si>
  <si>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</si>
  <si>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</si>
  <si>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</si>
  <si>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</si>
  <si>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</si>
  <si>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</si>
  <si>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</si>
  <si>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</si>
  <si>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</si>
  <si>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</si>
  <si>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</si>
  <si>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</si>
  <si>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</si>
  <si>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</si>
  <si>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</si>
  <si>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</si>
  <si>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</si>
  <si>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</si>
  <si>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</si>
  <si>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</si>
  <si>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</si>
  <si>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</si>
  <si>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</si>
  <si>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</si>
  <si>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</si>
  <si>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</si>
  <si>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</si>
  <si>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</si>
  <si>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</si>
  <si>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</si>
  <si>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</si>
  <si>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</si>
  <si>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</si>
  <si>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</si>
  <si>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</si>
  <si>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</si>
  <si>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</si>
  <si>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</si>
  <si>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</si>
  <si>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</si>
  <si>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</si>
  <si>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</si>
  <si>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</si>
  <si>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</si>
  <si>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</si>
  <si>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</si>
  <si>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</si>
  <si>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</si>
  <si>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</si>
  <si>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</si>
  <si>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</si>
  <si>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</si>
  <si>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</si>
  <si>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</si>
  <si>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</si>
  <si>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</si>
  <si>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</si>
  <si>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</si>
  <si>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</si>
  <si>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</si>
  <si>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</si>
  <si>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</si>
  <si>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</si>
  <si>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</si>
  <si>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</si>
  <si>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</si>
  <si>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</si>
  <si>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</si>
  <si>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</si>
  <si>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</si>
  <si>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</si>
  <si>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</si>
  <si>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</si>
  <si>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</si>
  <si>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</si>
  <si>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</si>
  <si>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</si>
  <si>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</si>
  <si>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</si>
  <si>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</si>
  <si>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</si>
  <si>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</si>
  <si>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</si>
  <si>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</si>
  <si>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</si>
  <si>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</si>
  <si>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</si>
  <si>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</si>
  <si>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</si>
  <si>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</si>
  <si>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</si>
  <si>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</si>
  <si>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</si>
  <si>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</si>
  <si>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</si>
  <si>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</si>
  <si>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</si>
  <si>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</si>
  <si>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</si>
  <si>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</si>
  <si>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</si>
  <si>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</si>
  <si>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</si>
  <si>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</si>
  <si>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</si>
  <si>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</si>
  <si>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</si>
  <si>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</si>
  <si>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</si>
  <si>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</si>
  <si>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</si>
  <si>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</si>
  <si>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</si>
  <si>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</si>
  <si>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</si>
  <si>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</si>
  <si>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</si>
  <si>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</si>
  <si>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</si>
  <si>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</si>
  <si>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</si>
  <si>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</si>
  <si>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</si>
  <si>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</si>
  <si>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</si>
  <si>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</si>
  <si>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</si>
  <si>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</si>
  <si>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</si>
  <si>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</si>
  <si>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</si>
  <si>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</si>
  <si>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</si>
  <si>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</si>
  <si>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</si>
  <si>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</si>
  <si>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</si>
  <si>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</si>
  <si>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</si>
  <si>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</si>
  <si>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</si>
  <si>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</si>
  <si>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</si>
  <si>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</si>
  <si>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</si>
  <si>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</si>
  <si>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</si>
  <si>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</si>
  <si>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</si>
  <si>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</si>
  <si>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</si>
  <si>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</si>
  <si>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</si>
  <si>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</si>
  <si>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</si>
  <si>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</si>
  <si>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</si>
  <si>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</si>
  <si>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</si>
  <si>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</si>
  <si>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</si>
  <si>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</si>
  <si>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</si>
  <si>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</si>
  <si>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</si>
  <si>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</si>
  <si>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</si>
  <si>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</si>
  <si>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</si>
  <si>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</si>
  <si>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</si>
  <si>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</si>
  <si>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</si>
  <si>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</si>
  <si>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</si>
  <si>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</si>
  <si>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</si>
  <si>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</si>
  <si>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</si>
  <si>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</si>
  <si>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</si>
  <si>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</si>
  <si>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</si>
  <si>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</si>
  <si>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</si>
  <si>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</si>
  <si>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</si>
  <si>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</si>
  <si>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</si>
  <si>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</si>
  <si>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</si>
  <si>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</si>
  <si>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</si>
  <si>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</si>
  <si>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</si>
  <si>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</si>
  <si>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</si>
  <si>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</si>
  <si>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</si>
  <si>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</si>
  <si>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</si>
  <si>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</si>
  <si>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</si>
  <si>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</si>
  <si>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</si>
  <si>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</si>
  <si>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</si>
  <si>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</si>
  <si>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</si>
  <si>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</si>
  <si>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</si>
  <si>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</si>
  <si>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</si>
  <si>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</si>
  <si>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</si>
  <si>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</si>
  <si>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</si>
  <si>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</si>
  <si>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</si>
  <si>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</si>
  <si>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</si>
  <si>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</si>
  <si>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</si>
  <si>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</si>
  <si>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</si>
  <si>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</si>
  <si>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</si>
  <si>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</si>
  <si>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</si>
  <si>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</si>
  <si>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</si>
  <si>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</si>
  <si>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</si>
  <si>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</si>
  <si>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</si>
  <si>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</si>
  <si>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</si>
  <si>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</si>
  <si>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</si>
  <si>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</si>
  <si>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</si>
  <si>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</si>
  <si>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</si>
  <si>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</si>
  <si>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</si>
  <si>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</si>
  <si>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</si>
  <si>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</si>
  <si>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</si>
  <si>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</si>
  <si>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</si>
  <si>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</si>
  <si>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</si>
  <si>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</si>
  <si>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</si>
  <si>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</si>
  <si>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</si>
  <si>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</si>
  <si>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</si>
  <si>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</si>
  <si>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</si>
  <si>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</si>
  <si>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</si>
  <si>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</si>
  <si>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</si>
  <si>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</si>
  <si>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</si>
  <si>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</si>
  <si>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</si>
  <si>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</si>
  <si>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</si>
  <si>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</si>
  <si>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</si>
  <si>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</si>
  <si>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</si>
  <si>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</si>
  <si>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</si>
  <si>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</si>
  <si>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</si>
  <si>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</si>
  <si>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</si>
  <si>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</si>
  <si>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</si>
  <si>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</si>
  <si>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</si>
  <si>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</si>
  <si>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</si>
  <si>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</si>
  <si>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</si>
  <si>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</si>
  <si>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</si>
  <si>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</si>
  <si>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</si>
  <si>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</si>
  <si>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</si>
  <si>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</si>
  <si>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</si>
  <si>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</si>
  <si>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</si>
  <si>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</si>
  <si>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</si>
  <si>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</si>
  <si>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</si>
  <si>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</si>
  <si>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</si>
  <si>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</si>
  <si>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</si>
  <si>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</si>
  <si>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</si>
  <si>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</si>
  <si>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</si>
  <si>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</si>
  <si>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</si>
  <si>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</si>
  <si>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</si>
  <si>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</si>
  <si>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</si>
  <si>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</si>
  <si>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</si>
  <si>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</si>
  <si>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</si>
  <si>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</si>
  <si>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</si>
  <si>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</si>
  <si>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</si>
  <si>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</si>
  <si>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</si>
  <si>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</si>
  <si>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</si>
  <si>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</si>
  <si>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</si>
  <si>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</si>
  <si>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</si>
  <si>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</si>
  <si>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</si>
  <si>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</si>
  <si>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</si>
  <si>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</si>
  <si>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</si>
  <si>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</si>
  <si>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</si>
  <si>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</si>
  <si>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</si>
  <si>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</si>
  <si>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</si>
  <si>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</si>
  <si>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</si>
  <si>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</si>
  <si>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</si>
  <si>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</si>
  <si>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</si>
  <si>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</si>
  <si>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</si>
  <si>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</si>
  <si>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</si>
  <si>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</si>
  <si>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</si>
  <si>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</si>
  <si>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</si>
  <si>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</si>
  <si>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</si>
  <si>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</si>
  <si>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</si>
  <si>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</si>
  <si>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</si>
  <si>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</si>
  <si>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</si>
  <si>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</si>
  <si>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</si>
  <si>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</si>
  <si>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</si>
  <si>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</si>
  <si>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</si>
  <si>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</si>
  <si>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</si>
  <si>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</si>
  <si>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</si>
  <si>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</si>
  <si>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</si>
  <si>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</si>
  <si>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</si>
  <si>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</si>
  <si>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</si>
  <si>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</si>
  <si>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</si>
  <si>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</si>
  <si>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</si>
  <si>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</si>
  <si>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</si>
  <si>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</si>
  <si>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</si>
  <si>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</si>
  <si>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</si>
  <si>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</si>
  <si>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</si>
  <si>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</si>
  <si>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</si>
  <si>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</si>
  <si>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</si>
  <si>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</si>
  <si>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</si>
  <si>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</si>
  <si>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</si>
  <si>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</si>
  <si>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</si>
  <si>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</si>
  <si>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</si>
  <si>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</si>
  <si>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</si>
  <si>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</si>
  <si>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</si>
  <si>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</si>
  <si>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</si>
  <si>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</si>
  <si>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</si>
  <si>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</si>
  <si>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</si>
  <si>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</si>
  <si>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</si>
  <si>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</si>
  <si>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</si>
  <si>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</si>
  <si>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</si>
  <si>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</si>
  <si>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</si>
  <si>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</si>
  <si>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</si>
  <si>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</si>
  <si>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</si>
  <si>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</si>
  <si>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</si>
  <si>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</si>
  <si>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</si>
  <si>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</si>
  <si>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</si>
  <si>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</si>
  <si>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</si>
  <si>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</si>
  <si>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</si>
  <si>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</si>
  <si>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</si>
  <si>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</si>
  <si>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</si>
  <si>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</si>
  <si>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</si>
  <si>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</si>
  <si>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</si>
  <si>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</si>
  <si>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</si>
  <si>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</si>
  <si>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</si>
  <si>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</si>
  <si>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</si>
  <si>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</si>
  <si>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</si>
  <si>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</si>
  <si>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</si>
  <si>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</si>
  <si>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</si>
  <si>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</si>
  <si>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</si>
  <si>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</si>
  <si>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</si>
  <si>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</si>
  <si>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</si>
  <si>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</si>
  <si>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</si>
  <si>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</si>
  <si>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</si>
  <si>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</si>
  <si>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</si>
  <si>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</si>
  <si>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</si>
  <si>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</si>
  <si>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</si>
  <si>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</si>
  <si>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</si>
  <si>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</si>
  <si>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</si>
  <si>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</si>
  <si>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</si>
  <si>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</si>
  <si>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</si>
  <si>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</si>
  <si>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</si>
  <si>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</si>
  <si>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</si>
  <si>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</si>
  <si>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</si>
  <si>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</si>
  <si>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</si>
  <si>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</si>
  <si>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</si>
  <si>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</si>
  <si>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</si>
  <si>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</si>
  <si>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</si>
  <si>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</si>
  <si>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</si>
  <si>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</si>
  <si>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</si>
  <si>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</si>
  <si>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</si>
  <si>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</si>
  <si>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</si>
  <si>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</si>
  <si>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</si>
  <si>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</si>
  <si>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</si>
  <si>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</si>
  <si>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</si>
  <si>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</si>
  <si>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</si>
  <si>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</si>
  <si>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</si>
  <si>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</si>
  <si>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</si>
  <si>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</si>
  <si>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</si>
  <si>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</si>
  <si>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</si>
  <si>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</si>
  <si>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</si>
  <si>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</si>
  <si>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</si>
  <si>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</si>
  <si>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</si>
  <si>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</si>
  <si>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</si>
  <si>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</si>
  <si>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</si>
  <si>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</si>
  <si>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</si>
  <si>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</si>
  <si>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</si>
  <si>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</si>
  <si>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</si>
  <si>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</si>
  <si>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</si>
  <si>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</si>
  <si>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</si>
  <si>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</si>
  <si>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</si>
  <si>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</si>
  <si>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</si>
  <si>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</si>
  <si>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</si>
  <si>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</si>
  <si>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</si>
  <si>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</si>
  <si>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</si>
  <si>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</si>
  <si>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</si>
  <si>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</si>
  <si>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</si>
  <si>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</si>
  <si>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</si>
  <si>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</si>
  <si>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</si>
  <si>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</si>
  <si>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</si>
  <si>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</si>
  <si>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</si>
  <si>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</si>
  <si>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</si>
  <si>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</si>
  <si>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</si>
  <si>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</si>
  <si>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</si>
  <si>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</si>
  <si>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</si>
  <si>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</si>
  <si>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</si>
  <si>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</si>
  <si>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</si>
  <si>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</si>
  <si>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</si>
  <si>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</si>
  <si>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</si>
  <si>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</si>
  <si>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</si>
  <si>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</si>
  <si>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</si>
  <si>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</si>
  <si>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</si>
  <si>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</si>
  <si>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</si>
  <si>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</si>
  <si>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</si>
  <si>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</si>
  <si>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</si>
  <si>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</si>
  <si>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</si>
  <si>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</si>
  <si>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</si>
  <si>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</si>
  <si>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</si>
  <si>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</si>
  <si>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</si>
  <si>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</si>
  <si>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</si>
  <si>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</si>
  <si>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</si>
  <si>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</si>
  <si>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</si>
  <si>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</si>
  <si>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</si>
  <si>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</si>
  <si>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</si>
  <si>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</si>
  <si>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</si>
  <si>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</si>
  <si>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</si>
  <si>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</si>
  <si>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</si>
  <si>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</si>
  <si>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</si>
  <si>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</si>
  <si>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</si>
  <si>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</si>
  <si>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</si>
  <si>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</si>
  <si>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</si>
  <si>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</si>
  <si>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</si>
  <si>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</si>
  <si>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</si>
  <si>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</si>
  <si>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</si>
  <si>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</si>
  <si>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</si>
  <si>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</si>
  <si>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</si>
  <si>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</si>
  <si>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</si>
  <si>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</si>
  <si>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</si>
  <si>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</si>
  <si>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</si>
  <si>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</si>
  <si>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</si>
  <si>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</si>
  <si>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</si>
  <si>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</si>
  <si>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</si>
  <si>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</si>
  <si>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</si>
  <si>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</si>
  <si>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</si>
  <si>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</si>
  <si>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</si>
  <si>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</si>
  <si>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</si>
  <si>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</si>
  <si>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</si>
  <si>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</si>
  <si>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</si>
  <si>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</si>
  <si>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</si>
  <si>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</si>
  <si>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</si>
  <si>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</si>
  <si>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</si>
  <si>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</si>
  <si>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</si>
  <si>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</si>
  <si>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</si>
  <si>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</si>
  <si>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</si>
  <si>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</si>
  <si>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</si>
  <si>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</si>
  <si>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</si>
  <si>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</si>
  <si>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</si>
  <si>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</si>
  <si>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</si>
  <si>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</si>
  <si>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</si>
  <si>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</si>
  <si>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</si>
  <si>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</si>
  <si>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</si>
  <si>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</si>
  <si>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</si>
  <si>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</si>
  <si>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</si>
  <si>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</si>
  <si>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</si>
  <si>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</si>
  <si>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</si>
  <si>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</si>
  <si>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</si>
  <si>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</si>
  <si>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</si>
  <si>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</si>
  <si>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</si>
  <si>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</si>
  <si>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</si>
  <si>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</si>
  <si>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</si>
  <si>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</si>
  <si>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</si>
  <si>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</si>
  <si>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</si>
  <si>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</si>
  <si>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</si>
  <si>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</si>
  <si>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</si>
  <si>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</si>
  <si>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</si>
  <si>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</si>
  <si>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</si>
  <si>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</si>
  <si>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</si>
  <si>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</si>
  <si>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</si>
  <si>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</si>
  <si>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</si>
  <si>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</si>
  <si>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</si>
  <si>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</si>
  <si>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</si>
  <si>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</si>
  <si>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</si>
  <si>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</si>
  <si>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</si>
  <si>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</si>
  <si>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</si>
  <si>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</si>
  <si>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</si>
  <si>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</si>
  <si>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</si>
  <si>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</si>
  <si>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</si>
  <si>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</si>
  <si>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</si>
  <si>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</si>
  <si>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</si>
  <si>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</si>
  <si>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</si>
  <si>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</si>
  <si>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</si>
  <si>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</si>
  <si>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</si>
  <si>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</si>
  <si>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</si>
  <si>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</si>
  <si>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</si>
  <si>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</si>
  <si>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</si>
  <si>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</si>
  <si>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</si>
  <si>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</si>
  <si>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</si>
  <si>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</si>
  <si>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</si>
  <si>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</si>
  <si>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</si>
  <si>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</si>
  <si>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</si>
  <si>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</si>
  <si>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</si>
  <si>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</si>
  <si>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</si>
  <si>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</si>
  <si>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</si>
  <si>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</si>
  <si>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</si>
  <si>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</si>
  <si>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</si>
  <si>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</si>
  <si>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</si>
  <si>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</si>
  <si>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</si>
  <si>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</si>
  <si>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</si>
  <si>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</si>
  <si>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</si>
  <si>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</si>
  <si>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</si>
  <si>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</si>
  <si>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</si>
  <si>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</si>
  <si>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</si>
  <si>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</si>
  <si>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</si>
  <si>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</si>
  <si>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</si>
  <si>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</si>
  <si>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</si>
  <si>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</si>
  <si>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</si>
  <si>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</si>
  <si>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</si>
  <si>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</si>
  <si>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</si>
  <si>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</si>
  <si>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</si>
  <si>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</si>
  <si>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</si>
  <si>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</si>
  <si>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</si>
  <si>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</si>
  <si>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</si>
  <si>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</si>
  <si>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</si>
  <si>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</si>
  <si>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</si>
  <si>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</si>
  <si>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</si>
  <si>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</si>
  <si>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</si>
  <si>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</si>
  <si>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</si>
  <si>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</si>
  <si>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</si>
  <si>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</si>
  <si>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</si>
  <si>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</si>
  <si>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</si>
  <si>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</si>
  <si>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</si>
  <si>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</si>
  <si>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</si>
  <si>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</si>
  <si>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</si>
  <si>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</si>
  <si>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</si>
  <si>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</si>
  <si>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</si>
  <si>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</si>
  <si>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</si>
  <si>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</si>
  <si>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</si>
  <si>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</si>
  <si>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</si>
  <si>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</si>
  <si>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</si>
  <si>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</si>
  <si>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</si>
  <si>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</si>
  <si>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</si>
  <si>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</si>
  <si>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</si>
  <si>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</si>
  <si>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</si>
  <si>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</si>
  <si>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</si>
  <si>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</si>
  <si>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</si>
  <si>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</si>
  <si>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</si>
  <si>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</si>
  <si>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</si>
  <si>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</si>
  <si>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</si>
  <si>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</si>
  <si>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</si>
  <si>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</si>
  <si>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</si>
  <si>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</si>
  <si>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</si>
  <si>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</si>
  <si>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</si>
  <si>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</si>
  <si>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</si>
  <si>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</si>
  <si>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</si>
  <si>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</si>
  <si>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</si>
  <si>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</si>
  <si>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</si>
  <si>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</si>
  <si>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</si>
  <si>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</si>
  <si>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</si>
  <si>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</si>
  <si>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</si>
  <si>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</si>
  <si>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</si>
  <si>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</si>
  <si>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</si>
  <si>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</si>
  <si>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</si>
  <si>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</si>
  <si>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</si>
  <si>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</si>
  <si>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</si>
  <si>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</si>
  <si>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</si>
  <si>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</si>
  <si>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</si>
  <si>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</si>
  <si>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</si>
  <si>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</si>
  <si>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</si>
  <si>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</si>
  <si>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</si>
  <si>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</si>
  <si>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</si>
  <si>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</si>
  <si>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</si>
  <si>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</si>
  <si>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</si>
  <si>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</si>
  <si>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</si>
  <si>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</si>
  <si>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</si>
  <si>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</si>
  <si>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</si>
  <si>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</si>
  <si>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</si>
  <si>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</si>
  <si>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</si>
  <si>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</si>
  <si>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</si>
  <si>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</si>
  <si>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</si>
  <si>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</si>
  <si>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</si>
  <si>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</si>
  <si>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</si>
  <si>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</si>
  <si>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</si>
  <si>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</si>
  <si>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</si>
  <si>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</si>
  <si>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</si>
  <si>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</si>
  <si>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</si>
  <si>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</si>
  <si>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</si>
  <si>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</si>
  <si>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</si>
  <si>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</si>
  <si>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</si>
  <si>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</si>
  <si>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</si>
  <si>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</si>
  <si>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</si>
  <si>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</si>
  <si>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</si>
  <si>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</si>
  <si>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</si>
  <si>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</si>
  <si>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</si>
  <si>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</si>
  <si>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</si>
  <si>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</si>
  <si>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</si>
  <si>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</si>
  <si>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</si>
  <si>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</si>
  <si>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</si>
  <si>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</si>
  <si>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</si>
  <si>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</si>
  <si>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</si>
  <si>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</si>
  <si>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</si>
  <si>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</si>
  <si>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</si>
  <si>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</si>
  <si>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</si>
  <si>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</si>
  <si>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</si>
  <si>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</si>
  <si>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</si>
  <si>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</si>
  <si>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</si>
  <si>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</si>
  <si>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</si>
  <si>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</si>
  <si>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</si>
  <si>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</si>
  <si>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</si>
  <si>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</si>
  <si>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</si>
  <si>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</si>
  <si>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</si>
  <si>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</si>
  <si>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</si>
  <si>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</si>
  <si>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</si>
  <si>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</si>
  <si>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</si>
  <si>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</si>
  <si>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</si>
  <si>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</si>
  <si>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</si>
  <si>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</si>
  <si>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</si>
  <si>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</si>
  <si>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</si>
  <si>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</si>
  <si>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</si>
  <si>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</si>
  <si>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</si>
  <si>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</si>
  <si>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</si>
  <si>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</si>
  <si>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</si>
  <si>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</si>
  <si>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</si>
  <si>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</si>
  <si>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</si>
  <si>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</si>
  <si>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</si>
  <si>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</si>
  <si>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</si>
  <si>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</si>
  <si>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</si>
  <si>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</si>
  <si>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</si>
  <si>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</si>
  <si>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</si>
  <si>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</si>
  <si>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</si>
  <si>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</si>
  <si>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</si>
  <si>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</si>
  <si>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</si>
  <si>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</si>
  <si>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</si>
  <si>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</si>
  <si>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</si>
  <si>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</si>
  <si>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</si>
  <si>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</si>
  <si>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</si>
  <si>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</si>
  <si>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</si>
  <si>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</si>
  <si>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</si>
  <si>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</si>
  <si>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</si>
  <si>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</si>
  <si>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</si>
  <si>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</si>
  <si>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</si>
  <si>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</si>
  <si>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</si>
  <si>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</si>
  <si>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</si>
  <si>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</si>
  <si>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</si>
  <si>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</si>
  <si>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</si>
  <si>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</si>
  <si>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</si>
  <si>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</si>
  <si>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</si>
  <si>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</si>
  <si>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</si>
  <si>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</si>
  <si>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</si>
  <si>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</si>
  <si>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</si>
  <si>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</si>
  <si>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</si>
  <si>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</si>
  <si>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</si>
  <si>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</si>
  <si>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</si>
  <si>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</si>
  <si>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</si>
  <si>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</si>
  <si>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</si>
  <si>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</si>
  <si>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</si>
  <si>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</si>
  <si>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</si>
  <si>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</si>
  <si>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</si>
  <si>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</si>
  <si>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</si>
  <si>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</si>
  <si>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</si>
  <si>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</si>
  <si>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</si>
  <si>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</si>
  <si>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</si>
  <si>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</si>
  <si>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</si>
  <si>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</si>
  <si>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</si>
  <si>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</si>
  <si>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</si>
  <si>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</si>
  <si>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</si>
  <si>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</si>
  <si>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</si>
  <si>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</si>
  <si>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</si>
  <si>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</si>
  <si>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</si>
  <si>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</si>
  <si>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</si>
  <si>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</si>
  <si>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</si>
  <si>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</si>
  <si>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</si>
  <si>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</si>
  <si>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</si>
  <si>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</si>
  <si>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</si>
  <si>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</si>
  <si>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</si>
  <si>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</si>
  <si>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</si>
  <si>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</si>
  <si>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</si>
  <si>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</si>
  <si>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</si>
  <si>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</si>
  <si>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</si>
  <si>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</si>
  <si>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</si>
  <si>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</si>
  <si>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</si>
  <si>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</si>
  <si>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</si>
  <si>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</si>
  <si>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</si>
  <si>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</si>
  <si>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</si>
  <si>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</si>
  <si>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</si>
  <si>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</si>
  <si>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</si>
  <si>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</si>
  <si>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</si>
  <si>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</si>
  <si>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</si>
  <si>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</si>
  <si>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</si>
  <si>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</si>
  <si>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</si>
  <si>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</si>
  <si>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</si>
  <si>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</si>
  <si>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</si>
  <si>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</si>
  <si>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</si>
  <si>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</si>
  <si>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</si>
  <si>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</si>
  <si>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</si>
  <si>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</si>
  <si>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</si>
  <si>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</si>
  <si>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</si>
  <si>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</si>
  <si>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</si>
  <si>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</si>
  <si>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</si>
  <si>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</si>
  <si>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</si>
  <si>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</si>
  <si>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</si>
  <si>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</si>
  <si>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</si>
  <si>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</si>
  <si>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</si>
  <si>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</si>
  <si>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</si>
  <si>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</si>
  <si>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</si>
  <si>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</si>
  <si>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</si>
  <si>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</si>
  <si>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</si>
  <si>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</si>
  <si>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</si>
  <si>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</si>
  <si>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</si>
  <si>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</si>
  <si>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</si>
  <si>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</si>
  <si>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</si>
  <si>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</si>
  <si>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</si>
  <si>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</si>
  <si>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</si>
  <si>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</si>
  <si>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</si>
  <si>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</si>
  <si>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</si>
  <si>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</si>
  <si>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</si>
  <si>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</si>
  <si>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</si>
  <si>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</si>
  <si>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</si>
  <si>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</si>
  <si>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</si>
  <si>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</si>
  <si>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</si>
  <si>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</si>
  <si>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</si>
  <si>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</si>
  <si>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</si>
  <si>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</si>
  <si>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</si>
  <si>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</si>
  <si>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</si>
  <si>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</si>
  <si>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</si>
  <si>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</si>
  <si>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</si>
  <si>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</si>
  <si>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</si>
  <si>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</si>
  <si>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</si>
  <si>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</si>
  <si>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</si>
  <si>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</si>
  <si>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</si>
  <si>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</si>
  <si>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</si>
  <si>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</si>
  <si>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</si>
  <si>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</si>
  <si>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</si>
  <si>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</si>
  <si>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</si>
  <si>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</si>
  <si>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</si>
  <si>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</si>
  <si>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</si>
  <si>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</si>
  <si>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</si>
  <si>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</si>
  <si>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</si>
  <si>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</si>
  <si>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</si>
  <si>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</si>
  <si>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</si>
  <si>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</si>
  <si>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</si>
  <si>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</si>
  <si>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</si>
  <si>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</si>
  <si>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</si>
  <si>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</si>
  <si>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</si>
  <si>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</si>
  <si>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</si>
  <si>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</si>
  <si>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</si>
  <si>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</si>
  <si>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</si>
  <si>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</si>
  <si>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</si>
  <si>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</si>
  <si>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</si>
  <si>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</si>
  <si>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</si>
  <si>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</si>
  <si>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</si>
  <si>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</si>
  <si>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</si>
  <si>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</si>
  <si>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</si>
  <si>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</si>
  <si>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</si>
  <si>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</si>
  <si>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</si>
  <si>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</si>
  <si>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</si>
  <si>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</si>
  <si>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</si>
  <si>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</si>
  <si>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</si>
  <si>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</si>
  <si>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</si>
  <si>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</si>
  <si>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</si>
  <si>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</si>
  <si>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</si>
  <si>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</si>
  <si>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</si>
  <si>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</si>
  <si>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</si>
  <si>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</si>
  <si>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</si>
  <si>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</si>
  <si>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</si>
  <si>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</si>
  <si>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</si>
  <si>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</si>
  <si>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</si>
  <si>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</si>
  <si>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</si>
  <si>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</si>
  <si>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</si>
  <si>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</si>
  <si>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</si>
  <si>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</si>
  <si>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</si>
  <si>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</si>
  <si>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</si>
  <si>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</si>
  <si>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</si>
  <si>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</si>
  <si>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</si>
  <si>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</si>
  <si>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</si>
  <si>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</si>
  <si>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</si>
  <si>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</si>
  <si>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</si>
  <si>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</si>
  <si>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</si>
  <si>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</si>
  <si>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</si>
  <si>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</si>
  <si>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</si>
  <si>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</si>
  <si>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</si>
  <si>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</si>
  <si>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</si>
  <si>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</si>
  <si>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</si>
  <si>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</si>
  <si>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</si>
  <si>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</si>
  <si>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</si>
  <si>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</si>
  <si>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</si>
  <si>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</si>
  <si>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</si>
  <si>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</si>
  <si>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</si>
  <si>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</si>
  <si>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</si>
  <si>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</si>
  <si>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</si>
  <si>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</si>
  <si>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</si>
  <si>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</si>
  <si>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</si>
  <si>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</si>
  <si>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</si>
  <si>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</si>
  <si>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</si>
  <si>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</si>
  <si>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</si>
  <si>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</si>
  <si>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</si>
  <si>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</si>
  <si>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</si>
  <si>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</si>
  <si>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</si>
  <si>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</si>
  <si>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</si>
  <si>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</si>
  <si>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</si>
  <si>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</si>
  <si>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</si>
  <si>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</si>
  <si>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</si>
  <si>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</si>
  <si>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</si>
  <si>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</si>
  <si>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</si>
  <si>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</si>
  <si>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</si>
  <si>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</si>
  <si>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</si>
  <si>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</si>
  <si>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</si>
  <si>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</si>
  <si>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</si>
  <si>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</si>
  <si>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</si>
  <si>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</si>
  <si>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</si>
  <si>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</si>
  <si>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</si>
  <si>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</si>
  <si>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</si>
  <si>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</si>
  <si>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</si>
  <si>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</si>
  <si>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</si>
  <si>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</si>
  <si>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</si>
  <si>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</si>
  <si>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</si>
  <si>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</si>
  <si>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</si>
  <si>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</si>
  <si>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</si>
  <si>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</si>
  <si>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</si>
  <si>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</si>
  <si>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</si>
  <si>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</si>
  <si>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</si>
  <si>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</si>
  <si>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</si>
  <si>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</si>
  <si>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</si>
  <si>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</si>
  <si>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</si>
  <si>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</si>
  <si>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</si>
  <si>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</si>
  <si>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</si>
  <si>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</si>
  <si>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</si>
  <si>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</si>
  <si>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</si>
  <si>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</si>
  <si>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</si>
  <si>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</si>
  <si>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</si>
  <si>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</si>
  <si>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</si>
  <si>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</si>
  <si>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</si>
  <si>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</si>
  <si>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</si>
  <si>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</si>
  <si>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</si>
  <si>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</si>
  <si>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</si>
  <si>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</si>
  <si>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</si>
  <si>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</si>
  <si>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</si>
  <si>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</si>
  <si>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</si>
  <si>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</si>
  <si>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</si>
  <si>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</si>
  <si>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</si>
  <si>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</si>
  <si>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</si>
  <si>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</si>
  <si>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</si>
  <si>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</si>
  <si>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</si>
  <si>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</si>
  <si>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</si>
  <si>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</si>
  <si>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</si>
  <si>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</si>
  <si>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</si>
  <si>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</si>
  <si>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</si>
  <si>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</si>
  <si>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</si>
  <si>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</si>
  <si>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</si>
  <si>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</si>
  <si>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</si>
  <si>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</si>
  <si>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</si>
  <si>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</si>
  <si>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</si>
  <si>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</si>
  <si>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</si>
  <si>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</si>
  <si>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</si>
  <si>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</si>
  <si>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</si>
  <si>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</si>
  <si>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</si>
  <si>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</si>
  <si>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</si>
  <si>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</si>
  <si>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</si>
  <si>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</si>
  <si>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</si>
  <si>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</si>
  <si>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</si>
  <si>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</si>
  <si>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</si>
  <si>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</si>
  <si>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</si>
  <si>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</si>
  <si>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</si>
  <si>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</si>
  <si>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</si>
  <si>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</si>
  <si>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</si>
  <si>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</si>
  <si>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</si>
  <si>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</si>
  <si>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</si>
  <si>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</si>
  <si>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</si>
  <si>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</si>
  <si>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</si>
  <si>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</si>
  <si>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</si>
  <si>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</si>
  <si>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</si>
  <si>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</si>
  <si>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</si>
  <si>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</si>
  <si>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</si>
  <si>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</si>
  <si>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</si>
  <si>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</si>
  <si>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</si>
  <si>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</si>
  <si>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</si>
  <si>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</si>
  <si>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</si>
  <si>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</si>
  <si>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</si>
  <si>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</si>
  <si>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</si>
  <si>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</si>
  <si>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</si>
  <si>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</si>
  <si>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</si>
  <si>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</si>
  <si>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</si>
  <si>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</si>
  <si>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</si>
  <si>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</si>
  <si>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</si>
  <si>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</si>
  <si>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</si>
  <si>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</si>
  <si>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</si>
  <si>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</si>
  <si>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</si>
  <si>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</si>
  <si>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</si>
  <si>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</si>
  <si>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</si>
  <si>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</si>
  <si>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</si>
  <si>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</si>
  <si>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</si>
  <si>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</si>
  <si>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</si>
  <si>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</si>
  <si>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</si>
  <si>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</si>
  <si>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</si>
  <si>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</si>
  <si>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</si>
  <si>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</si>
  <si>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</si>
  <si>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</si>
  <si>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</si>
  <si>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</si>
  <si>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</si>
  <si>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</si>
  <si>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</si>
  <si>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</si>
  <si>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</si>
  <si>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</si>
  <si>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</si>
  <si>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</si>
  <si>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</si>
  <si>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</si>
  <si>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</si>
  <si>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</si>
  <si>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</si>
  <si>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</si>
  <si>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</si>
  <si>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</si>
  <si>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</si>
  <si>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</si>
  <si>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</si>
  <si>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</si>
  <si>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</si>
  <si>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</si>
  <si>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</si>
  <si>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</si>
  <si>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</si>
  <si>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</si>
  <si>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</si>
  <si>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</si>
  <si>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</si>
  <si>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</si>
  <si>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</si>
  <si>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</si>
  <si>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</si>
  <si>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</si>
  <si>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</si>
  <si>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</si>
  <si>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</si>
  <si>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</si>
  <si>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</si>
  <si>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</si>
  <si>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</si>
  <si>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</si>
  <si>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</si>
  <si>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</si>
  <si>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</si>
  <si>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</si>
  <si>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</si>
  <si>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</si>
  <si>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</si>
  <si>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</si>
  <si>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</si>
  <si>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</si>
  <si>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</si>
  <si>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</si>
  <si>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</si>
  <si>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</si>
  <si>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</si>
  <si>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</si>
  <si>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</si>
  <si>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</si>
  <si>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</si>
  <si>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</si>
  <si>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</si>
  <si>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</si>
  <si>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</si>
  <si>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</si>
  <si>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</si>
  <si>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</si>
  <si>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</si>
  <si>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</si>
  <si>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</si>
  <si>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</si>
  <si>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</si>
  <si>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</si>
  <si>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</si>
  <si>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</si>
  <si>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</si>
  <si>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</si>
  <si>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</si>
  <si>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</si>
  <si>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</si>
  <si>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</si>
  <si>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</si>
  <si>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</si>
  <si>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</si>
  <si>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</si>
  <si>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</si>
  <si>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</si>
  <si>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</si>
  <si>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</si>
  <si>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</si>
  <si>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</si>
  <si>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</si>
  <si>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</si>
  <si>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</si>
  <si>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</si>
  <si>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</si>
  <si>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</si>
  <si>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</si>
  <si>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</si>
  <si>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</si>
  <si>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</si>
  <si>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</si>
  <si>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</si>
  <si>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</si>
  <si>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</si>
  <si>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</si>
  <si>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</si>
  <si>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</si>
  <si>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</si>
  <si>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</si>
  <si>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</si>
  <si>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</si>
  <si>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</si>
  <si>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</si>
  <si>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</si>
  <si>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</si>
  <si>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</si>
  <si>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</si>
  <si>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</si>
  <si>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</si>
  <si>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</si>
  <si>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</si>
  <si>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</si>
  <si>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</si>
  <si>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</si>
  <si>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</si>
  <si>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</si>
  <si>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</si>
  <si>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</si>
  <si>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</si>
  <si>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</si>
  <si>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</si>
  <si>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</si>
  <si>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</si>
  <si>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</si>
  <si>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</si>
  <si>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</si>
  <si>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</si>
  <si>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</si>
  <si>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</si>
  <si>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</si>
  <si>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</si>
  <si>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</si>
  <si>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</si>
  <si>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</si>
  <si>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</si>
  <si>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</si>
  <si>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</si>
  <si>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</si>
  <si>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</si>
  <si>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</si>
  <si>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</si>
  <si>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</si>
  <si>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</si>
  <si>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</si>
  <si>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</si>
  <si>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</si>
  <si>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</si>
  <si>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</si>
  <si>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</si>
  <si>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</si>
  <si>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</si>
  <si>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</si>
  <si>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</si>
  <si>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</si>
  <si>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</si>
  <si>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</si>
  <si>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</si>
  <si>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</si>
  <si>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</si>
  <si>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</si>
  <si>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</si>
  <si>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</si>
  <si>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</si>
  <si>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</si>
  <si>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</si>
  <si>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</si>
  <si>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</si>
  <si>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</si>
  <si>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</si>
  <si>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</si>
  <si>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</si>
  <si>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</si>
  <si>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</si>
  <si>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</si>
  <si>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</si>
  <si>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</si>
  <si>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</si>
  <si>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</si>
  <si>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</si>
  <si>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</si>
  <si>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</si>
  <si>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</si>
  <si>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</si>
  <si>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</si>
  <si>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</si>
  <si>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</si>
  <si>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</si>
  <si>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</si>
  <si>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</si>
  <si>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</si>
  <si>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</si>
  <si>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</si>
  <si>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</si>
  <si>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</si>
  <si>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</si>
  <si>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</si>
  <si>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</si>
  <si>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</si>
  <si>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</si>
  <si>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</si>
  <si>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</si>
  <si>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</si>
  <si>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</si>
  <si>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</si>
  <si>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</si>
  <si>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</si>
  <si>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</si>
  <si>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</si>
  <si>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</si>
  <si>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</si>
  <si>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</si>
  <si>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</si>
  <si>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</si>
  <si>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</si>
  <si>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</si>
  <si>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</si>
  <si>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</si>
  <si>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</si>
  <si>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</si>
  <si>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</si>
  <si>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</si>
  <si>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</si>
  <si>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</si>
  <si>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</si>
  <si>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</si>
  <si>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</si>
  <si>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</si>
  <si>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</si>
  <si>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</si>
  <si>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</si>
  <si>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</si>
  <si>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</si>
  <si>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</si>
  <si>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</si>
  <si>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</si>
  <si>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</si>
  <si>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</si>
  <si>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</si>
  <si>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</si>
  <si>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</si>
  <si>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</si>
  <si>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</si>
  <si>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</si>
  <si>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</si>
  <si>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</si>
  <si>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</si>
  <si>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</si>
  <si>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</si>
  <si>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</si>
  <si>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</si>
  <si>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</si>
  <si>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</si>
  <si>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</si>
  <si>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</si>
  <si>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</si>
  <si>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</si>
  <si>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</si>
  <si>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</si>
  <si>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</si>
  <si>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</si>
  <si>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</si>
  <si>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</si>
  <si>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</si>
  <si>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</si>
  <si>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</si>
  <si>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</si>
  <si>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</si>
  <si>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</si>
  <si>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</si>
  <si>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</si>
  <si>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</si>
  <si>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</si>
  <si>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</si>
  <si>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</si>
  <si>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</si>
  <si>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</si>
  <si>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</si>
  <si>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</si>
  <si>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</si>
  <si>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</si>
  <si>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</si>
  <si>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</si>
  <si>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</si>
  <si>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</si>
  <si>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</si>
  <si>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</si>
  <si>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</si>
  <si>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</si>
  <si>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</si>
  <si>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</si>
  <si>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</si>
  <si>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</si>
  <si>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</si>
  <si>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</si>
  <si>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</si>
  <si>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</si>
  <si>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</si>
  <si>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</si>
  <si>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</si>
  <si>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</si>
  <si>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</si>
  <si>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</si>
  <si>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</si>
  <si>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</si>
  <si>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</si>
  <si>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</si>
  <si>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</si>
  <si>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</si>
  <si>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</si>
  <si>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</si>
  <si>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</si>
  <si>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</si>
  <si>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</si>
  <si>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</si>
  <si>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</si>
  <si>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</si>
  <si>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</si>
  <si>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</si>
  <si>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</si>
  <si>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</si>
  <si>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</si>
  <si>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</si>
  <si>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</si>
  <si>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</si>
  <si>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</si>
  <si>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</si>
  <si>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</si>
  <si>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</si>
  <si>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</si>
  <si>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</si>
  <si>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</si>
  <si>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</si>
  <si>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</si>
  <si>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</si>
  <si>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</si>
  <si>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</si>
  <si>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</si>
  <si>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</si>
  <si>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</si>
  <si>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</si>
  <si>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</si>
  <si>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</si>
  <si>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</si>
  <si>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</si>
  <si>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</si>
  <si>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</si>
  <si>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</si>
  <si>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</si>
  <si>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</si>
  <si>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</si>
  <si>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</si>
  <si>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</si>
  <si>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</si>
  <si>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</si>
  <si>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</si>
  <si>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</si>
  <si>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</si>
  <si>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</si>
  <si>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</si>
  <si>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</si>
  <si>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</si>
  <si>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</si>
  <si>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</si>
  <si>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</si>
  <si>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</si>
  <si>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</si>
  <si>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</si>
  <si>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</si>
  <si>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</si>
  <si>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</si>
  <si>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</si>
  <si>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</si>
  <si>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</si>
  <si>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</si>
  <si>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</si>
  <si>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</si>
  <si>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</si>
  <si>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</si>
  <si>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</si>
  <si>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</si>
  <si>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</si>
  <si>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</si>
  <si>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</si>
  <si>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</si>
  <si>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</si>
  <si>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</si>
  <si>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</si>
  <si>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</si>
  <si>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</si>
  <si>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</si>
  <si>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</si>
  <si>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</si>
  <si>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</si>
  <si>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</si>
  <si>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</si>
  <si>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</si>
  <si>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</si>
  <si>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</si>
  <si>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</si>
  <si>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</si>
  <si>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</si>
  <si>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</si>
  <si>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</si>
  <si>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</si>
  <si>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</si>
  <si>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</si>
  <si>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</si>
  <si>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</si>
  <si>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</si>
  <si>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</si>
  <si>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</si>
  <si>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</si>
  <si>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</si>
  <si>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</si>
  <si>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</si>
  <si>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</si>
  <si>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</si>
  <si>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</si>
  <si>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</si>
  <si>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</si>
  <si>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</si>
  <si>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</si>
  <si>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</si>
  <si>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</si>
  <si>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</si>
  <si>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</si>
  <si>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</si>
  <si>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</si>
  <si>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</si>
  <si>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</si>
  <si>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</si>
  <si>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</si>
  <si>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</si>
  <si>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</si>
  <si>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</si>
  <si>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</si>
  <si>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</si>
  <si>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</si>
  <si>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</si>
  <si>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</si>
  <si>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</si>
  <si>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</si>
  <si>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</si>
  <si>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</si>
  <si>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</si>
  <si>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</si>
  <si>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</si>
  <si>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</si>
  <si>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</si>
  <si>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</si>
  <si>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</si>
  <si>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</si>
  <si>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</si>
  <si>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</si>
  <si>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</si>
  <si>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</si>
  <si>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</si>
  <si>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</si>
  <si>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</si>
  <si>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</si>
  <si>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</si>
  <si>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</si>
  <si>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</si>
  <si>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</si>
  <si>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</si>
  <si>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</si>
  <si>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</si>
  <si>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</si>
  <si>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</si>
  <si>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</si>
  <si>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</si>
  <si>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</si>
  <si>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</si>
  <si>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</si>
  <si>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</si>
  <si>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</si>
  <si>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</si>
  <si>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</si>
  <si>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</si>
  <si>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</si>
  <si>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</si>
  <si>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</si>
  <si>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</si>
  <si>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</si>
  <si>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</si>
  <si>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</si>
  <si>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</si>
  <si>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</si>
  <si>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</si>
  <si>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</si>
  <si>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</si>
  <si>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</si>
  <si>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</si>
  <si>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</si>
  <si>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</si>
  <si>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</si>
  <si>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</si>
  <si>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</si>
  <si>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</si>
  <si>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</si>
  <si>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</si>
  <si>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</si>
  <si>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</si>
  <si>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</si>
  <si>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</si>
  <si>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</si>
  <si>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</si>
  <si>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</si>
  <si>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</si>
  <si>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</si>
  <si>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</si>
  <si>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</si>
  <si>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</si>
  <si>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</si>
  <si>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</si>
  <si>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</si>
  <si>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</si>
  <si>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</si>
  <si>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</si>
  <si>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</si>
  <si>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</si>
  <si>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</si>
  <si>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</si>
  <si>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</si>
  <si>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</si>
  <si>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</si>
  <si>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</si>
  <si>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</si>
  <si>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</si>
  <si>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企业</t>
  </si>
  <si>
    <t>北京市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</si>
  <si>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</si>
  <si>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</si>
  <si>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</si>
  <si>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</si>
  <si>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</si>
  <si>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</si>
  <si>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</si>
  <si>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</si>
  <si>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</si>
  <si>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</si>
  <si>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</si>
  <si>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</si>
  <si>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</si>
  <si>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</si>
  <si>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</si>
  <si>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</si>
  <si>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</si>
  <si>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</si>
  <si>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</si>
  <si>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</si>
  <si>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</si>
  <si>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</si>
  <si>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</si>
  <si>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</si>
  <si>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</si>
  <si>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</si>
  <si>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</si>
  <si>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</si>
  <si>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</si>
  <si>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</si>
  <si>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</si>
  <si>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</si>
  <si>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</si>
  <si>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</si>
  <si>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</si>
  <si>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</si>
  <si>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</si>
  <si>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</si>
  <si>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</si>
  <si>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</si>
  <si>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</si>
  <si>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</si>
  <si>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</si>
  <si>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</si>
  <si>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</si>
  <si>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</si>
  <si>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</si>
  <si>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</si>
  <si>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</si>
  <si>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</si>
  <si>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</si>
  <si>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</si>
  <si>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</si>
  <si>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</si>
  <si>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</si>
  <si>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</si>
  <si>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</si>
  <si>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</si>
  <si>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</si>
  <si>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</si>
  <si>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</si>
  <si>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</si>
  <si>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</si>
  <si>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</si>
  <si>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</si>
  <si>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</si>
  <si>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</si>
  <si>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</si>
  <si>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</si>
  <si>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</si>
  <si>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</si>
  <si>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</si>
  <si>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</si>
  <si>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</si>
  <si>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</si>
  <si>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</si>
  <si>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</si>
  <si>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</si>
  <si>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</si>
  <si>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</si>
  <si>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</si>
  <si>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</si>
  <si>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</si>
  <si>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</si>
  <si>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</si>
  <si>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</si>
  <si>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</si>
  <si>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</si>
  <si>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</si>
  <si>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</si>
  <si>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</si>
  <si>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</si>
  <si>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</si>
  <si>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</si>
  <si>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</si>
  <si>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</si>
  <si>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</si>
  <si>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</si>
  <si>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</si>
  <si>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</si>
  <si>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</si>
  <si>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</si>
  <si>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</si>
  <si>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0.2%-0.3%</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</si>
  <si>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</si>
  <si>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</si>
  <si>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</si>
  <si>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</si>
  <si>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</si>
  <si>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</si>
  <si>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</si>
  <si>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</si>
  <si>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</si>
  <si>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</si>
  <si>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</si>
  <si>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</si>
  <si>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</si>
  <si>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</si>
  <si>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</si>
  <si>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</si>
  <si>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</si>
  <si>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</si>
  <si>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</si>
  <si>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是</t>
  </si>
  <si>
    <t>地上</t>
  </si>
  <si>
    <t>公共服务</t>
  </si>
  <si>
    <t>公共服务</t>
    <phoneticPr fontId="7" type="noConversion"/>
  </si>
  <si>
    <t>成新度</t>
  </si>
  <si>
    <t>利息：取LPR加浮动点数</t>
  </si>
  <si>
    <t>不临65条商业街</t>
  </si>
  <si>
    <t>与级别开发程度不一致</t>
  </si>
  <si>
    <t>通路</t>
  </si>
  <si>
    <t>通电</t>
  </si>
  <si>
    <t>通讯</t>
  </si>
  <si>
    <t>通上水</t>
  </si>
  <si>
    <t>通下水</t>
  </si>
  <si>
    <t>平整</t>
  </si>
  <si>
    <t>自定义容积率</t>
  </si>
  <si>
    <t>一般</t>
  </si>
  <si>
    <t>较好</t>
  </si>
  <si>
    <t>好</t>
  </si>
  <si>
    <t>未包含在土地购买价格中</t>
  </si>
  <si>
    <t>已包含在土地取得成本中</t>
  </si>
  <si>
    <t>单套模式</t>
  </si>
  <si>
    <t>租金</t>
  </si>
  <si>
    <t>正常</t>
  </si>
  <si>
    <t>公共服务</t>
    <phoneticPr fontId="31" type="noConversion"/>
  </si>
  <si>
    <t>办公</t>
    <phoneticPr fontId="31" type="noConversion"/>
  </si>
  <si>
    <t>七通</t>
  </si>
  <si>
    <t>北京inn</t>
    <phoneticPr fontId="3" type="noConversion"/>
  </si>
  <si>
    <t>银河SOHO</t>
    <phoneticPr fontId="3" type="noConversion"/>
  </si>
  <si>
    <t>联合大厦</t>
    <phoneticPr fontId="3" type="noConversion"/>
  </si>
  <si>
    <t>高层</t>
  </si>
  <si>
    <t>高层</t>
    <phoneticPr fontId="31" type="noConversion"/>
  </si>
  <si>
    <t>中层</t>
  </si>
  <si>
    <t>中层</t>
    <phoneticPr fontId="31" type="noConversion"/>
  </si>
  <si>
    <t>低层</t>
    <phoneticPr fontId="31" type="noConversion"/>
  </si>
  <si>
    <t>钢混</t>
  </si>
  <si>
    <t>钢混</t>
    <phoneticPr fontId="31" type="noConversion"/>
  </si>
  <si>
    <t>精装修</t>
    <phoneticPr fontId="31" type="noConversion"/>
  </si>
  <si>
    <t>普通装修</t>
  </si>
  <si>
    <t>普通装修</t>
    <phoneticPr fontId="31" type="noConversion"/>
  </si>
  <si>
    <t>简单装修</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</si>
  <si>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</si>
  <si>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</si>
  <si>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</si>
  <si>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</si>
  <si>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</si>
  <si>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</si>
  <si>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</si>
  <si>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</si>
  <si>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专业物业管理</t>
  </si>
  <si>
    <t>专业物业管理</t>
    <phoneticPr fontId="31" type="noConversion"/>
  </si>
  <si>
    <t>板楼</t>
  </si>
  <si>
    <t>板楼</t>
    <phoneticPr fontId="31" type="noConversion"/>
  </si>
  <si>
    <t>板塔结合</t>
    <phoneticPr fontId="31" type="noConversion"/>
  </si>
  <si>
    <t>塔楼</t>
  </si>
  <si>
    <t>塔楼</t>
    <phoneticPr fontId="31" type="noConversion"/>
  </si>
  <si>
    <t>通热</t>
  </si>
  <si>
    <t>60</t>
    <phoneticPr fontId="3" type="noConversion"/>
  </si>
  <si>
    <t>单位自管</t>
  </si>
  <si>
    <t>单位自管</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</si>
</sst>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0" xfId="10">
      <alignment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69"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9" fontId="274" fillId="0" borderId="1" xfId="10" applyNumberFormat="1" applyFont="1" applyBorder="1" applyAlignment="1">
      <alignment horizontal="center" vertical="center" wrapText="1"/>
    </xf>
    <xf numFmtId="179" fontId="273" fillId="9" borderId="1" xfId="10" applyNumberFormat="1" applyFont="1" applyFill="1" applyBorder="1" applyAlignment="1">
      <alignment horizontal="center" vertical="center" wrapText="1" shrinkToFit="1"/>
    </xf>
    <xf numFmtId="0" fontId="110" fillId="0" borderId="0" xfId="10" applyFont="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9" borderId="5" xfId="10" applyFont="1" applyFill="1" applyBorder="1" applyAlignment="1">
      <alignment horizontal="center" vertical="center" wrapText="1" shrinkToFit="1"/>
    </xf>
    <xf numFmtId="0" fontId="110" fillId="9" borderId="54" xfId="10" applyFont="1" applyFill="1" applyBorder="1" applyAlignment="1">
      <alignment horizontal="center" vertical="center" wrapText="1" shrinkToFit="1"/>
    </xf>
    <xf numFmtId="180" fontId="110" fillId="9" borderId="54" xfId="10" applyNumberFormat="1" applyFont="1" applyFill="1" applyBorder="1" applyAlignment="1">
      <alignment horizontal="center" vertical="center" wrapText="1" shrinkToFit="1"/>
    </xf>
    <xf numFmtId="0" fontId="110" fillId="9" borderId="3" xfId="10" applyFont="1" applyFill="1" applyBorder="1" applyAlignment="1">
      <alignment horizontal="left" vertical="center" wrapText="1" shrinkToFit="1"/>
    </xf>
    <xf numFmtId="0" fontId="110" fillId="0" borderId="5" xfId="10"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0"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0" fillId="9" borderId="5" xfId="10" applyFont="1" applyFill="1" applyBorder="1" applyAlignment="1">
      <alignment horizontal="center" vertical="center" wrapText="1" shrinkToFit="1"/>
    </xf>
    <xf numFmtId="0" fontId="110" fillId="9" borderId="54" xfId="10" applyFont="1" applyFill="1" applyBorder="1" applyAlignment="1">
      <alignment horizontal="center" vertical="center" wrapText="1" shrinkToFit="1"/>
    </xf>
    <xf numFmtId="0" fontId="110" fillId="9" borderId="3" xfId="10" applyFont="1" applyFill="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9" borderId="5" xfId="10" applyNumberFormat="1" applyFont="1" applyFill="1" applyBorder="1" applyAlignment="1">
      <alignment horizontal="right" vertical="center" wrapText="1" shrinkToFit="1"/>
    </xf>
    <xf numFmtId="180" fontId="110" fillId="9" borderId="54" xfId="10" applyNumberFormat="1" applyFont="1" applyFill="1" applyBorder="1" applyAlignment="1">
      <alignment horizontal="right" vertical="center" wrapText="1" shrinkToFit="1"/>
    </xf>
    <xf numFmtId="0" fontId="110" fillId="9" borderId="54" xfId="10" applyFont="1" applyFill="1" applyBorder="1" applyAlignment="1">
      <alignment horizontal="left" vertical="center" wrapText="1" shrinkToFit="1"/>
    </xf>
    <xf numFmtId="0" fontId="110" fillId="9" borderId="3" xfId="10" applyFont="1" applyFill="1" applyBorder="1" applyAlignment="1">
      <alignment horizontal="left" vertical="center" wrapText="1" shrinkToFit="1"/>
    </xf>
    <xf numFmtId="0" fontId="110" fillId="9" borderId="5" xfId="10" applyFont="1" applyFill="1" applyBorder="1" applyAlignment="1">
      <alignment horizontal="right" vertical="center" wrapText="1" shrinkToFit="1"/>
    </xf>
    <xf numFmtId="0" fontId="110" fillId="9" borderId="54" xfId="10" applyFont="1" applyFill="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79" fontId="134" fillId="0" borderId="1" xfId="10" applyNumberFormat="1" applyFont="1" applyBorder="1" applyAlignment="1">
      <alignment horizontal="center" vertical="center" wrapText="1"/>
    </xf>
    <xf numFmtId="0" fontId="277" fillId="23" borderId="0" xfId="10" applyFont="1" applyFill="1" applyAlignment="1">
      <alignment horizontal="center" vertical="center" wrapText="1"/>
    </xf>
    <xf numFmtId="0" fontId="134" fillId="0" borderId="1" xfId="10" applyFont="1" applyBorder="1" applyAlignment="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51" fillId="24" borderId="23" xfId="0" applyNumberFormat="1" applyFont="1" applyFill="1" applyBorder="1" applyAlignment="1" applyProtection="1">
      <alignment horizontal="center" vertical="center" wrapText="1"/>
      <protection locked="0"/>
    </xf>
    <xf numFmtId="0" fontId="51" fillId="24" borderId="23" xfId="0" applyNumberFormat="1" applyFont="1" applyFill="1" applyBorder="1" applyAlignment="1" applyProtection="1">
      <alignment horizontal="center" vertical="center" wrapText="1"/>
      <protection locked="0"/>
    </xf>
    <xf numFmtId="9" fontId="110" fillId="24" borderId="1" xfId="10" applyNumberFormat="1" applyFont="1" applyFill="1" applyBorder="1" applyAlignment="1">
      <alignment horizontal="center" vertical="center" wrapText="1" shrinkToFi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676275</xdr:colOff>
      <xdr:row>14</xdr:row>
      <xdr:rowOff>134597</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7534275" cy="2534897"/>
        </a:xfrm>
        <a:prstGeom prst="rect">
          <a:avLst/>
        </a:prstGeom>
      </xdr:spPr>
    </xdr:pic>
    <xdr:clientData/>
  </xdr:twoCellAnchor>
  <xdr:twoCellAnchor editAs="oneCell">
    <xdr:from>
      <xdr:col>0</xdr:col>
      <xdr:colOff>0</xdr:colOff>
      <xdr:row>14</xdr:row>
      <xdr:rowOff>66675</xdr:rowOff>
    </xdr:from>
    <xdr:to>
      <xdr:col>10</xdr:col>
      <xdr:colOff>650779</xdr:colOff>
      <xdr:row>29</xdr:row>
      <xdr:rowOff>132823</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2466975"/>
          <a:ext cx="7508779" cy="2637898"/>
        </a:xfrm>
        <a:prstGeom prst="rect">
          <a:avLst/>
        </a:prstGeom>
      </xdr:spPr>
    </xdr:pic>
    <xdr:clientData/>
  </xdr:twoCellAnchor>
  <xdr:twoCellAnchor editAs="oneCell">
    <xdr:from>
      <xdr:col>0</xdr:col>
      <xdr:colOff>0</xdr:colOff>
      <xdr:row>30</xdr:row>
      <xdr:rowOff>69161</xdr:rowOff>
    </xdr:from>
    <xdr:to>
      <xdr:col>10</xdr:col>
      <xdr:colOff>342900</xdr:colOff>
      <xdr:row>44</xdr:row>
      <xdr:rowOff>142364</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5212661"/>
          <a:ext cx="7200900" cy="2473503"/>
        </a:xfrm>
        <a:prstGeom prst="rect">
          <a:avLst/>
        </a:prstGeom>
      </xdr:spPr>
    </xdr:pic>
    <xdr:clientData/>
  </xdr:twoCellAnchor>
  <xdr:twoCellAnchor editAs="oneCell">
    <xdr:from>
      <xdr:col>0</xdr:col>
      <xdr:colOff>0</xdr:colOff>
      <xdr:row>49</xdr:row>
      <xdr:rowOff>0</xdr:rowOff>
    </xdr:from>
    <xdr:to>
      <xdr:col>12</xdr:col>
      <xdr:colOff>627543</xdr:colOff>
      <xdr:row>74</xdr:row>
      <xdr:rowOff>85179</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8401050"/>
          <a:ext cx="8857143" cy="4371429"/>
        </a:xfrm>
        <a:prstGeom prst="rect">
          <a:avLst/>
        </a:prstGeom>
      </xdr:spPr>
    </xdr:pic>
    <xdr:clientData/>
  </xdr:twoCellAnchor>
  <xdr:twoCellAnchor editAs="oneCell">
    <xdr:from>
      <xdr:col>10</xdr:col>
      <xdr:colOff>590550</xdr:colOff>
      <xdr:row>0</xdr:row>
      <xdr:rowOff>0</xdr:rowOff>
    </xdr:from>
    <xdr:to>
      <xdr:col>19</xdr:col>
      <xdr:colOff>80962</xdr:colOff>
      <xdr:row>14</xdr:row>
      <xdr:rowOff>19050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7448550" y="0"/>
          <a:ext cx="5662612" cy="2419350"/>
        </a:xfrm>
        <a:prstGeom prst="rect">
          <a:avLst/>
        </a:prstGeom>
      </xdr:spPr>
    </xdr:pic>
    <xdr:clientData/>
  </xdr:twoCellAnchor>
  <xdr:twoCellAnchor editAs="oneCell">
    <xdr:from>
      <xdr:col>19</xdr:col>
      <xdr:colOff>0</xdr:colOff>
      <xdr:row>0</xdr:row>
      <xdr:rowOff>0</xdr:rowOff>
    </xdr:from>
    <xdr:to>
      <xdr:col>28</xdr:col>
      <xdr:colOff>275419</xdr:colOff>
      <xdr:row>30</xdr:row>
      <xdr:rowOff>113643</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13030200" y="0"/>
          <a:ext cx="6447619" cy="5257143"/>
        </a:xfrm>
        <a:prstGeom prst="rect">
          <a:avLst/>
        </a:prstGeom>
      </xdr:spPr>
    </xdr:pic>
    <xdr:clientData/>
  </xdr:twoCellAnchor>
  <xdr:twoCellAnchor editAs="oneCell">
    <xdr:from>
      <xdr:col>19</xdr:col>
      <xdr:colOff>0</xdr:colOff>
      <xdr:row>31</xdr:row>
      <xdr:rowOff>0</xdr:rowOff>
    </xdr:from>
    <xdr:to>
      <xdr:col>28</xdr:col>
      <xdr:colOff>113514</xdr:colOff>
      <xdr:row>68</xdr:row>
      <xdr:rowOff>94445</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13030200" y="5314950"/>
          <a:ext cx="6285714" cy="6438095"/>
        </a:xfrm>
        <a:prstGeom prst="rect">
          <a:avLst/>
        </a:prstGeom>
      </xdr:spPr>
    </xdr:pic>
    <xdr:clientData/>
  </xdr:twoCellAnchor>
  <xdr:twoCellAnchor editAs="oneCell">
    <xdr:from>
      <xdr:col>19</xdr:col>
      <xdr:colOff>0</xdr:colOff>
      <xdr:row>69</xdr:row>
      <xdr:rowOff>0</xdr:rowOff>
    </xdr:from>
    <xdr:to>
      <xdr:col>28</xdr:col>
      <xdr:colOff>256371</xdr:colOff>
      <xdr:row>107</xdr:row>
      <xdr:rowOff>46805</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13030200" y="11830050"/>
          <a:ext cx="6428571" cy="6561905"/>
        </a:xfrm>
        <a:prstGeom prst="rect">
          <a:avLst/>
        </a:prstGeom>
      </xdr:spPr>
    </xdr:pic>
    <xdr:clientData/>
  </xdr:twoCellAnchor>
  <xdr:twoCellAnchor editAs="oneCell">
    <xdr:from>
      <xdr:col>19</xdr:col>
      <xdr:colOff>0</xdr:colOff>
      <xdr:row>107</xdr:row>
      <xdr:rowOff>0</xdr:rowOff>
    </xdr:from>
    <xdr:to>
      <xdr:col>28</xdr:col>
      <xdr:colOff>103990</xdr:colOff>
      <xdr:row>114</xdr:row>
      <xdr:rowOff>28421</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13030200" y="18345150"/>
          <a:ext cx="6276190" cy="1228571"/>
        </a:xfrm>
        <a:prstGeom prst="rect">
          <a:avLst/>
        </a:prstGeom>
      </xdr:spPr>
    </xdr:pic>
    <xdr:clientData/>
  </xdr:twoCellAnchor>
  <xdr:twoCellAnchor editAs="oneCell">
    <xdr:from>
      <xdr:col>0</xdr:col>
      <xdr:colOff>0</xdr:colOff>
      <xdr:row>74</xdr:row>
      <xdr:rowOff>114300</xdr:rowOff>
    </xdr:from>
    <xdr:to>
      <xdr:col>11</xdr:col>
      <xdr:colOff>21003</xdr:colOff>
      <xdr:row>93</xdr:row>
      <xdr:rowOff>18434</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0" y="12801600"/>
          <a:ext cx="7564803" cy="3161684"/>
        </a:xfrm>
        <a:prstGeom prst="rect">
          <a:avLst/>
        </a:prstGeom>
      </xdr:spPr>
    </xdr:pic>
    <xdr:clientData/>
  </xdr:twoCellAnchor>
  <xdr:twoCellAnchor editAs="oneCell">
    <xdr:from>
      <xdr:col>11</xdr:col>
      <xdr:colOff>0</xdr:colOff>
      <xdr:row>15</xdr:row>
      <xdr:rowOff>0</xdr:rowOff>
    </xdr:from>
    <xdr:to>
      <xdr:col>19</xdr:col>
      <xdr:colOff>19050</xdr:colOff>
      <xdr:row>29</xdr:row>
      <xdr:rowOff>15170</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11"/>
        <a:stretch>
          <a:fillRect/>
        </a:stretch>
      </xdr:blipFill>
      <xdr:spPr>
        <a:xfrm>
          <a:off x="7543800" y="2571750"/>
          <a:ext cx="5505450" cy="2415470"/>
        </a:xfrm>
        <a:prstGeom prst="rect">
          <a:avLst/>
        </a:prstGeom>
      </xdr:spPr>
    </xdr:pic>
    <xdr:clientData/>
  </xdr:twoCellAnchor>
  <xdr:twoCellAnchor editAs="oneCell">
    <xdr:from>
      <xdr:col>10</xdr:col>
      <xdr:colOff>664482</xdr:colOff>
      <xdr:row>29</xdr:row>
      <xdr:rowOff>66675</xdr:rowOff>
    </xdr:from>
    <xdr:to>
      <xdr:col>19</xdr:col>
      <xdr:colOff>143455</xdr:colOff>
      <xdr:row>42</xdr:row>
      <xdr:rowOff>114300</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2"/>
        <a:stretch>
          <a:fillRect/>
        </a:stretch>
      </xdr:blipFill>
      <xdr:spPr>
        <a:xfrm>
          <a:off x="7522482" y="5038725"/>
          <a:ext cx="5651173" cy="2276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2696;\&#26700;&#38754;\&#26397;&#38451;&#38376;&#21335;&#23567;&#34903;&#31199;&#37329;\&#26397;&#38451;&#38376;&#21335;&#23567;&#34903;&#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
      <sheetName val="结果一览表-铂郡"/>
      <sheetName val="比较法-商业铂郡"/>
      <sheetName val="比较法-商业铂郡租金"/>
      <sheetName val="Sheet6"/>
      <sheetName val="结果一览表-"/>
      <sheetName val="假设开发法"/>
      <sheetName val="收益法 (元)"/>
      <sheetName val="收益法（汇总）"/>
      <sheetName val="酒店收入计算"/>
      <sheetName val="比较法-住宅"/>
      <sheetName val="成本法 (元)"/>
      <sheetName val="比较法-商业售价"/>
      <sheetName val="比较法-办公租金"/>
      <sheetName val="比较法-工业"/>
      <sheetName val="比较法-车位"/>
      <sheetName val="比较法-租金"/>
      <sheetName val="成本法"/>
      <sheetName val="土地比较法-住宅、综合"/>
      <sheetName val="土地比较法-工业"/>
      <sheetName val="基准地价修正"/>
      <sheetName val="修正"/>
      <sheetName val="容积率修正"/>
      <sheetName val="基准地价（汇总）"/>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物业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物业</v>
          </cell>
        </row>
      </sheetData>
      <sheetData sheetId="14">
        <row r="6">
          <cell r="L6">
            <v>3000</v>
          </cell>
          <cell r="Q6">
            <v>0.15</v>
          </cell>
        </row>
        <row r="20">
          <cell r="B20">
            <v>1</v>
          </cell>
        </row>
        <row r="28">
          <cell r="B28">
            <v>200</v>
          </cell>
        </row>
        <row r="33">
          <cell r="B33">
            <v>0.04</v>
          </cell>
        </row>
        <row r="34">
          <cell r="B34">
            <v>0</v>
          </cell>
        </row>
        <row r="36">
          <cell r="B36">
            <v>1.4999999999999999E-2</v>
          </cell>
        </row>
        <row r="37">
          <cell r="B37">
            <v>0.01</v>
          </cell>
        </row>
        <row r="38">
          <cell r="B38">
            <v>0.01</v>
          </cell>
        </row>
        <row r="40">
          <cell r="B40">
            <v>4.3499999999999997E-2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49">
          <cell r="C49">
            <v>894437</v>
          </cell>
        </row>
      </sheetData>
      <sheetData sheetId="30"/>
      <sheetData sheetId="31">
        <row r="49">
          <cell r="C49">
            <v>4.7</v>
          </cell>
        </row>
        <row r="62">
          <cell r="A62" t="str">
            <v>交易情况</v>
          </cell>
          <cell r="C62" t="str">
            <v>正常</v>
          </cell>
          <cell r="D62" t="str">
            <v>挂牌</v>
          </cell>
        </row>
        <row r="64">
          <cell r="B64" t="str">
            <v>用途</v>
          </cell>
          <cell r="C64" t="str">
            <v>物业环卫用房</v>
          </cell>
          <cell r="D64" t="str">
            <v>办公</v>
          </cell>
        </row>
        <row r="87">
          <cell r="B87" t="str">
            <v>毗邻道路的类型与等级</v>
          </cell>
        </row>
        <row r="89">
          <cell r="B89" t="str">
            <v>楼层</v>
          </cell>
        </row>
        <row r="91">
          <cell r="B91" t="str">
            <v>朝向</v>
          </cell>
        </row>
        <row r="101">
          <cell r="B101" t="str">
            <v>建筑类型</v>
          </cell>
          <cell r="C101" t="str">
            <v>板楼</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物业公司管理</v>
          </cell>
          <cell r="D115" t="str">
            <v>自管</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refreshError="1"/>
      <sheetData sheetId="36">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refreshError="1"/>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refreshError="1"/>
      <sheetData sheetId="41" refreshError="1"/>
      <sheetData sheetId="42">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估价对象为北京市房地产，为所有。根据《国有土地使用证》[]，估价对象（分摊）出让国有建设用地使用权面积为0平方米，建筑面积为512.87平方米。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估价对象为北京市房地产,属开发建设的，该项目尚在开发建设中。根据《国有土地使用证》[]，估价对象（分摊）出让国有建设用地使用权面积为0平方米，规划建筑面积为512.87平方米。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2023年3月6日</v>
      </c>
    </row>
    <row r="13" spans="1:2" s="1203" customFormat="1">
      <c r="A13" s="1201" t="s">
        <v>529</v>
      </c>
      <c r="B13" s="1202"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512.87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1554" t="s">
        <v>385</v>
      </c>
      <c r="C54" s="1551" t="s">
        <v>583</v>
      </c>
    </row>
    <row r="55" spans="1:4">
      <c r="A55" s="3563"/>
      <c r="B55" s="1554" t="s">
        <v>386</v>
      </c>
      <c r="C55" s="1551" t="s">
        <v>584</v>
      </c>
    </row>
    <row r="56" spans="1:4">
      <c r="A56" s="3563"/>
      <c r="B56" s="1554" t="s">
        <v>387</v>
      </c>
      <c r="C56" s="1551" t="s">
        <v>588</v>
      </c>
    </row>
    <row r="57" spans="1:4">
      <c r="A57" s="356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64" t="s">
        <v>2583</v>
      </c>
      <c r="J2" s="3564"/>
      <c r="K2" s="3564"/>
      <c r="L2" s="3564"/>
      <c r="M2" s="3564"/>
      <c r="N2" s="3564"/>
      <c r="O2" s="3564"/>
      <c r="P2" s="3564"/>
      <c r="Q2" s="3564"/>
      <c r="R2" s="3564"/>
    </row>
    <row r="3" spans="1:18">
      <c r="A3" s="3020" t="s">
        <v>2504</v>
      </c>
      <c r="B3" s="3021">
        <f>项目基本情况!D3</f>
        <v>44991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3.79</v>
      </c>
      <c r="D5" s="3025">
        <f>IF(ISERROR(ROUND(POWER(1+E5,A5-C5)*(POWER(1+E5,C5)-1)/(POWER(1+E5,A5)-1),3)),0,ROUND(POWER(1+E5,A5-C5)*(POWER(1+E5,C5)-1)/(POWER(1+E5,A5)-1),4))</f>
        <v>0.17449999999999999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v>
      </c>
      <c r="D6" s="3025">
        <f>IF(ISERROR(ROUND(POWER(1+E6,A6-C6)*(POWER(1+E6,C6)-1)/(POWER(1+E6,A6)-1),3)),0,ROUND(POWER(1+E6,A6-C6)*(POWER(1+E6,C6)-1)/(POWER(1+E6,A6)-1),4))</f>
        <v>0.4864</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33.81</v>
      </c>
      <c r="D7" s="3025">
        <f>IF(ISERROR(ROUND(POWER(1+E7,A7-C7)*(POWER(1+E7,C7)-1)/(POWER(1+E7,A7)-1),3)),0,ROUND(POWER(1+E7,A7-C7)*(POWER(1+E7,C7)-1)/(POWER(1+E7,A7)-1),4))</f>
        <v>0.78490000000000004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65" t="str">
        <f>IF(B10="北京市","北京市",C10)&amp;F10&amp;IF(结果表!G1="在建","出让国有建设用地使用权及在建建筑物",IF(结果表!G1="土地","出让国有建设用地使用权",))&amp;B9&amp;"预评估"</f>
        <v>北京市预评估</v>
      </c>
      <c r="C1" s="3566"/>
      <c r="D1" s="3566"/>
      <c r="E1" s="3566"/>
      <c r="F1" s="3566"/>
      <c r="G1" s="3566"/>
      <c r="H1" s="3566"/>
      <c r="I1" s="356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44991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68" t="s">
        <v>2177</v>
      </c>
      <c r="E8" s="2391"/>
      <c r="F8" s="2392"/>
      <c r="G8" s="2663"/>
      <c r="H8" s="2663"/>
      <c r="I8" s="2663"/>
      <c r="J8" s="2439"/>
      <c r="K8" s="2614"/>
      <c r="L8" s="2613"/>
      <c r="M8" s="2613"/>
      <c r="N8" s="2439"/>
      <c r="O8" s="2450"/>
      <c r="P8" s="2439"/>
      <c r="Q8" s="2439"/>
      <c r="R8" s="2439"/>
    </row>
    <row r="9" spans="1:30" ht="13.5" thickBot="1">
      <c r="A9" s="2393" t="s">
        <v>2178</v>
      </c>
      <c r="B9" s="2394"/>
      <c r="C9" s="2395"/>
      <c r="D9" s="3569"/>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c r="I13" s="856">
        <v>55938</v>
      </c>
      <c r="J13" s="3062"/>
      <c r="K13" s="2613"/>
      <c r="L13" s="2613"/>
      <c r="M13" s="2439"/>
      <c r="N13" s="2450"/>
      <c r="O13" s="2439"/>
      <c r="P13" s="2439"/>
      <c r="Q13" s="2439"/>
      <c r="AD13" s="1745"/>
    </row>
    <row r="14" spans="1:30">
      <c r="A14" s="1081"/>
      <c r="B14" s="2407" t="s">
        <v>2191</v>
      </c>
      <c r="C14" s="2408"/>
      <c r="D14" s="2408"/>
      <c r="E14" s="2408"/>
      <c r="F14" s="2408"/>
      <c r="G14" s="2408"/>
      <c r="H14" s="2408"/>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f>IF(A13="出让",IF(I13="","",ROUNDDOWN(MIN((I13-$D$3)/365,I14),2)),I14)</f>
        <v>29.99</v>
      </c>
      <c r="J15" s="3064"/>
      <c r="K15" s="2451"/>
      <c r="L15" s="2451"/>
      <c r="M15" s="2509"/>
      <c r="N15" s="2451"/>
      <c r="O15" s="2509"/>
      <c r="P15" s="2439"/>
      <c r="Q15" s="2439"/>
      <c r="AD15" s="1745"/>
    </row>
    <row r="16" spans="1:30">
      <c r="A16" s="2400" t="s">
        <v>2193</v>
      </c>
      <c r="B16" s="3575"/>
      <c r="C16" s="3576"/>
      <c r="D16" s="3577"/>
      <c r="E16" s="2413" t="s">
        <v>2194</v>
      </c>
      <c r="F16" s="3578"/>
      <c r="G16" s="3579"/>
      <c r="H16" s="3579"/>
      <c r="I16" s="3580"/>
      <c r="J16" s="2439"/>
      <c r="K16" s="2617"/>
      <c r="L16" s="2451"/>
      <c r="M16" s="2451"/>
      <c r="N16" s="2509"/>
      <c r="O16" s="2451"/>
      <c r="P16" s="2509"/>
      <c r="Q16" s="2439"/>
      <c r="R16" s="2439"/>
    </row>
    <row r="17" spans="1:28">
      <c r="A17" s="313" t="s">
        <v>2195</v>
      </c>
      <c r="B17" s="302" t="s">
        <v>2196</v>
      </c>
      <c r="C17" s="8">
        <f>'数据-汇总表'!E3</f>
        <v>512.87</v>
      </c>
      <c r="D17" s="2322" t="s">
        <v>2197</v>
      </c>
      <c r="E17" s="3581" t="s">
        <v>2198</v>
      </c>
      <c r="F17" s="3582"/>
      <c r="G17" s="3582"/>
      <c r="H17" s="3582"/>
      <c r="I17" s="358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84" t="s">
        <v>2202</v>
      </c>
      <c r="F18" s="3585"/>
      <c r="G18" s="3585"/>
      <c r="H18" s="3585"/>
      <c r="I18" s="358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71" t="s">
        <v>2206</v>
      </c>
      <c r="C20" s="3572"/>
      <c r="D20" s="3573" t="s">
        <v>2207</v>
      </c>
      <c r="E20" s="3574"/>
      <c r="F20" s="2647" t="s">
        <v>1056</v>
      </c>
      <c r="G20" s="2664"/>
      <c r="H20" s="2664"/>
      <c r="I20" s="2664"/>
      <c r="J20" s="2439"/>
      <c r="K20" s="357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7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7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8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8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8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89"/>
      <c r="B30" s="302" t="s">
        <v>2218</v>
      </c>
      <c r="C30" s="3590"/>
      <c r="D30" s="3591"/>
      <c r="E30" s="2664"/>
      <c r="F30" s="2664"/>
      <c r="G30" s="2664"/>
      <c r="H30" s="2664"/>
      <c r="I30" s="2664"/>
      <c r="J30" s="2439"/>
      <c r="K30" s="2616"/>
      <c r="L30" s="2613"/>
      <c r="M30" s="2613"/>
      <c r="N30" s="2439"/>
      <c r="O30" s="2450"/>
      <c r="P30" s="2439"/>
      <c r="Q30" s="2439"/>
      <c r="R30" s="2439"/>
      <c r="S30" s="2439"/>
      <c r="T30" s="2439"/>
      <c r="U30" s="2439"/>
      <c r="V30" s="2439"/>
    </row>
    <row r="31" spans="1:28">
      <c r="A31" s="359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9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9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87" t="s">
        <v>2228</v>
      </c>
      <c r="T34" s="2428" t="str">
        <f>NUMBERSTRING(7-K34,1)&amp;"通"</f>
        <v>七通</v>
      </c>
      <c r="U34" s="2439"/>
      <c r="V34" s="2439"/>
    </row>
    <row r="35" spans="1:30">
      <c r="A35" s="2429"/>
      <c r="B35" s="3594" t="s">
        <v>2229</v>
      </c>
      <c r="C35" s="3594"/>
      <c r="D35" s="3594"/>
      <c r="E35" s="359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t="s">
        <v>144</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t="s">
        <v>137</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512.87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512.87</v>
      </c>
      <c r="H5" s="13">
        <f t="shared" ref="H5:AT5" si="0">SUM(H13:H656)</f>
        <v>512.87</v>
      </c>
      <c r="I5" s="13">
        <f t="shared" si="0"/>
        <v>512.87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512.87</v>
      </c>
      <c r="BA5" s="15">
        <f t="shared" si="1"/>
        <v>512.87</v>
      </c>
      <c r="BB5" s="15">
        <f t="shared" si="1"/>
        <v>512.87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3505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3506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3504</v>
      </c>
      <c r="E13" s="13">
        <f>IF($C$3="是",ROUND($A$3*G13/$B$3,2),ROUND($A$3*(G13-AT13)/$B$3,2))</f>
        <v>0</v>
      </c>
      <c r="F13" s="29"/>
      <c r="G13" s="30">
        <f>H13+AC13+AT13</f>
        <v>512.87</v>
      </c>
      <c r="H13" s="17">
        <f>SUMIF(I$12:AB$12,"总值",I13:AB13)</f>
        <v>512.87</v>
      </c>
      <c r="I13" s="1626">
        <v>512.87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512.87</v>
      </c>
      <c r="BA13" s="13">
        <f>SUM(BB13:BK13)</f>
        <v>512.87</v>
      </c>
      <c r="BB13" s="13">
        <f>IF($D13="是",I13-J13,0)</f>
        <v>512.87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04" t="s">
        <v>1131</v>
      </c>
      <c r="B2" s="3604"/>
      <c r="C2" s="3604"/>
      <c r="D2" s="796" t="s">
        <v>1107</v>
      </c>
      <c r="E2" s="1639" t="s">
        <v>1108</v>
      </c>
      <c r="F2" s="2659"/>
      <c r="G2" s="2650"/>
      <c r="H2" s="2651"/>
      <c r="I2" s="2325" t="s">
        <v>1132</v>
      </c>
      <c r="J2" s="2659"/>
      <c r="K2" s="2659"/>
      <c r="L2" s="2659"/>
      <c r="M2" s="2659"/>
      <c r="N2" s="2661"/>
      <c r="O2" s="2659"/>
      <c r="P2" s="2659"/>
    </row>
    <row r="3" spans="1:16" ht="15.75" thickBot="1">
      <c r="A3" s="3605" t="s">
        <v>1105</v>
      </c>
      <c r="B3" s="3605"/>
      <c r="C3" s="3605"/>
      <c r="D3" s="43">
        <f>'数据-基础表'!AY6</f>
        <v>0</v>
      </c>
      <c r="E3" s="43">
        <f>'数据-基础表'!AZ5</f>
        <v>512.87</v>
      </c>
      <c r="F3" s="2659"/>
      <c r="G3" s="1145"/>
      <c r="H3" s="1026" t="s">
        <v>1106</v>
      </c>
      <c r="I3" s="855" t="e">
        <f>ROUND('数据-基础表'!B3/'数据-基础表'!A3,2)</f>
        <v>#DIV/0!</v>
      </c>
      <c r="J3" s="2659"/>
      <c r="K3" s="2659"/>
      <c r="L3" s="2659"/>
      <c r="M3" s="2659"/>
      <c r="N3" s="2661"/>
      <c r="O3" s="2659"/>
      <c r="P3" s="2659"/>
    </row>
    <row r="4" spans="1:16" ht="15">
      <c r="A4" s="3606"/>
      <c r="B4" s="3607"/>
      <c r="C4" s="360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609" t="s">
        <v>1110</v>
      </c>
      <c r="C5" s="360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609" t="s">
        <v>1111</v>
      </c>
      <c r="C6" s="3609"/>
      <c r="D6" s="45">
        <f>ROUND($D$3*E6/$E$3,2)</f>
        <v>0</v>
      </c>
      <c r="E6" s="46">
        <f>E3-E5</f>
        <v>512.87</v>
      </c>
      <c r="F6" s="2659"/>
      <c r="G6" s="2653" t="s">
        <v>1112</v>
      </c>
      <c r="H6" s="1146" t="s">
        <v>1113</v>
      </c>
      <c r="I6" s="2654" t="e">
        <f>ROUND(F31/D31,2)</f>
        <v>#DIV/0!</v>
      </c>
      <c r="J6" s="2659"/>
      <c r="K6" s="2659"/>
      <c r="L6" s="2659"/>
      <c r="M6" s="2659"/>
      <c r="N6" s="2659"/>
      <c r="O6" s="2659"/>
      <c r="P6" s="2659"/>
    </row>
    <row r="7" spans="1:16" ht="15.75" thickBot="1">
      <c r="A7" s="3601"/>
      <c r="B7" s="3602"/>
      <c r="C7" s="360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512.87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512.87</v>
      </c>
      <c r="F16" s="2659"/>
      <c r="G16" s="2660"/>
      <c r="H16" s="1648" t="s">
        <v>1135</v>
      </c>
      <c r="I16" s="1649"/>
      <c r="J16" s="1139"/>
      <c r="K16" s="3598" t="s">
        <v>1135</v>
      </c>
      <c r="L16" s="3599"/>
      <c r="M16" s="3599"/>
      <c r="N16" s="3599"/>
      <c r="O16" s="3599"/>
      <c r="P16" s="3600"/>
    </row>
    <row r="17" spans="1:19" ht="15">
      <c r="A17" s="1650" t="s">
        <v>1136</v>
      </c>
      <c r="B17" s="1651" t="s">
        <v>1137</v>
      </c>
      <c r="C17" s="1652" t="s">
        <v>1138</v>
      </c>
      <c r="D17" s="1653" t="s">
        <v>1126</v>
      </c>
      <c r="E17" s="1654" t="s">
        <v>1127</v>
      </c>
      <c r="F17" s="1655"/>
      <c r="G17" s="1656"/>
      <c r="H17" s="1657" t="s">
        <v>1139</v>
      </c>
      <c r="I17" s="1658" t="s">
        <v>1124</v>
      </c>
      <c r="J17" s="1139"/>
      <c r="K17" s="3595" t="s">
        <v>1140</v>
      </c>
      <c r="L17" s="3596"/>
      <c r="M17" s="3597"/>
      <c r="N17" s="3595" t="s">
        <v>1141</v>
      </c>
      <c r="O17" s="3596"/>
      <c r="P17" s="359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3507</v>
      </c>
      <c r="D19" s="45">
        <f>ROUND($D$3*E19/$E$3,2)</f>
        <v>0</v>
      </c>
      <c r="E19" s="53">
        <f t="shared" ref="E19:E26" si="1">SUM(F19:G19)</f>
        <v>512.87</v>
      </c>
      <c r="F19" s="2795">
        <f>'数据-基础表'!I13</f>
        <v>512.87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512.87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512.87</v>
      </c>
      <c r="F27" s="1140">
        <f>IF(SUM(F19:F26)=E8,SUM(F19:F26),"地上面积有误")</f>
        <v>512.87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512.87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512.87</v>
      </c>
      <c r="F31" s="677">
        <f>F27+F30</f>
        <v>512.87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3508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公共服务</v>
      </c>
      <c r="B6" s="1713" t="str">
        <f>IF(A6=0,"","经营性")</f>
        <v>经营性</v>
      </c>
      <c r="C6" s="1714" t="s">
        <v>3506</v>
      </c>
      <c r="D6" s="858">
        <f>SUMIF(项目基本情况!C$12:I$12,C6,项目基本情况!C$14:I$14)</f>
        <v>50</v>
      </c>
      <c r="E6" s="857">
        <f>IF(B6="","",SUMIF(项目基本情况!C$12:I$12,C6,项目基本情况!C$13:I$13))</f>
        <v>55938</v>
      </c>
      <c r="F6" s="64">
        <f>SUMIF(项目基本情况!C$12:I$12,C6,项目基本情况!C$15:I$15)</f>
        <v>29.99</v>
      </c>
      <c r="G6" s="65">
        <f>IF(ISERROR(ROUND(POWER(1+H6,D6-F6)*(POWER(1+H6,F6)-1)/(POWER(1+H6,D6)-1),3)),0,ROUND(POWER(1+H6,D6-F6)*(POWER(1+H6,F6)-1)/(POWER(1+H6,D6)-1),3))</f>
        <v>0.80500000000000005</v>
      </c>
      <c r="H6" s="732">
        <v>0.04</v>
      </c>
      <c r="I6" s="732">
        <v>4.4999999999999998E-2</v>
      </c>
      <c r="J6" s="66">
        <v>5.5E-2</v>
      </c>
      <c r="K6" s="1030">
        <f>SUMIF('数据-汇总表'!C$19:C$33,A6,'数据-汇总表'!E$19:E$33)</f>
        <v>512.87</v>
      </c>
      <c r="L6" s="733">
        <v>3000</v>
      </c>
      <c r="M6" s="67">
        <f t="shared" ref="M6:M14" si="0">ROUND(K6*L6/10000,0)</f>
        <v>154</v>
      </c>
      <c r="N6" s="731">
        <f>1-(2023-N18)/60</f>
        <v>0.68333333333333335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0.80500000000000005</v>
      </c>
      <c r="H16" s="90">
        <f>ROUND(SUMPRODUCT(H6:H13,K6:K13)/SUMPRODUCT((H6:H13&gt;0)*(K6:K13)),3)</f>
        <v>0.04</v>
      </c>
      <c r="I16" s="91"/>
      <c r="J16" s="91"/>
      <c r="K16" s="92">
        <f>SUM(K6:K15)</f>
        <v>512.87</v>
      </c>
      <c r="L16" s="93">
        <f>ROUND(M16*10000/SUM(K6:K14),0)</f>
        <v>3003</v>
      </c>
      <c r="M16" s="93">
        <f>SUM(M6:M14)</f>
        <v>154</v>
      </c>
      <c r="N16" s="94">
        <f>ROUND(SUMPRODUCT(M6:M14,N6:N14)/M16,3)</f>
        <v>0.68300000000000005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2004</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10.257400000000001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0.01</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3509</v>
      </c>
      <c r="B40" s="1078">
        <f ca="1">IF(A40="利息：取LPR",存贷款利率!G1,存贷款利率!G1+C40)</f>
        <v>4.3499999999999997E-2</v>
      </c>
      <c r="C40" s="2814">
        <v>7.0000000000000001E-3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10" t="s">
        <v>2286</v>
      </c>
      <c r="B1" s="3611"/>
      <c r="C1" s="3611"/>
      <c r="D1" s="3611"/>
      <c r="E1" s="3611"/>
      <c r="F1" s="3611"/>
      <c r="G1" s="361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512.87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44991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'数据-取费表'!K6</f>
        <v>512.87</v>
      </c>
      <c r="C14" s="2518"/>
      <c r="D14" s="2518"/>
      <c r="E14" s="2518">
        <f>ROUND(D14*10000/B14,0)</f>
        <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79" t="str">
        <f>项目基本情况!S2</f>
        <v>北京市房地产</v>
      </c>
      <c r="B2" s="3680"/>
      <c r="C2" s="3680"/>
      <c r="D2" s="3680"/>
      <c r="E2" s="3680"/>
      <c r="F2" s="3680"/>
      <c r="G2" s="3680"/>
      <c r="H2" s="3680"/>
      <c r="I2" s="3681"/>
    </row>
    <row r="3" spans="1:12" ht="12.75">
      <c r="A3" s="3683" t="s">
        <v>1264</v>
      </c>
      <c r="B3" s="3684"/>
      <c r="C3" s="3684"/>
      <c r="D3" s="3684"/>
      <c r="E3" s="3684"/>
      <c r="F3" s="3684"/>
      <c r="G3" s="3684"/>
      <c r="H3" s="3684"/>
      <c r="I3" s="3684"/>
    </row>
    <row r="4" spans="1:12" ht="14.25">
      <c r="A4" s="1754" t="s">
        <v>1265</v>
      </c>
      <c r="B4" s="1755" t="s">
        <v>1266</v>
      </c>
      <c r="C4" s="1756"/>
      <c r="D4" s="1756"/>
      <c r="E4" s="3688" t="s">
        <v>1267</v>
      </c>
      <c r="F4" s="3689"/>
      <c r="G4" s="3689"/>
      <c r="H4" s="3689"/>
      <c r="I4" s="369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27" t="s">
        <v>1268</v>
      </c>
      <c r="B5" s="3682">
        <v>25</v>
      </c>
      <c r="C5" s="3685"/>
      <c r="D5" s="3673"/>
      <c r="E5" s="131" t="s">
        <v>1269</v>
      </c>
      <c r="F5" s="1757"/>
      <c r="G5" s="1757"/>
      <c r="H5" s="1757"/>
      <c r="I5" s="1373"/>
    </row>
    <row r="6" spans="1:12" ht="12.75">
      <c r="A6" s="3627"/>
      <c r="B6" s="3682"/>
      <c r="C6" s="3687"/>
      <c r="D6" s="3673"/>
      <c r="E6" s="131" t="s">
        <v>1270</v>
      </c>
      <c r="F6" s="1757"/>
      <c r="G6" s="1757"/>
      <c r="H6" s="1757"/>
      <c r="I6" s="1373"/>
    </row>
    <row r="7" spans="1:12" ht="12.75">
      <c r="A7" s="3627"/>
      <c r="B7" s="3682"/>
      <c r="C7" s="3686"/>
      <c r="D7" s="3673"/>
      <c r="E7" s="131" t="s">
        <v>1271</v>
      </c>
      <c r="F7" s="1757"/>
      <c r="G7" s="1757"/>
      <c r="H7" s="1757"/>
      <c r="I7" s="1373"/>
    </row>
    <row r="8" spans="1:12" ht="12.75">
      <c r="A8" s="3627" t="s">
        <v>1272</v>
      </c>
      <c r="B8" s="3682">
        <v>15</v>
      </c>
      <c r="C8" s="3685"/>
      <c r="D8" s="3673"/>
      <c r="E8" s="131" t="s">
        <v>1273</v>
      </c>
      <c r="F8" s="1757"/>
      <c r="G8" s="1757"/>
      <c r="H8" s="1757"/>
      <c r="I8" s="1373"/>
    </row>
    <row r="9" spans="1:12" ht="12.75">
      <c r="A9" s="3627"/>
      <c r="B9" s="3682"/>
      <c r="C9" s="3686"/>
      <c r="D9" s="3673"/>
      <c r="E9" s="131" t="s">
        <v>1274</v>
      </c>
      <c r="F9" s="1757"/>
      <c r="G9" s="1757"/>
      <c r="H9" s="1757"/>
      <c r="I9" s="1373"/>
    </row>
    <row r="10" spans="1:12" ht="12.75">
      <c r="A10" s="3627" t="s">
        <v>1275</v>
      </c>
      <c r="B10" s="3682">
        <v>15</v>
      </c>
      <c r="C10" s="3685"/>
      <c r="D10" s="3673"/>
      <c r="E10" s="131" t="s">
        <v>1276</v>
      </c>
      <c r="F10" s="1757"/>
      <c r="G10" s="1757"/>
      <c r="H10" s="1757"/>
      <c r="I10" s="1373"/>
    </row>
    <row r="11" spans="1:12" ht="12.75">
      <c r="A11" s="3627"/>
      <c r="B11" s="3682"/>
      <c r="C11" s="3686"/>
      <c r="D11" s="3673"/>
      <c r="E11" s="131" t="s">
        <v>1277</v>
      </c>
      <c r="F11" s="1757"/>
      <c r="G11" s="1757"/>
      <c r="H11" s="1757"/>
      <c r="I11" s="1373"/>
    </row>
    <row r="12" spans="1:12" ht="12.75">
      <c r="A12" s="3627" t="s">
        <v>1278</v>
      </c>
      <c r="B12" s="3682">
        <v>15</v>
      </c>
      <c r="C12" s="3685"/>
      <c r="D12" s="3673"/>
      <c r="E12" s="131" t="s">
        <v>1279</v>
      </c>
      <c r="F12" s="1757"/>
      <c r="G12" s="1757"/>
      <c r="H12" s="1757"/>
      <c r="I12" s="1373"/>
    </row>
    <row r="13" spans="1:12" ht="12.75">
      <c r="A13" s="3627"/>
      <c r="B13" s="3682"/>
      <c r="C13" s="3686"/>
      <c r="D13" s="3673"/>
      <c r="E13" s="131" t="s">
        <v>1280</v>
      </c>
      <c r="F13" s="1757"/>
      <c r="G13" s="1757"/>
      <c r="H13" s="1757"/>
      <c r="I13" s="1373"/>
    </row>
    <row r="14" spans="1:12" ht="12.75">
      <c r="A14" s="3627" t="s">
        <v>1281</v>
      </c>
      <c r="B14" s="3682">
        <v>30</v>
      </c>
      <c r="C14" s="3685"/>
      <c r="D14" s="3673"/>
      <c r="E14" s="131" t="s">
        <v>1282</v>
      </c>
      <c r="F14" s="1757"/>
      <c r="G14" s="1757"/>
      <c r="H14" s="1757"/>
      <c r="I14" s="1373"/>
    </row>
    <row r="15" spans="1:12" ht="12.75">
      <c r="A15" s="3627"/>
      <c r="B15" s="3682"/>
      <c r="C15" s="3687"/>
      <c r="D15" s="3673"/>
      <c r="E15" s="131" t="s">
        <v>1283</v>
      </c>
      <c r="F15" s="1757"/>
      <c r="G15" s="1757"/>
      <c r="H15" s="1757"/>
      <c r="I15" s="1373"/>
    </row>
    <row r="16" spans="1:12" ht="12.75">
      <c r="A16" s="3627"/>
      <c r="B16" s="3682"/>
      <c r="C16" s="3686"/>
      <c r="D16" s="3673"/>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704" t="s">
        <v>2131</v>
      </c>
      <c r="F18" s="3705"/>
      <c r="G18" s="3705"/>
      <c r="H18" s="3705"/>
      <c r="I18" s="3705"/>
      <c r="K18" s="302" t="s">
        <v>1289</v>
      </c>
      <c r="L18" s="302">
        <f>IF(C1="",'数据-汇总表'!E3,SUMIF(项目类型,C1,'数据-汇总表'!E17:E26)+SUMIF(项目类型,C1,'数据-汇总表'!I17:I26))</f>
        <v>512.87</v>
      </c>
      <c r="M18" s="302">
        <f>IF(C1="",'数据-汇总表'!E3,SUMIF(项目类型,C1,'数据-汇总表'!E17:E26))</f>
        <v>512.87</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97" t="s">
        <v>1299</v>
      </c>
      <c r="B24" s="1762" t="s">
        <v>1291</v>
      </c>
      <c r="C24" s="136">
        <f>IF(B30=0,0,D30)</f>
        <v>0</v>
      </c>
      <c r="D24" s="1769"/>
      <c r="E24" s="129"/>
      <c r="F24" s="129"/>
      <c r="G24" s="129"/>
      <c r="H24" s="129"/>
      <c r="I24" s="129"/>
    </row>
    <row r="25" spans="1:36" ht="14.25">
      <c r="A25" s="369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74" t="s">
        <v>1312</v>
      </c>
      <c r="B36" s="1787" t="s">
        <v>1313</v>
      </c>
      <c r="C36" s="145"/>
      <c r="D36" s="1788"/>
      <c r="E36" s="1789"/>
      <c r="F36" s="1790"/>
      <c r="G36" s="129"/>
      <c r="H36" s="129"/>
      <c r="I36" s="129"/>
    </row>
    <row r="37" spans="1:15" ht="15.75" thickBot="1">
      <c r="A37" s="3675"/>
      <c r="B37" s="1674" t="s">
        <v>1314</v>
      </c>
      <c r="C37" s="147"/>
      <c r="D37" s="1139"/>
      <c r="E37" s="1139"/>
      <c r="F37" s="1790"/>
      <c r="G37" s="129"/>
      <c r="H37" s="129"/>
      <c r="I37" s="129"/>
    </row>
    <row r="38" spans="1:15" ht="15.75" thickBot="1">
      <c r="A38" s="36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94" t="s">
        <v>1326</v>
      </c>
      <c r="B45" s="3695"/>
      <c r="C45" s="3696"/>
      <c r="D45" s="155" t="e">
        <f ca="1">ROUND(H101*F45,0)</f>
        <v>#REF!</v>
      </c>
      <c r="E45" s="156" t="s">
        <v>1327</v>
      </c>
      <c r="F45" s="157">
        <v>1</v>
      </c>
      <c r="G45" s="158" t="s">
        <v>1328</v>
      </c>
      <c r="H45" s="129"/>
      <c r="I45" s="129"/>
      <c r="J45" s="3614" t="s">
        <v>1329</v>
      </c>
      <c r="K45" s="3614"/>
      <c r="L45" s="3614"/>
      <c r="M45" s="3614"/>
      <c r="N45" s="3614"/>
      <c r="O45" s="3614"/>
    </row>
    <row r="46" spans="1:15" ht="14.25" customHeight="1">
      <c r="A46" s="3691" t="s">
        <v>1330</v>
      </c>
      <c r="B46" s="3692"/>
      <c r="C46" s="3692"/>
      <c r="D46" s="3692"/>
      <c r="E46" s="3692"/>
      <c r="F46" s="3692"/>
      <c r="G46" s="3693"/>
      <c r="H46" s="1806"/>
      <c r="I46" s="159"/>
      <c r="J46" s="2523">
        <v>1</v>
      </c>
      <c r="K46" s="3615" t="s">
        <v>1331</v>
      </c>
      <c r="L46" s="3615"/>
      <c r="M46" s="3616"/>
      <c r="N46" s="3616"/>
      <c r="O46" s="3616"/>
    </row>
    <row r="47" spans="1:15" ht="12" customHeight="1">
      <c r="A47" s="160" t="s">
        <v>1332</v>
      </c>
      <c r="B47" s="161"/>
      <c r="C47" s="162"/>
      <c r="D47" s="1087" t="s">
        <v>1333</v>
      </c>
      <c r="E47" s="302" t="s">
        <v>1334</v>
      </c>
      <c r="F47" s="163" t="s">
        <v>1335</v>
      </c>
      <c r="G47" s="2546" t="s">
        <v>1336</v>
      </c>
      <c r="H47" s="2547"/>
      <c r="I47" s="159"/>
      <c r="J47" s="2523">
        <v>2</v>
      </c>
      <c r="K47" s="3615" t="s">
        <v>1337</v>
      </c>
      <c r="L47" s="3615"/>
      <c r="M47" s="3617">
        <f>'数据-取费表'!B2</f>
        <v>44991</v>
      </c>
      <c r="N47" s="3617"/>
      <c r="O47" s="3617"/>
    </row>
    <row r="48" spans="1:15" ht="25.5">
      <c r="A48" s="3677" t="s">
        <v>1338</v>
      </c>
      <c r="B48" s="3678"/>
      <c r="C48" s="367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5" t="s">
        <v>1340</v>
      </c>
      <c r="L48" s="3615"/>
      <c r="M48" s="3618" t="e">
        <f ca="1">H101</f>
        <v>#REF!</v>
      </c>
      <c r="N48" s="3618"/>
      <c r="O48" s="3618"/>
    </row>
    <row r="49" spans="1:35" ht="25.5" customHeight="1">
      <c r="A49" s="2333" t="s">
        <v>1341</v>
      </c>
      <c r="B49" s="3663" t="s">
        <v>1342</v>
      </c>
      <c r="C49" s="3663"/>
      <c r="D49" s="1590">
        <v>0</v>
      </c>
      <c r="E49" s="324" t="s">
        <v>1343</v>
      </c>
      <c r="F49" s="2424" t="s">
        <v>28</v>
      </c>
      <c r="G49" s="3646"/>
      <c r="H49" s="2310" t="s">
        <v>2134</v>
      </c>
      <c r="I49" s="2311"/>
      <c r="J49" s="2523">
        <v>4</v>
      </c>
      <c r="K49" s="3615" t="str">
        <f>IF(项目基本情况!E8="房地产抵押价值","房地产抵押价值","抵押担保权已注销时的房地产抵押价值")</f>
        <v>抵押担保权已注销时的房地产抵押价值</v>
      </c>
      <c r="L49" s="3615"/>
      <c r="M49" s="3618" t="str">
        <f>IF(项目基本情况!E8="房地产抵押价值",H107,H109)</f>
        <v>——</v>
      </c>
      <c r="N49" s="3618"/>
      <c r="O49" s="3618"/>
    </row>
    <row r="50" spans="1:35" ht="25.5" customHeight="1">
      <c r="A50" s="2551"/>
      <c r="B50" s="3663" t="s">
        <v>1344</v>
      </c>
      <c r="C50" s="3663"/>
      <c r="D50" s="2552"/>
      <c r="E50" s="332"/>
      <c r="F50" s="2424"/>
      <c r="G50" s="3647"/>
      <c r="H50" s="2312" t="s">
        <v>2135</v>
      </c>
      <c r="I50" s="2311"/>
      <c r="J50" s="3614" t="s">
        <v>1345</v>
      </c>
      <c r="K50" s="3614"/>
      <c r="L50" s="3614"/>
      <c r="M50" s="3614"/>
      <c r="N50" s="3614"/>
      <c r="O50" s="3614"/>
    </row>
    <row r="51" spans="1:35" ht="20.45" customHeight="1">
      <c r="A51" s="2553"/>
      <c r="B51" s="3663" t="s">
        <v>1346</v>
      </c>
      <c r="C51" s="3663"/>
      <c r="D51" s="1087"/>
      <c r="E51" s="327"/>
      <c r="F51" s="2424"/>
      <c r="G51" s="3648"/>
      <c r="H51" s="2312" t="s">
        <v>2136</v>
      </c>
      <c r="I51" s="2311"/>
      <c r="J51" s="2524" t="s">
        <v>1347</v>
      </c>
      <c r="K51" s="3615" t="s">
        <v>1348</v>
      </c>
      <c r="L51" s="3615"/>
      <c r="M51" s="2524" t="s">
        <v>1349</v>
      </c>
      <c r="N51" s="2524" t="s">
        <v>1350</v>
      </c>
      <c r="O51" s="2524" t="s">
        <v>1351</v>
      </c>
    </row>
    <row r="52" spans="1:35" ht="24" customHeight="1">
      <c r="A52" s="2335" t="s">
        <v>1352</v>
      </c>
      <c r="B52" s="3663" t="s">
        <v>1353</v>
      </c>
      <c r="C52" s="3663"/>
      <c r="D52" s="1087" t="e">
        <f ca="1">ROUND(D45*'数据-取费表'!B41/(1+'数据-取费表'!C42),0)</f>
        <v>#REF!</v>
      </c>
      <c r="E52" s="2334" t="s">
        <v>1354</v>
      </c>
      <c r="F52" s="2554">
        <f>'数据-取费表'!B41</f>
        <v>5.6000000000000001E-2</v>
      </c>
      <c r="G52" s="2555"/>
      <c r="H52" s="2544"/>
      <c r="I52" s="1807"/>
      <c r="J52" s="2523">
        <v>1</v>
      </c>
      <c r="K52" s="3640" t="s">
        <v>1355</v>
      </c>
      <c r="L52" s="3640"/>
      <c r="M52" s="2525" t="b">
        <f>D48</f>
        <v>0</v>
      </c>
      <c r="N52" s="2523" t="str">
        <f>E48</f>
        <v>销售额×税（费）率</v>
      </c>
      <c r="O52" s="2526">
        <f>F48</f>
        <v>5.6000000000000001E-2</v>
      </c>
    </row>
    <row r="53" spans="1:35" ht="12" customHeight="1">
      <c r="A53" s="2335" t="s">
        <v>1356</v>
      </c>
      <c r="B53" s="3664" t="s">
        <v>2291</v>
      </c>
      <c r="C53" s="3665"/>
      <c r="D53" s="1087" t="e">
        <f ca="1">ROUND(D45*'数据-取费表'!B41/(1+'数据-取费表'!C42),0)</f>
        <v>#REF!</v>
      </c>
      <c r="E53" s="2334" t="s">
        <v>1354</v>
      </c>
      <c r="F53" s="2554">
        <f>'数据-取费表'!B41</f>
        <v>5.6000000000000001E-2</v>
      </c>
      <c r="G53" s="2555"/>
      <c r="H53" s="2544"/>
      <c r="I53" s="1807"/>
      <c r="J53" s="2523">
        <v>2</v>
      </c>
      <c r="K53" s="3640" t="s">
        <v>1357</v>
      </c>
      <c r="L53" s="3640"/>
      <c r="M53" s="2525" t="e">
        <f t="shared" ref="M53:O54" ca="1" si="0">D55</f>
        <v>#REF!</v>
      </c>
      <c r="N53" s="2523" t="str">
        <f t="shared" si="0"/>
        <v>销售额×税（费）率</v>
      </c>
      <c r="O53" s="2526" t="str">
        <f t="shared" si="0"/>
        <v>免征</v>
      </c>
    </row>
    <row r="54" spans="1:35" ht="12" customHeight="1">
      <c r="A54" s="2335" t="s">
        <v>1358</v>
      </c>
      <c r="B54" s="3664" t="s">
        <v>2292</v>
      </c>
      <c r="C54" s="3665"/>
      <c r="D54" s="1087" t="e">
        <f ca="1">C68</f>
        <v>#REF!</v>
      </c>
      <c r="E54" s="327" t="s">
        <v>1359</v>
      </c>
      <c r="F54" s="2554">
        <f>'数据-取费表'!B41</f>
        <v>5.6000000000000001E-2</v>
      </c>
      <c r="G54" s="2555"/>
      <c r="H54" s="2556"/>
      <c r="I54" s="1807"/>
      <c r="J54" s="2523">
        <v>3</v>
      </c>
      <c r="K54" s="3640" t="s">
        <v>1360</v>
      </c>
      <c r="L54" s="3640"/>
      <c r="M54" s="2525" t="e">
        <f t="shared" ca="1" si="0"/>
        <v>#REF!</v>
      </c>
      <c r="N54" s="2523" t="str">
        <f t="shared" si="0"/>
        <v>增值额×税（费）率</v>
      </c>
      <c r="O54" s="2527" t="str">
        <f t="shared" si="0"/>
        <v>免征</v>
      </c>
    </row>
    <row r="55" spans="1:35" ht="24" customHeight="1">
      <c r="A55" s="3700" t="s">
        <v>1361</v>
      </c>
      <c r="B55" s="3678"/>
      <c r="C55" s="3678"/>
      <c r="D55" s="2324" t="e">
        <f ca="1">IF(H55="个人住宅",0,ROUND(D45*I55,0))</f>
        <v>#REF!</v>
      </c>
      <c r="E55" s="2334" t="s">
        <v>1362</v>
      </c>
      <c r="F55" s="2554" t="str">
        <f>IF(H55="正常",I55,"免征")</f>
        <v>免征</v>
      </c>
      <c r="G55" s="2555"/>
      <c r="H55" s="2550"/>
      <c r="I55" s="165">
        <f>'数据-取费表'!B49</f>
        <v>5.0000000000000001E-4</v>
      </c>
      <c r="J55" s="2523">
        <f>IF(H59="非个人房产","",4)</f>
        <v>4</v>
      </c>
      <c r="K55" s="3640" t="str">
        <f>IF(H59="非个人房产","——","个人所得税")</f>
        <v>个人所得税</v>
      </c>
      <c r="L55" s="3640"/>
      <c r="M55" s="2528" t="e">
        <f ca="1">D59</f>
        <v>#REF!</v>
      </c>
      <c r="N55" s="2040" t="str">
        <f>E59</f>
        <v>差额计税</v>
      </c>
      <c r="O55" s="2529">
        <f>F59</f>
        <v>0.01</v>
      </c>
    </row>
    <row r="56" spans="1:35" ht="24.75">
      <c r="A56" s="3700" t="s">
        <v>1363</v>
      </c>
      <c r="B56" s="3678"/>
      <c r="C56" s="3678"/>
      <c r="D56" s="2324" t="e">
        <f ca="1">IF(H56="个人住宅",D57,D58)</f>
        <v>#REF!</v>
      </c>
      <c r="E56" s="2334" t="s">
        <v>1364</v>
      </c>
      <c r="F56" s="2554" t="str">
        <f>IF(H56="正常",F58,"免征")</f>
        <v>免征</v>
      </c>
      <c r="G56" s="2557" t="s">
        <v>1365</v>
      </c>
      <c r="H56" s="2558"/>
      <c r="I56" s="1808"/>
      <c r="J56" s="2523" t="str">
        <f>IF(项目基本情况!K6="上海银行",IF(J55="",4,J55+1),"")</f>
        <v/>
      </c>
      <c r="K56" s="3621" t="str">
        <f>IF(项目基本情况!K6="上海银行","其他处置费用","")</f>
        <v/>
      </c>
      <c r="L56" s="3622"/>
      <c r="M56" s="2525" t="str">
        <f>IF(项目基本情况!K6="上海银行",M69,"")</f>
        <v/>
      </c>
      <c r="N56" s="3621" t="str">
        <f>IF(项目基本情况!K6="上海银行","包含处置中涉及的律师、诉讼、拍卖、评估等费用","")</f>
        <v/>
      </c>
      <c r="O56" s="3624"/>
    </row>
    <row r="57" spans="1:35" ht="12.75">
      <c r="A57" s="2335" t="s">
        <v>1341</v>
      </c>
      <c r="B57" s="3664" t="s">
        <v>1366</v>
      </c>
      <c r="C57" s="3665"/>
      <c r="D57" s="1590">
        <v>0</v>
      </c>
      <c r="E57" s="324" t="s">
        <v>1343</v>
      </c>
      <c r="F57" s="302"/>
      <c r="G57" s="2555"/>
      <c r="H57" s="2559"/>
      <c r="I57" s="1808"/>
      <c r="J57" s="3640">
        <f>IF(AND(J55="",J56=""),4,IF(项目基本情况!K6="上海银行",结果表!J56+1,结果表!J55+1))</f>
        <v>5</v>
      </c>
      <c r="K57" s="3640" t="s">
        <v>1367</v>
      </c>
      <c r="L57" s="2530" t="s">
        <v>1368</v>
      </c>
      <c r="M57" s="2531"/>
      <c r="N57" s="2532">
        <f ca="1">SUMIF(M52:M56,"&lt;9e307")</f>
        <v>0</v>
      </c>
      <c r="O57" s="2533"/>
      <c r="P57" s="2690" t="e">
        <f ca="1">N57/M49</f>
        <v>#VALUE!</v>
      </c>
    </row>
    <row r="58" spans="1:35" ht="24.75">
      <c r="A58" s="2335" t="s">
        <v>1352</v>
      </c>
      <c r="B58" s="3664" t="s">
        <v>1369</v>
      </c>
      <c r="C58" s="3663"/>
      <c r="D58" s="2324" t="e">
        <f ca="1">IF(H58="转让取得",C81,C97)</f>
        <v>#REF!</v>
      </c>
      <c r="E58" s="2334" t="s">
        <v>1364</v>
      </c>
      <c r="F58" s="302" t="s">
        <v>28</v>
      </c>
      <c r="G58" s="2555"/>
      <c r="H58" s="2558"/>
      <c r="I58" s="1808"/>
      <c r="J58" s="3640"/>
      <c r="K58" s="3640"/>
      <c r="L58" s="2530" t="s">
        <v>1370</v>
      </c>
      <c r="M58" s="2534"/>
      <c r="N58" s="2535" t="str">
        <f ca="1">NUMBERSTRING(INT(N57*10000),2)&amp;"元整"</f>
        <v>零元整</v>
      </c>
      <c r="O58" s="2536"/>
    </row>
    <row r="59" spans="1:35" ht="24.75" thickBot="1">
      <c r="A59" s="3644" t="s">
        <v>1371</v>
      </c>
      <c r="B59" s="3645"/>
      <c r="C59" s="364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2">
        <f>J57+1</f>
        <v>6</v>
      </c>
      <c r="K59" s="3640" t="s">
        <v>1372</v>
      </c>
      <c r="L59" s="2523" t="s">
        <v>1368</v>
      </c>
      <c r="M59" s="2537"/>
      <c r="N59" s="2538" t="e">
        <f ca="1">M49-N57</f>
        <v>#VALUE!</v>
      </c>
      <c r="O59" s="2539"/>
    </row>
    <row r="60" spans="1:35" ht="12" customHeight="1">
      <c r="A60" s="1809"/>
      <c r="B60" s="1747"/>
      <c r="C60" s="1747"/>
      <c r="D60" s="1747"/>
      <c r="E60" s="1578"/>
      <c r="F60" s="1808"/>
      <c r="G60" s="1808"/>
      <c r="H60" s="1810"/>
      <c r="I60" s="129"/>
      <c r="J60" s="3643"/>
      <c r="K60" s="3640"/>
      <c r="L60" s="2530" t="s">
        <v>1370</v>
      </c>
      <c r="M60" s="2534"/>
      <c r="N60" s="2535" t="e">
        <f ca="1">NUMBERSTRING(INT(N59*10000),2)&amp;"元整"</f>
        <v>#VALUE!</v>
      </c>
      <c r="O60" s="2536"/>
    </row>
    <row r="61" spans="1:35" ht="13.5" thickBot="1">
      <c r="A61" s="3699" t="s">
        <v>1373</v>
      </c>
      <c r="B61" s="3699"/>
      <c r="C61" s="3699"/>
      <c r="D61" s="3699"/>
      <c r="E61" s="3699"/>
      <c r="F61" s="1808"/>
      <c r="G61" s="1808"/>
      <c r="H61" s="1810"/>
      <c r="I61" s="129"/>
      <c r="J61" s="2523">
        <f>J59+1</f>
        <v>7</v>
      </c>
      <c r="K61" s="3640" t="s">
        <v>1374</v>
      </c>
      <c r="L61" s="3640"/>
      <c r="M61" s="2540"/>
      <c r="N61" s="2541" t="e">
        <f ca="1">ROUND(N59*10000/'数据-汇总表'!E3,0)</f>
        <v>#VALUE!</v>
      </c>
      <c r="O61" s="2542"/>
    </row>
    <row r="62" spans="1:35" ht="12.75">
      <c r="A62" s="3659" t="s">
        <v>1375</v>
      </c>
      <c r="B62" s="366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2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7" t="s">
        <v>1394</v>
      </c>
      <c r="B70" s="3668"/>
      <c r="C70" s="3668"/>
      <c r="D70" s="3668"/>
      <c r="E70" s="3668"/>
      <c r="F70" s="3668"/>
      <c r="G70" s="3668"/>
      <c r="H70" s="366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59" t="s">
        <v>1375</v>
      </c>
      <c r="B71" s="366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64" t="s">
        <v>1402</v>
      </c>
      <c r="F76" s="3663"/>
      <c r="G76" s="3663"/>
      <c r="H76" s="366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56" t="s">
        <v>1406</v>
      </c>
      <c r="F78" s="3657"/>
      <c r="G78" s="3657"/>
      <c r="H78" s="36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7" t="s">
        <v>1410</v>
      </c>
      <c r="B83" s="3668"/>
      <c r="C83" s="3668"/>
      <c r="D83" s="3668"/>
      <c r="E83" s="3668"/>
      <c r="F83" s="3668"/>
      <c r="G83" s="3668"/>
      <c r="H83" s="366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59" t="s">
        <v>1375</v>
      </c>
      <c r="B84" s="366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25" t="s">
        <v>2129</v>
      </c>
      <c r="H90" s="362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56" t="s">
        <v>1419</v>
      </c>
      <c r="F91" s="3657"/>
      <c r="G91" s="36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56" t="s">
        <v>1422</v>
      </c>
      <c r="F92" s="3657"/>
      <c r="G92" s="3657"/>
      <c r="H92" s="36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56" t="s">
        <v>1406</v>
      </c>
      <c r="F93" s="3657"/>
      <c r="G93" s="3657"/>
      <c r="H93" s="36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01" t="s">
        <v>1426</v>
      </c>
      <c r="F94" s="3702"/>
      <c r="G94" s="3702"/>
      <c r="H94" s="370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6" t="s">
        <v>1428</v>
      </c>
      <c r="B100" s="3607"/>
      <c r="C100" s="3607"/>
      <c r="D100" s="3641"/>
      <c r="E100" s="3607" t="s">
        <v>1429</v>
      </c>
      <c r="F100" s="3607"/>
      <c r="G100" s="3607"/>
      <c r="H100" s="3641"/>
      <c r="I100" s="129"/>
    </row>
    <row r="101" spans="1:35" ht="18.75" customHeight="1">
      <c r="A101" s="3649" t="s">
        <v>1430</v>
      </c>
      <c r="B101" s="3650"/>
      <c r="C101" s="2585">
        <f>C4</f>
        <v>0</v>
      </c>
      <c r="D101" s="2586">
        <f>D4</f>
        <v>0</v>
      </c>
      <c r="E101" s="3619" t="s">
        <v>1431</v>
      </c>
      <c r="F101" s="3620"/>
      <c r="G101" s="1827" t="s">
        <v>1432</v>
      </c>
      <c r="H101" s="2595" t="e">
        <f ca="1">H118</f>
        <v>#REF!</v>
      </c>
      <c r="I101" s="129"/>
    </row>
    <row r="102" spans="1:35" ht="18.75" customHeight="1">
      <c r="A102" s="3651" t="s">
        <v>1433</v>
      </c>
      <c r="B102" s="2584" t="s">
        <v>1432</v>
      </c>
      <c r="C102" s="2585" t="e">
        <f ca="1">IF(D32="楼面单价",ROUND(C19,0),C19)</f>
        <v>#REF!</v>
      </c>
      <c r="D102" s="2586" t="e">
        <f ca="1">IF(D32="楼面单价",ROUND(D19,0),D19)</f>
        <v>#REF!</v>
      </c>
      <c r="E102" s="3619"/>
      <c r="F102" s="3620"/>
      <c r="G102" s="1827" t="s">
        <v>1434</v>
      </c>
      <c r="H102" s="2555" t="e">
        <f ca="1">I118</f>
        <v>#REF!</v>
      </c>
      <c r="I102" s="129"/>
    </row>
    <row r="103" spans="1:35" ht="42.75" customHeight="1">
      <c r="A103" s="3651"/>
      <c r="B103" s="2584" t="s">
        <v>1434</v>
      </c>
      <c r="C103" s="2587" t="e">
        <f ca="1">C20</f>
        <v>#REF!</v>
      </c>
      <c r="D103" s="2588" t="e">
        <f ca="1">D20</f>
        <v>#REF!</v>
      </c>
      <c r="E103" s="3612" t="s">
        <v>1435</v>
      </c>
      <c r="F103" s="3613"/>
      <c r="G103" s="1828" t="s">
        <v>1436</v>
      </c>
      <c r="H103" s="2595">
        <f>IF(D36="正常操作",H104+H105+H106,H105+H106)</f>
        <v>0</v>
      </c>
      <c r="I103" s="129"/>
    </row>
    <row r="104" spans="1:35" ht="18.75" customHeight="1">
      <c r="A104" s="365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6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2" t="str">
        <f>IF(项目基本情况!E8="已注销","——","3.房地产抵押价值")</f>
        <v>3.房地产抵押价值</v>
      </c>
      <c r="F107" s="3620"/>
      <c r="G107" s="1827" t="s">
        <v>1432</v>
      </c>
      <c r="H107" s="2595" t="e">
        <f ca="1">IF(E107="——","——",H101-H103)</f>
        <v>#REF!</v>
      </c>
      <c r="I107" s="129"/>
    </row>
    <row r="108" spans="1:35" ht="18.75" customHeight="1">
      <c r="A108" s="129"/>
      <c r="B108" s="129"/>
      <c r="C108" s="129"/>
      <c r="D108" s="129"/>
      <c r="E108" s="3652"/>
      <c r="F108" s="3620"/>
      <c r="G108" s="1827" t="s">
        <v>1434</v>
      </c>
      <c r="H108" s="2555">
        <f ca="1">IF(H107=H101,H102,ROUND(H107*10000/'数据-汇总表'!E3,0))</f>
        <v>0</v>
      </c>
      <c r="I108" s="129"/>
    </row>
    <row r="109" spans="1:35" ht="18.75" customHeight="1">
      <c r="A109" s="129"/>
      <c r="B109" s="129"/>
      <c r="C109" s="129"/>
      <c r="D109" s="129"/>
      <c r="E109" s="3652" t="str">
        <f>IF(项目基本情况!E8="已注销及未注销","4.抵押担保权已注销时的房地产抵押价值",IF(项目基本情况!E8="已注销","3.抵押担保权已注销时的房地产抵押价值","——"))</f>
        <v>——</v>
      </c>
      <c r="F109" s="3620"/>
      <c r="G109" s="1827" t="s">
        <v>1432</v>
      </c>
      <c r="H109" s="2598" t="str">
        <f>IF(E109="——","——",H101-H105-H106)</f>
        <v>——</v>
      </c>
      <c r="I109" s="129"/>
    </row>
    <row r="110" spans="1:35" ht="18.75" customHeight="1">
      <c r="A110" s="129"/>
      <c r="B110" s="129"/>
      <c r="C110" s="129"/>
      <c r="D110" s="129"/>
      <c r="E110" s="3652"/>
      <c r="F110" s="3620"/>
      <c r="G110" s="1827" t="s">
        <v>1434</v>
      </c>
      <c r="H110" s="2555"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39"/>
      <c r="G111" s="1827" t="s">
        <v>1432</v>
      </c>
      <c r="H111" s="2595" t="str">
        <f>IF(E111="——","——",N59)</f>
        <v>——</v>
      </c>
      <c r="I111" s="129"/>
    </row>
    <row r="112" spans="1:35" ht="18.75" customHeight="1" thickBot="1">
      <c r="A112" s="129"/>
      <c r="B112" s="129"/>
      <c r="C112" s="129"/>
      <c r="D112" s="129"/>
      <c r="E112" s="3654"/>
      <c r="F112" s="3655"/>
      <c r="G112" s="1830" t="s">
        <v>1434</v>
      </c>
      <c r="H112" s="2599" t="str">
        <f>IF(E111="——","——",N61)</f>
        <v>——</v>
      </c>
      <c r="I112" s="129"/>
    </row>
    <row r="113" spans="1:27" ht="18.75" customHeight="1">
      <c r="A113" s="129"/>
      <c r="B113" s="129"/>
      <c r="C113" s="129"/>
      <c r="D113" s="129"/>
      <c r="E113" s="3662" t="s">
        <v>1440</v>
      </c>
      <c r="F113" s="3662"/>
      <c r="G113" s="3662"/>
      <c r="H113" s="3662"/>
      <c r="I113" s="129"/>
    </row>
    <row r="114" spans="1:27" ht="3.75" customHeight="1">
      <c r="A114" s="1747"/>
      <c r="B114" s="1747"/>
      <c r="C114" s="1747"/>
      <c r="D114" s="1747"/>
      <c r="E114" s="1809"/>
      <c r="F114" s="1809"/>
      <c r="G114" s="1809"/>
      <c r="H114" s="1809"/>
      <c r="I114" s="1747"/>
    </row>
    <row r="115" spans="1:27" ht="18.75" customHeight="1">
      <c r="A115" s="3670" t="s">
        <v>1442</v>
      </c>
      <c r="B115" s="3671"/>
      <c r="C115" s="3671"/>
      <c r="D115" s="3671"/>
      <c r="E115" s="3671"/>
      <c r="F115" s="3671"/>
      <c r="G115" s="3671"/>
      <c r="H115" s="3671"/>
      <c r="I115" s="3672"/>
    </row>
    <row r="116" spans="1:27" ht="27" customHeight="1">
      <c r="A116" s="3627" t="s">
        <v>1443</v>
      </c>
      <c r="B116" s="3631" t="s">
        <v>1444</v>
      </c>
      <c r="C116" s="3631" t="s">
        <v>1445</v>
      </c>
      <c r="D116" s="3637" t="s">
        <v>1446</v>
      </c>
      <c r="E116" s="3638"/>
      <c r="F116" s="3669" t="s">
        <v>1447</v>
      </c>
      <c r="G116" s="3669"/>
      <c r="H116" s="3627" t="s">
        <v>1448</v>
      </c>
      <c r="I116" s="3627"/>
    </row>
    <row r="117" spans="1:27" ht="18.75" customHeight="1">
      <c r="A117" s="3627"/>
      <c r="B117" s="3632"/>
      <c r="C117" s="363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512.87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27" t="s">
        <v>1452</v>
      </c>
      <c r="B119" s="3627"/>
      <c r="C119" s="3627"/>
      <c r="D119" s="3633" t="e">
        <f ca="1">NUMBERSTRING(INT(D118*10000),2)&amp;"元整"</f>
        <v>#REF!</v>
      </c>
      <c r="E119" s="3634"/>
      <c r="F119" s="3633" t="e">
        <f ca="1">NUMBERSTRING(INT(F118*10000),2)&amp;"元整"</f>
        <v>#REF!</v>
      </c>
      <c r="G119" s="3634"/>
      <c r="H119" s="3633" t="e">
        <f ca="1">NUMBERSTRING(INT(H118*10000),2)&amp;"元整"</f>
        <v>#REF!</v>
      </c>
      <c r="I119" s="3634"/>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3" t="s">
        <v>1452</v>
      </c>
      <c r="B121" s="3635"/>
      <c r="C121" s="3634"/>
      <c r="D121" s="3633" t="str">
        <f>IF(D120=0,"零元整",NUMBERSTRING(INT(D120*10000),2)&amp;"元整")</f>
        <v>零元整</v>
      </c>
      <c r="E121" s="3635"/>
      <c r="F121" s="3635"/>
      <c r="G121" s="3635"/>
      <c r="H121" s="3635"/>
      <c r="I121" s="3634"/>
      <c r="AA121" s="725"/>
    </row>
    <row r="122" spans="1:27" ht="18.75" customHeight="1">
      <c r="A122" s="3639" t="str">
        <f>IF(项目基本情况!B9="房地产市场价值","",MID(E107,3,LEN(E107)-2))</f>
        <v>房地产抵押价值</v>
      </c>
      <c r="B122" s="3639"/>
      <c r="C122" s="3639"/>
      <c r="D122" s="3628" t="e">
        <f ca="1">H107</f>
        <v>#REF!</v>
      </c>
      <c r="E122" s="3629"/>
      <c r="F122" s="3629"/>
      <c r="G122" s="3629"/>
      <c r="H122" s="3629"/>
      <c r="I122" s="3630"/>
      <c r="AA122" s="725"/>
    </row>
    <row r="123" spans="1:27" ht="18.75" customHeight="1">
      <c r="A123" s="3627" t="s">
        <v>1452</v>
      </c>
      <c r="B123" s="3627"/>
      <c r="C123" s="3627"/>
      <c r="D123" s="3633" t="e">
        <f ca="1">NUMBERSTRING(INT(D122*10000),2)&amp;"元整"</f>
        <v>#REF!</v>
      </c>
      <c r="E123" s="3635"/>
      <c r="F123" s="3635"/>
      <c r="G123" s="3635"/>
      <c r="H123" s="3635"/>
      <c r="I123" s="3634"/>
      <c r="AA123" s="725"/>
    </row>
    <row r="124" spans="1:27" ht="18.75" customHeight="1">
      <c r="A124" s="3639" t="str">
        <f>IF(项目基本情况!B9="房地产市场价值","",MID(E109,3,LEN(E109)-2))</f>
        <v/>
      </c>
      <c r="B124" s="3639"/>
      <c r="C124" s="3639"/>
      <c r="D124" s="3628" t="str">
        <f>H109</f>
        <v>——</v>
      </c>
      <c r="E124" s="3629"/>
      <c r="F124" s="3629"/>
      <c r="G124" s="3629"/>
      <c r="H124" s="3629"/>
      <c r="I124" s="3630"/>
      <c r="AA124" s="725"/>
    </row>
    <row r="125" spans="1:27" ht="18.75" customHeight="1">
      <c r="A125" s="3627" t="s">
        <v>1452</v>
      </c>
      <c r="B125" s="3627"/>
      <c r="C125" s="3627"/>
      <c r="D125" s="3633" t="e">
        <f>NUMBERSTRING(INT(D124*10000),2)&amp;"元整"</f>
        <v>#VALUE!</v>
      </c>
      <c r="E125" s="3635"/>
      <c r="F125" s="3635"/>
      <c r="G125" s="3635"/>
      <c r="H125" s="3635"/>
      <c r="I125" s="3634"/>
      <c r="AA125" s="725"/>
    </row>
    <row r="126" spans="1:27" ht="18.75" customHeight="1">
      <c r="A126" s="3639" t="str">
        <f>IF(项目基本情况!B9="房地产市场价值","",MID(E111,3,LEN(E111)-2))</f>
        <v/>
      </c>
      <c r="B126" s="3639"/>
      <c r="C126" s="3639"/>
      <c r="D126" s="3628" t="str">
        <f>H111</f>
        <v>——</v>
      </c>
      <c r="E126" s="3629"/>
      <c r="F126" s="3629"/>
      <c r="G126" s="3629"/>
      <c r="H126" s="3629"/>
      <c r="I126" s="3630"/>
      <c r="AA126" s="725"/>
    </row>
    <row r="127" spans="1:27" ht="18.75" customHeight="1">
      <c r="A127" s="3627" t="s">
        <v>1452</v>
      </c>
      <c r="B127" s="3627"/>
      <c r="C127" s="3627"/>
      <c r="D127" s="3633" t="e">
        <f>NUMBERSTRING(INT(D126*10000),2)&amp;"元整"</f>
        <v>#VALUE!</v>
      </c>
      <c r="E127" s="3635"/>
      <c r="F127" s="3635"/>
      <c r="G127" s="3635"/>
      <c r="H127" s="3635"/>
      <c r="I127" s="3634"/>
      <c r="AA127" s="725"/>
    </row>
    <row r="128" spans="1:27" ht="21.75" customHeight="1">
      <c r="A128" s="3636" t="s">
        <v>1453</v>
      </c>
      <c r="B128" s="3636"/>
      <c r="C128" s="3636"/>
      <c r="D128" s="3636"/>
      <c r="E128" s="3636"/>
      <c r="F128" s="3636"/>
      <c r="G128" s="3636"/>
      <c r="H128" s="3636"/>
      <c r="I128" s="363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10.257400000000001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10.257400000000001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512.87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10</v>
      </c>
      <c r="D19" s="849">
        <f ca="1">D9+D10</f>
        <v>512.87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2.0000000000000001E-4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2</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154</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v>
      </c>
      <c r="D37" s="217">
        <f ca="1">D19</f>
        <v>512.87</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v>
      </c>
      <c r="D42" s="238"/>
      <c r="E42" s="238"/>
      <c r="F42" s="239"/>
      <c r="G42" s="3706" t="s">
        <v>1544</v>
      </c>
    </row>
    <row r="43" spans="1:7" ht="13.5" customHeight="1">
      <c r="A43" s="780" t="s">
        <v>347</v>
      </c>
      <c r="B43" s="215" t="s">
        <v>1545</v>
      </c>
      <c r="C43" s="238">
        <f ca="1">ROUND(IF('数据-取费表'!B22&lt;=1,C39*F22*'数据-取费表'!B21/2,C39*(POWER((1+F22),'数据-取费表'!B21/2)-1)),0)</f>
        <v>0</v>
      </c>
      <c r="D43" s="238"/>
      <c r="E43" s="238"/>
      <c r="F43" s="239"/>
      <c r="G43" s="3707"/>
    </row>
    <row r="44" spans="1:7" ht="13.5" customHeight="1">
      <c r="A44" s="780" t="s">
        <v>348</v>
      </c>
      <c r="B44" s="215" t="s">
        <v>1546</v>
      </c>
      <c r="C44" s="238">
        <f ca="1">ROUND(IF('数据-取费表'!B22&lt;=1,C40*F22*'数据-取费表'!B21/2,C40*(POWER((1+F22),'数据-取费表'!B21/2)-1)),4)</f>
        <v>2.0000000000000001E-4</v>
      </c>
      <c r="D44" s="238"/>
      <c r="E44" s="238"/>
      <c r="F44" s="239"/>
      <c r="G44" s="3708"/>
    </row>
    <row r="45" spans="1:7" s="214" customFormat="1" ht="13.5" customHeight="1">
      <c r="A45" s="255" t="s">
        <v>1547</v>
      </c>
      <c r="B45" s="244" t="s">
        <v>1513</v>
      </c>
      <c r="C45" s="245">
        <f ca="1">C46</f>
        <v>17</v>
      </c>
      <c r="D45" s="235">
        <f ca="1">C47</f>
        <v>1E-3</v>
      </c>
      <c r="E45" s="236" t="s">
        <v>1539</v>
      </c>
      <c r="F45" s="246">
        <f ca="1">F27</f>
        <v>0.1</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207</v>
      </c>
      <c r="D49" s="232"/>
      <c r="E49" s="232"/>
      <c r="F49" s="264"/>
      <c r="G49" s="234" t="s">
        <v>1554</v>
      </c>
    </row>
    <row r="50" spans="1:7" s="258" customFormat="1" ht="24">
      <c r="A50" s="255" t="s">
        <v>1555</v>
      </c>
      <c r="B50" s="210" t="s">
        <v>1556</v>
      </c>
      <c r="C50" s="232"/>
      <c r="D50" s="232"/>
      <c r="E50" s="232"/>
      <c r="F50" s="264">
        <f>IF('数据-取费表'!B24=0,'数据-取费表'!N16,1)</f>
        <v>0.68300000000000005</v>
      </c>
      <c r="G50" s="247" t="s">
        <v>1557</v>
      </c>
    </row>
    <row r="51" spans="1:7" ht="16.5" customHeight="1">
      <c r="A51" s="255" t="s">
        <v>1558</v>
      </c>
      <c r="B51" s="210" t="s">
        <v>1559</v>
      </c>
      <c r="C51" s="232">
        <f ca="1">ROUND(C49*F50,0)</f>
        <v>141</v>
      </c>
      <c r="D51" s="232"/>
      <c r="E51" s="232"/>
      <c r="F51" s="264"/>
      <c r="G51" s="234" t="s">
        <v>1560</v>
      </c>
    </row>
    <row r="52" spans="1:7" s="208" customFormat="1" ht="16.5" thickBot="1">
      <c r="A52" s="265" t="s">
        <v>1561</v>
      </c>
      <c r="B52" s="266"/>
      <c r="C52" s="267">
        <f ca="1">C31+C51</f>
        <v>165</v>
      </c>
      <c r="D52" s="266"/>
      <c r="E52" s="266"/>
      <c r="F52" s="266"/>
      <c r="G52" s="268"/>
    </row>
    <row r="55" spans="1:7" ht="15">
      <c r="B55" s="270" t="s">
        <v>1562</v>
      </c>
      <c r="C55" s="271"/>
    </row>
    <row r="56" spans="1:7">
      <c r="B56" s="273" t="s">
        <v>802</v>
      </c>
      <c r="C56" s="275">
        <f ca="1">1-C57</f>
        <v>0.14500000000000002</v>
      </c>
    </row>
    <row r="57" spans="1:7">
      <c r="B57" s="273" t="s">
        <v>803</v>
      </c>
      <c r="C57" s="274">
        <f ca="1">ROUND(C51/C52,3)</f>
        <v>0.85499999999999998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3" t="str">
        <f>项目基本情况!B1</f>
        <v>北京市预评估</v>
      </c>
      <c r="C37" s="3523"/>
      <c r="D37" s="3523"/>
      <c r="E37" s="3523"/>
      <c r="F37" s="3523"/>
      <c r="G37" s="3523"/>
      <c r="H37" s="3523"/>
      <c r="I37" s="352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512.87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512.87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-0.25740000000000052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10</v>
      </c>
      <c r="D20" s="846">
        <f ca="1">IF(C1="",'数据-汇总表'!E6,IF(INDIRECT("'数据-取费表'!c"&amp;$K$1)="住宅",INDIRECT("'数据-取费表'!s"&amp;$K$1),INDIRECT("'数据-取费表'!k"&amp;$K$1)+INDIRECT("'数据-取费表'!s"&amp;$K$1)))</f>
        <v>512.87</v>
      </c>
      <c r="E20" s="21">
        <f>'数据-取费表'!B28</f>
        <v>200</v>
      </c>
      <c r="F20" s="804"/>
      <c r="G20" s="12"/>
      <c r="H20" s="809"/>
      <c r="I20" s="809"/>
      <c r="J20" s="809"/>
      <c r="K20" s="810"/>
    </row>
    <row r="21" spans="1:33" s="803" customFormat="1" ht="13.5" customHeight="1">
      <c r="A21" s="790" t="s">
        <v>357</v>
      </c>
      <c r="B21" s="813" t="s">
        <v>1628</v>
      </c>
      <c r="C21" s="814">
        <f ca="1">C16+C17+C18</f>
        <v>-0.25740000000000052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1" t="s">
        <v>694</v>
      </c>
      <c r="C6" s="1074">
        <f ca="1">ROUND(F6*F8*F7*(1-F9)/10000,0)</f>
        <v>0</v>
      </c>
      <c r="D6" s="155" t="s">
        <v>2109</v>
      </c>
      <c r="E6" s="302" t="s">
        <v>696</v>
      </c>
      <c r="F6" s="303">
        <f ca="1">INDIRECT("'数据-取费表'!u"&amp;$G$1)</f>
        <v>0</v>
      </c>
      <c r="G6" s="1384"/>
      <c r="H6" s="1069" t="s">
        <v>398</v>
      </c>
      <c r="I6" s="3711" t="s">
        <v>694</v>
      </c>
      <c r="J6" s="301">
        <f ca="1">ROUND(M6*M8*M7*(1-M9)/10000,0)</f>
        <v>0</v>
      </c>
      <c r="K6" s="155" t="s">
        <v>2108</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1" t="s">
        <v>694</v>
      </c>
      <c r="C6" s="1074">
        <f ca="1">ROUND(F6*F8*F7*(1-F9),0)</f>
        <v>0</v>
      </c>
      <c r="D6" s="155" t="s">
        <v>2106</v>
      </c>
      <c r="E6" s="302" t="s">
        <v>696</v>
      </c>
      <c r="F6" s="303">
        <f ca="1">INDIRECT("'数据-取费表'!u"&amp;$G$1)</f>
        <v>0</v>
      </c>
      <c r="G6" s="1384"/>
      <c r="H6" s="1069" t="s">
        <v>398</v>
      </c>
      <c r="I6" s="3711" t="s">
        <v>694</v>
      </c>
      <c r="J6" s="301">
        <f ca="1">ROUND(M6*M8*M7*(1-M9),0)</f>
        <v>0</v>
      </c>
      <c r="K6" s="1376" t="s">
        <v>2107</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714" t="s">
        <v>2320</v>
      </c>
      <c r="K2" s="371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6" t="s">
        <v>2330</v>
      </c>
      <c r="K3" s="371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6" t="s">
        <v>2332</v>
      </c>
      <c r="K4" s="371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8" t="s">
        <v>2336</v>
      </c>
      <c r="B6" s="3719"/>
      <c r="C6" s="3720"/>
      <c r="D6" s="2870"/>
      <c r="E6" s="2871"/>
      <c r="F6" s="2872"/>
      <c r="G6" s="2873"/>
      <c r="H6" s="2848"/>
      <c r="I6" s="2849"/>
      <c r="J6" s="3721">
        <v>1</v>
      </c>
      <c r="K6" s="372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21"/>
      <c r="K7" s="372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5" t="s">
        <v>2350</v>
      </c>
      <c r="C8" s="3726"/>
      <c r="D8" s="2889" t="s">
        <v>2351</v>
      </c>
      <c r="E8" s="2890" t="s">
        <v>2352</v>
      </c>
      <c r="F8" s="2891" t="s">
        <v>2353</v>
      </c>
      <c r="G8" s="2892"/>
      <c r="H8" s="2848"/>
      <c r="I8" s="2849"/>
      <c r="J8" s="3721"/>
      <c r="K8" s="372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5" t="s">
        <v>2356</v>
      </c>
      <c r="C9" s="3726"/>
      <c r="D9" s="2889">
        <f>ROUND(D6*E9,0)</f>
        <v>0</v>
      </c>
      <c r="E9" s="2893"/>
      <c r="F9" s="2894" t="s">
        <v>2357</v>
      </c>
      <c r="G9" s="2873"/>
      <c r="H9" s="2848"/>
      <c r="I9" s="2849"/>
      <c r="J9" s="3721"/>
      <c r="K9" s="3723"/>
      <c r="L9" s="2883" t="s">
        <v>2358</v>
      </c>
      <c r="M9" s="2884"/>
      <c r="N9" s="2860"/>
      <c r="O9" s="2885"/>
      <c r="P9" s="2885"/>
      <c r="Q9" s="2886">
        <v>365</v>
      </c>
      <c r="R9" s="2887">
        <f t="shared" si="0"/>
        <v>0</v>
      </c>
      <c r="S9" s="2841"/>
      <c r="T9" s="2841"/>
      <c r="U9" s="2841"/>
      <c r="V9" s="2849"/>
    </row>
    <row r="10" spans="1:22" s="2853" customFormat="1" ht="13.15" customHeight="1">
      <c r="A10" s="2888">
        <v>2</v>
      </c>
      <c r="B10" s="3725" t="s">
        <v>2359</v>
      </c>
      <c r="C10" s="3726"/>
      <c r="D10" s="2889">
        <f>ROUND(D6*E10,0)</f>
        <v>0</v>
      </c>
      <c r="E10" s="2893"/>
      <c r="F10" s="2894" t="s">
        <v>2360</v>
      </c>
      <c r="G10" s="2873"/>
      <c r="H10" s="2848"/>
      <c r="I10" s="2849"/>
      <c r="J10" s="3721"/>
      <c r="K10" s="3723"/>
      <c r="L10" s="2883" t="s">
        <v>2361</v>
      </c>
      <c r="M10" s="2884"/>
      <c r="N10" s="2860"/>
      <c r="O10" s="2885"/>
      <c r="P10" s="2885"/>
      <c r="Q10" s="2886">
        <v>365</v>
      </c>
      <c r="R10" s="2887">
        <f t="shared" si="0"/>
        <v>0</v>
      </c>
      <c r="S10" s="2841"/>
      <c r="T10" s="2841"/>
      <c r="U10" s="2841"/>
      <c r="V10" s="2849"/>
    </row>
    <row r="11" spans="1:22" s="2853" customFormat="1" ht="13.15" customHeight="1">
      <c r="A11" s="2888">
        <v>3</v>
      </c>
      <c r="B11" s="3725" t="s">
        <v>2362</v>
      </c>
      <c r="C11" s="3726"/>
      <c r="D11" s="2889">
        <f>D12+D14+D15+D16</f>
        <v>0</v>
      </c>
      <c r="E11" s="2895" t="e">
        <f>D11/D6</f>
        <v>#DIV/0!</v>
      </c>
      <c r="F11" s="2891"/>
      <c r="G11" s="2892"/>
      <c r="H11" s="2848"/>
      <c r="I11" s="2849"/>
      <c r="J11" s="3721"/>
      <c r="K11" s="372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7" t="s">
        <v>2365</v>
      </c>
      <c r="C12" s="3728"/>
      <c r="D12" s="2897">
        <f>ROUND(D13*1.2%*(1-30%),0)</f>
        <v>0</v>
      </c>
      <c r="E12" s="2898">
        <v>1.2E-2</v>
      </c>
      <c r="F12" s="2891" t="s">
        <v>2366</v>
      </c>
      <c r="G12" s="2892"/>
      <c r="H12" s="2848"/>
      <c r="I12" s="2849"/>
      <c r="J12" s="3721"/>
      <c r="K12" s="372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21"/>
      <c r="K13" s="372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7" t="s">
        <v>2371</v>
      </c>
      <c r="C14" s="3728"/>
      <c r="D14" s="2897">
        <f>ROUND(E14*B5/10000,0)</f>
        <v>0</v>
      </c>
      <c r="E14" s="2886"/>
      <c r="F14" s="2891" t="s">
        <v>2372</v>
      </c>
      <c r="G14" s="2892"/>
      <c r="H14" s="2848"/>
      <c r="I14" s="2849"/>
      <c r="J14" s="3721"/>
      <c r="K14" s="372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7" t="s">
        <v>2375</v>
      </c>
      <c r="C15" s="3728"/>
      <c r="D15" s="2897">
        <f>ROUND(D6*E15,0)</f>
        <v>0</v>
      </c>
      <c r="E15" s="2898">
        <v>5.5E-2</v>
      </c>
      <c r="F15" s="2891" t="s">
        <v>2376</v>
      </c>
      <c r="G15" s="2873"/>
      <c r="H15" s="2848"/>
      <c r="I15" s="2849"/>
      <c r="J15" s="3721">
        <v>2</v>
      </c>
      <c r="K15" s="372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7" t="s">
        <v>2384</v>
      </c>
      <c r="C16" s="3728"/>
      <c r="D16" s="2908">
        <f>D6*E16</f>
        <v>0</v>
      </c>
      <c r="E16" s="2909"/>
      <c r="F16" s="2894" t="s">
        <v>2385</v>
      </c>
      <c r="G16" s="2873"/>
      <c r="H16" s="2848"/>
      <c r="I16" s="2849"/>
      <c r="J16" s="3721"/>
      <c r="K16" s="372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9" t="s">
        <v>2387</v>
      </c>
      <c r="C17" s="3730"/>
      <c r="D17" s="2911">
        <f>ROUND(D6*E17,0)</f>
        <v>0</v>
      </c>
      <c r="E17" s="2912"/>
      <c r="F17" s="2913" t="s">
        <v>2388</v>
      </c>
      <c r="G17" s="2873"/>
      <c r="H17" s="2848"/>
      <c r="I17" s="2849"/>
      <c r="J17" s="3721"/>
      <c r="K17" s="372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21"/>
      <c r="K18" s="372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21"/>
      <c r="K19" s="372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1">
        <v>3</v>
      </c>
      <c r="K20" s="372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21"/>
      <c r="K21" s="372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21"/>
      <c r="K22" s="372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21"/>
      <c r="K23" s="372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21"/>
      <c r="K24" s="372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3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3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4" t="s">
        <v>2320</v>
      </c>
      <c r="K32" s="371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6" t="s">
        <v>2330</v>
      </c>
      <c r="K33" s="371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6" t="s">
        <v>2332</v>
      </c>
      <c r="K34" s="371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21">
        <v>1</v>
      </c>
      <c r="K36" s="372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21"/>
      <c r="K37" s="372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1"/>
      <c r="K38" s="372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21"/>
      <c r="K39" s="372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21"/>
      <c r="K40" s="372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3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3" t="s">
        <v>1654</v>
      </c>
      <c r="C5" s="3734"/>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512.87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53" t="s">
        <v>1667</v>
      </c>
      <c r="D4" s="3754"/>
      <c r="E4" s="3755" t="s">
        <v>1668</v>
      </c>
      <c r="F4" s="3756"/>
      <c r="G4" s="3753" t="s">
        <v>1669</v>
      </c>
      <c r="H4" s="3754"/>
      <c r="I4" s="3753" t="s">
        <v>1670</v>
      </c>
      <c r="J4" s="3754"/>
      <c r="K4" s="1889" t="s">
        <v>1671</v>
      </c>
      <c r="L4" s="2715"/>
      <c r="M4" s="2716"/>
      <c r="N4" s="2716"/>
      <c r="O4" s="2716"/>
      <c r="P4" s="3757" t="s">
        <v>1672</v>
      </c>
      <c r="Q4" s="3758"/>
      <c r="R4" s="3740" t="s">
        <v>1668</v>
      </c>
      <c r="S4" s="3741"/>
      <c r="T4" s="3740" t="s">
        <v>1669</v>
      </c>
      <c r="U4" s="3741"/>
      <c r="V4" s="3765" t="s">
        <v>1670</v>
      </c>
      <c r="W4" s="3765"/>
      <c r="X4" s="1355"/>
      <c r="Y4" s="3740" t="s">
        <v>1672</v>
      </c>
      <c r="Z4" s="3741"/>
      <c r="AA4" s="3735" t="s">
        <v>1668</v>
      </c>
      <c r="AB4" s="3735" t="s">
        <v>1669</v>
      </c>
      <c r="AC4" s="3735" t="s">
        <v>1670</v>
      </c>
    </row>
    <row r="5" spans="1:29" ht="15">
      <c r="A5" s="358"/>
      <c r="B5" s="359"/>
      <c r="C5" s="3746" t="s">
        <v>1673</v>
      </c>
      <c r="D5" s="3747"/>
      <c r="E5" s="3744" t="s">
        <v>1674</v>
      </c>
      <c r="F5" s="3745"/>
      <c r="G5" s="3746" t="s">
        <v>1675</v>
      </c>
      <c r="H5" s="3747"/>
      <c r="I5" s="3746" t="s">
        <v>1676</v>
      </c>
      <c r="J5" s="3747"/>
      <c r="K5" s="1890"/>
      <c r="L5" s="2715"/>
      <c r="M5" s="2716"/>
      <c r="N5" s="2716"/>
      <c r="O5" s="2716"/>
      <c r="P5" s="3759"/>
      <c r="Q5" s="3760"/>
      <c r="R5" s="3742"/>
      <c r="S5" s="3743"/>
      <c r="T5" s="3742"/>
      <c r="U5" s="3743"/>
      <c r="V5" s="3765"/>
      <c r="W5" s="3765"/>
      <c r="X5" s="1355"/>
      <c r="Y5" s="3742"/>
      <c r="Z5" s="3743"/>
      <c r="AA5" s="3736"/>
      <c r="AB5" s="3736"/>
      <c r="AC5" s="3736"/>
    </row>
    <row r="6" spans="1:29" ht="15.75" thickBot="1">
      <c r="A6" s="360"/>
      <c r="B6" s="361"/>
      <c r="C6" s="3748" t="s">
        <v>1677</v>
      </c>
      <c r="D6" s="3749"/>
      <c r="E6" s="3750" t="s">
        <v>1677</v>
      </c>
      <c r="F6" s="3751"/>
      <c r="G6" s="3748" t="s">
        <v>1677</v>
      </c>
      <c r="H6" s="3749"/>
      <c r="I6" s="3748" t="s">
        <v>1677</v>
      </c>
      <c r="J6" s="3749"/>
      <c r="K6" s="1890" t="s">
        <v>1678</v>
      </c>
      <c r="L6" s="2715"/>
      <c r="M6" s="2716"/>
      <c r="N6" s="2716"/>
      <c r="O6" s="2716"/>
      <c r="P6" s="3761"/>
      <c r="Q6" s="3762"/>
      <c r="R6" s="3742"/>
      <c r="S6" s="3743"/>
      <c r="T6" s="3763"/>
      <c r="U6" s="3764"/>
      <c r="V6" s="3765"/>
      <c r="W6" s="3765"/>
      <c r="X6" s="1355"/>
      <c r="Y6" s="3763"/>
      <c r="Z6" s="3764"/>
      <c r="AA6" s="3737"/>
      <c r="AB6" s="3737"/>
      <c r="AC6" s="3737"/>
    </row>
    <row r="7" spans="1:29" s="108" customFormat="1" ht="15.75" thickBot="1">
      <c r="A7" s="362" t="s">
        <v>1679</v>
      </c>
      <c r="B7" s="363"/>
      <c r="C7" s="364">
        <f>'数据-取费表'!B2</f>
        <v>44991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8" t="s">
        <v>1680</v>
      </c>
      <c r="Q7" s="3766"/>
      <c r="R7" s="701" t="s">
        <v>20</v>
      </c>
      <c r="S7" s="702">
        <f t="shared" ref="S7:S15" si="0">F7</f>
        <v>0</v>
      </c>
      <c r="T7" s="701" t="s">
        <v>20</v>
      </c>
      <c r="U7" s="702">
        <f t="shared" ref="U7:U15" si="1">H7</f>
        <v>0</v>
      </c>
      <c r="V7" s="701" t="s">
        <v>20</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8" t="s">
        <v>1683</v>
      </c>
      <c r="Q8" s="3739"/>
      <c r="R8" s="701" t="s">
        <v>20</v>
      </c>
      <c r="S8" s="702">
        <f t="shared" si="0"/>
        <v>100</v>
      </c>
      <c r="T8" s="701" t="s">
        <v>20</v>
      </c>
      <c r="U8" s="702">
        <f t="shared" si="1"/>
        <v>100</v>
      </c>
      <c r="V8" s="701" t="s">
        <v>20</v>
      </c>
      <c r="W8" s="702">
        <f t="shared" si="2"/>
        <v>100</v>
      </c>
      <c r="X8" s="703"/>
      <c r="Y8" s="3738" t="s">
        <v>1683</v>
      </c>
      <c r="Z8" s="373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52" t="s">
        <v>1686</v>
      </c>
      <c r="Q9" s="1343" t="str">
        <f t="shared" ref="Q9:Q15" si="6">B9</f>
        <v>用途</v>
      </c>
      <c r="R9" s="701" t="s">
        <v>14</v>
      </c>
      <c r="S9" s="702">
        <f t="shared" si="0"/>
        <v>100</v>
      </c>
      <c r="T9" s="701" t="s">
        <v>14</v>
      </c>
      <c r="U9" s="702">
        <f t="shared" si="1"/>
        <v>100</v>
      </c>
      <c r="V9" s="701" t="s">
        <v>14</v>
      </c>
      <c r="W9" s="702">
        <f t="shared" si="2"/>
        <v>100</v>
      </c>
      <c r="X9" s="703"/>
      <c r="Y9" s="368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52"/>
      <c r="Q10" s="1343" t="str">
        <f t="shared" si="6"/>
        <v>土地使用年限（年）</v>
      </c>
      <c r="R10" s="701" t="s">
        <v>14</v>
      </c>
      <c r="S10" s="702">
        <f t="shared" si="0"/>
        <v>100</v>
      </c>
      <c r="T10" s="701" t="s">
        <v>14</v>
      </c>
      <c r="U10" s="702">
        <f t="shared" si="1"/>
        <v>100</v>
      </c>
      <c r="V10" s="701" t="s">
        <v>14</v>
      </c>
      <c r="W10" s="702">
        <f t="shared" si="2"/>
        <v>100</v>
      </c>
      <c r="X10" s="703"/>
      <c r="Y10" s="36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52"/>
      <c r="Q11" s="1343" t="str">
        <f t="shared" si="6"/>
        <v>容积率</v>
      </c>
      <c r="R11" s="701" t="s">
        <v>18</v>
      </c>
      <c r="S11" s="702" t="e">
        <f t="shared" si="0"/>
        <v>#N/A</v>
      </c>
      <c r="T11" s="701" t="s">
        <v>18</v>
      </c>
      <c r="U11" s="702" t="e">
        <f t="shared" si="1"/>
        <v>#N/A</v>
      </c>
      <c r="V11" s="701" t="s">
        <v>18</v>
      </c>
      <c r="W11" s="702" t="e">
        <f t="shared" si="2"/>
        <v>#N/A</v>
      </c>
      <c r="X11" s="703"/>
      <c r="Y11" s="368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52"/>
      <c r="Q12" s="1343">
        <f t="shared" si="6"/>
        <v>111</v>
      </c>
      <c r="R12" s="701" t="s">
        <v>18</v>
      </c>
      <c r="S12" s="702">
        <f t="shared" si="0"/>
        <v>100</v>
      </c>
      <c r="T12" s="701" t="s">
        <v>18</v>
      </c>
      <c r="U12" s="702">
        <f t="shared" si="1"/>
        <v>100</v>
      </c>
      <c r="V12" s="701" t="s">
        <v>18</v>
      </c>
      <c r="W12" s="702">
        <f t="shared" si="2"/>
        <v>100</v>
      </c>
      <c r="X12" s="703"/>
      <c r="Y12" s="36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52"/>
      <c r="Q13" s="1343">
        <f t="shared" si="6"/>
        <v>111</v>
      </c>
      <c r="R13" s="701" t="s">
        <v>18</v>
      </c>
      <c r="S13" s="702">
        <f t="shared" si="0"/>
        <v>100</v>
      </c>
      <c r="T13" s="701" t="s">
        <v>18</v>
      </c>
      <c r="U13" s="702">
        <f t="shared" si="1"/>
        <v>100</v>
      </c>
      <c r="V13" s="701" t="s">
        <v>18</v>
      </c>
      <c r="W13" s="702">
        <f t="shared" si="2"/>
        <v>100</v>
      </c>
      <c r="X13" s="703"/>
      <c r="Y13" s="368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52"/>
      <c r="Q14" s="1343">
        <f t="shared" si="6"/>
        <v>111</v>
      </c>
      <c r="R14" s="701" t="s">
        <v>18</v>
      </c>
      <c r="S14" s="702">
        <f t="shared" si="0"/>
        <v>100</v>
      </c>
      <c r="T14" s="701" t="s">
        <v>18</v>
      </c>
      <c r="U14" s="702">
        <f t="shared" si="1"/>
        <v>100</v>
      </c>
      <c r="V14" s="701" t="s">
        <v>18</v>
      </c>
      <c r="W14" s="702">
        <f t="shared" si="2"/>
        <v>100</v>
      </c>
      <c r="X14" s="703"/>
      <c r="Y14" s="368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79" t="s">
        <v>1691</v>
      </c>
      <c r="Q15" s="1352" t="str">
        <f t="shared" si="6"/>
        <v>居住社区成熟度</v>
      </c>
      <c r="R15" s="705" t="s">
        <v>18</v>
      </c>
      <c r="S15" s="706">
        <f t="shared" si="0"/>
        <v>100</v>
      </c>
      <c r="T15" s="705" t="s">
        <v>18</v>
      </c>
      <c r="U15" s="706">
        <f t="shared" si="1"/>
        <v>100</v>
      </c>
      <c r="V15" s="705" t="s">
        <v>18</v>
      </c>
      <c r="W15" s="706">
        <f t="shared" si="2"/>
        <v>100</v>
      </c>
      <c r="X15" s="1355"/>
      <c r="Y15" s="377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80"/>
      <c r="Q16" s="1352"/>
      <c r="R16" s="705"/>
      <c r="S16" s="706"/>
      <c r="T16" s="705"/>
      <c r="U16" s="706"/>
      <c r="V16" s="705"/>
      <c r="W16" s="706"/>
      <c r="X16" s="1355"/>
      <c r="Y16" s="377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80"/>
      <c r="Q17" s="1352" t="str">
        <f>B17</f>
        <v>交通便捷度</v>
      </c>
      <c r="R17" s="705" t="s">
        <v>18</v>
      </c>
      <c r="S17" s="706">
        <f>F17</f>
        <v>100</v>
      </c>
      <c r="T17" s="705" t="s">
        <v>18</v>
      </c>
      <c r="U17" s="706">
        <f>H17</f>
        <v>100</v>
      </c>
      <c r="V17" s="705" t="s">
        <v>18</v>
      </c>
      <c r="W17" s="706">
        <f>J17</f>
        <v>100</v>
      </c>
      <c r="X17" s="1355"/>
      <c r="Y17" s="37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80"/>
      <c r="Q18" s="1352"/>
      <c r="R18" s="705"/>
      <c r="S18" s="706"/>
      <c r="T18" s="705"/>
      <c r="U18" s="706"/>
      <c r="V18" s="705"/>
      <c r="W18" s="706"/>
      <c r="X18" s="1355"/>
      <c r="Y18" s="377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80"/>
      <c r="Q19" s="1352" t="str">
        <f>B19</f>
        <v>公共配套设施</v>
      </c>
      <c r="R19" s="705" t="s">
        <v>18</v>
      </c>
      <c r="S19" s="706">
        <f>F19</f>
        <v>100</v>
      </c>
      <c r="T19" s="705" t="s">
        <v>18</v>
      </c>
      <c r="U19" s="706">
        <f>H19</f>
        <v>100</v>
      </c>
      <c r="V19" s="705" t="s">
        <v>18</v>
      </c>
      <c r="W19" s="706">
        <f>J19</f>
        <v>100</v>
      </c>
      <c r="X19" s="1355"/>
      <c r="Y19" s="37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80"/>
      <c r="Q20" s="1352"/>
      <c r="R20" s="705"/>
      <c r="S20" s="706"/>
      <c r="T20" s="705"/>
      <c r="U20" s="706"/>
      <c r="V20" s="705"/>
      <c r="W20" s="706"/>
      <c r="X20" s="1355"/>
      <c r="Y20" s="377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80"/>
      <c r="Q21" s="1352" t="str">
        <f>B21</f>
        <v>基础设施水平</v>
      </c>
      <c r="R21" s="705" t="s">
        <v>14</v>
      </c>
      <c r="S21" s="706">
        <f>F21</f>
        <v>100</v>
      </c>
      <c r="T21" s="705" t="s">
        <v>14</v>
      </c>
      <c r="U21" s="706">
        <f>H21</f>
        <v>100</v>
      </c>
      <c r="V21" s="705" t="s">
        <v>14</v>
      </c>
      <c r="W21" s="706">
        <f>J21</f>
        <v>100</v>
      </c>
      <c r="X21" s="1355"/>
      <c r="Y21" s="37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80"/>
      <c r="Q22" s="1352"/>
      <c r="R22" s="705"/>
      <c r="S22" s="706"/>
      <c r="T22" s="705"/>
      <c r="U22" s="706"/>
      <c r="V22" s="705"/>
      <c r="W22" s="706"/>
      <c r="X22" s="1355"/>
      <c r="Y22" s="377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80"/>
      <c r="Q23" s="1352" t="str">
        <f>B23</f>
        <v>自然及人文环境</v>
      </c>
      <c r="R23" s="705" t="s">
        <v>18</v>
      </c>
      <c r="S23" s="706">
        <f>F23</f>
        <v>100</v>
      </c>
      <c r="T23" s="705" t="s">
        <v>18</v>
      </c>
      <c r="U23" s="706">
        <f>H23</f>
        <v>100</v>
      </c>
      <c r="V23" s="705" t="s">
        <v>18</v>
      </c>
      <c r="W23" s="706">
        <f>J23</f>
        <v>100</v>
      </c>
      <c r="X23" s="1355"/>
      <c r="Y23" s="37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80"/>
      <c r="Q24" s="1352"/>
      <c r="R24" s="705"/>
      <c r="S24" s="706"/>
      <c r="T24" s="705"/>
      <c r="U24" s="706"/>
      <c r="V24" s="705"/>
      <c r="W24" s="706"/>
      <c r="X24" s="1355"/>
      <c r="Y24" s="377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80"/>
      <c r="Q26" s="1352" t="str">
        <f t="shared" si="11"/>
        <v>朝向</v>
      </c>
      <c r="R26" s="705" t="s">
        <v>18</v>
      </c>
      <c r="S26" s="706">
        <f t="shared" si="12"/>
        <v>100</v>
      </c>
      <c r="T26" s="705" t="s">
        <v>18</v>
      </c>
      <c r="U26" s="706">
        <f t="shared" si="13"/>
        <v>100</v>
      </c>
      <c r="V26" s="705" t="s">
        <v>18</v>
      </c>
      <c r="W26" s="706">
        <f t="shared" si="14"/>
        <v>100</v>
      </c>
      <c r="X26" s="1355"/>
      <c r="Y26" s="37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80"/>
      <c r="Q27" s="1343">
        <f t="shared" si="11"/>
        <v>111</v>
      </c>
      <c r="R27" s="701" t="s">
        <v>18</v>
      </c>
      <c r="S27" s="702">
        <f t="shared" si="12"/>
        <v>100</v>
      </c>
      <c r="T27" s="701" t="s">
        <v>18</v>
      </c>
      <c r="U27" s="702">
        <f t="shared" si="13"/>
        <v>100</v>
      </c>
      <c r="V27" s="701" t="s">
        <v>18</v>
      </c>
      <c r="W27" s="702">
        <f t="shared" si="14"/>
        <v>100</v>
      </c>
      <c r="X27" s="703"/>
      <c r="Y27" s="37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80"/>
      <c r="Q28" s="1352">
        <f t="shared" si="11"/>
        <v>111</v>
      </c>
      <c r="R28" s="705" t="s">
        <v>18</v>
      </c>
      <c r="S28" s="706">
        <f t="shared" si="12"/>
        <v>100</v>
      </c>
      <c r="T28" s="705" t="s">
        <v>18</v>
      </c>
      <c r="U28" s="706">
        <f t="shared" si="13"/>
        <v>100</v>
      </c>
      <c r="V28" s="705" t="s">
        <v>18</v>
      </c>
      <c r="W28" s="706">
        <f t="shared" si="14"/>
        <v>100</v>
      </c>
      <c r="X28" s="1355"/>
      <c r="Y28" s="37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80"/>
      <c r="Q29" s="1352">
        <f t="shared" si="11"/>
        <v>111</v>
      </c>
      <c r="R29" s="705" t="s">
        <v>18</v>
      </c>
      <c r="S29" s="706">
        <f t="shared" si="12"/>
        <v>100</v>
      </c>
      <c r="T29" s="705" t="s">
        <v>18</v>
      </c>
      <c r="U29" s="706">
        <f t="shared" si="13"/>
        <v>100</v>
      </c>
      <c r="V29" s="705" t="s">
        <v>18</v>
      </c>
      <c r="W29" s="706">
        <f t="shared" si="14"/>
        <v>100</v>
      </c>
      <c r="X29" s="1355"/>
      <c r="Y29" s="37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80"/>
      <c r="Q30" s="1352">
        <f t="shared" si="11"/>
        <v>111</v>
      </c>
      <c r="R30" s="705" t="s">
        <v>18</v>
      </c>
      <c r="S30" s="706">
        <f t="shared" si="12"/>
        <v>100</v>
      </c>
      <c r="T30" s="705" t="s">
        <v>18</v>
      </c>
      <c r="U30" s="706">
        <f t="shared" si="13"/>
        <v>100</v>
      </c>
      <c r="V30" s="705" t="s">
        <v>18</v>
      </c>
      <c r="W30" s="706">
        <f t="shared" si="14"/>
        <v>100</v>
      </c>
      <c r="X30" s="1355"/>
      <c r="Y30" s="37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80"/>
      <c r="Q31" s="1352">
        <f t="shared" si="11"/>
        <v>111</v>
      </c>
      <c r="R31" s="705" t="s">
        <v>18</v>
      </c>
      <c r="S31" s="706">
        <f t="shared" si="12"/>
        <v>100</v>
      </c>
      <c r="T31" s="705" t="s">
        <v>18</v>
      </c>
      <c r="U31" s="706">
        <f t="shared" si="13"/>
        <v>100</v>
      </c>
      <c r="V31" s="705" t="s">
        <v>18</v>
      </c>
      <c r="W31" s="706">
        <f t="shared" si="14"/>
        <v>100</v>
      </c>
      <c r="X31" s="1355"/>
      <c r="Y31" s="377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74" t="s">
        <v>1696</v>
      </c>
      <c r="Q32" s="1352" t="str">
        <f t="shared" si="11"/>
        <v>建筑类型</v>
      </c>
      <c r="R32" s="705" t="s">
        <v>18</v>
      </c>
      <c r="S32" s="706">
        <f t="shared" si="12"/>
        <v>100</v>
      </c>
      <c r="T32" s="705" t="s">
        <v>18</v>
      </c>
      <c r="U32" s="706">
        <f t="shared" si="13"/>
        <v>100</v>
      </c>
      <c r="V32" s="705" t="s">
        <v>18</v>
      </c>
      <c r="W32" s="706">
        <f t="shared" si="14"/>
        <v>100</v>
      </c>
      <c r="X32" s="1355"/>
      <c r="Y32" s="377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75"/>
      <c r="Q33" s="707" t="str">
        <f t="shared" si="11"/>
        <v>项目建筑规模</v>
      </c>
      <c r="R33" s="708" t="s">
        <v>18</v>
      </c>
      <c r="S33" s="709" t="e">
        <f t="shared" si="12"/>
        <v>#N/A</v>
      </c>
      <c r="T33" s="708" t="s">
        <v>18</v>
      </c>
      <c r="U33" s="709" t="e">
        <f t="shared" si="13"/>
        <v>#N/A</v>
      </c>
      <c r="V33" s="708" t="s">
        <v>18</v>
      </c>
      <c r="W33" s="709" t="e">
        <f t="shared" si="14"/>
        <v>#N/A</v>
      </c>
      <c r="X33" s="710"/>
      <c r="Y33" s="377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75"/>
      <c r="Q34" s="1352" t="str">
        <f t="shared" si="11"/>
        <v>建筑结构</v>
      </c>
      <c r="R34" s="705" t="s">
        <v>18</v>
      </c>
      <c r="S34" s="706">
        <f t="shared" si="12"/>
        <v>100</v>
      </c>
      <c r="T34" s="705" t="s">
        <v>18</v>
      </c>
      <c r="U34" s="706">
        <f t="shared" si="13"/>
        <v>100</v>
      </c>
      <c r="V34" s="705" t="s">
        <v>18</v>
      </c>
      <c r="W34" s="706">
        <f t="shared" si="14"/>
        <v>100</v>
      </c>
      <c r="X34" s="1355"/>
      <c r="Y34" s="377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75"/>
      <c r="Q35" s="1352" t="str">
        <f t="shared" si="11"/>
        <v>建筑品质</v>
      </c>
      <c r="R35" s="705" t="s">
        <v>18</v>
      </c>
      <c r="S35" s="706">
        <f t="shared" si="12"/>
        <v>100</v>
      </c>
      <c r="T35" s="705" t="s">
        <v>18</v>
      </c>
      <c r="U35" s="706">
        <f t="shared" si="13"/>
        <v>100</v>
      </c>
      <c r="V35" s="705" t="s">
        <v>18</v>
      </c>
      <c r="W35" s="706">
        <f t="shared" si="14"/>
        <v>100</v>
      </c>
      <c r="X35" s="1355"/>
      <c r="Y35" s="377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75"/>
      <c r="Q36" s="1352" t="str">
        <f t="shared" si="11"/>
        <v>公共部分装修</v>
      </c>
      <c r="R36" s="705" t="s">
        <v>18</v>
      </c>
      <c r="S36" s="706">
        <f t="shared" si="12"/>
        <v>100</v>
      </c>
      <c r="T36" s="705" t="s">
        <v>18</v>
      </c>
      <c r="U36" s="706">
        <f t="shared" si="13"/>
        <v>100</v>
      </c>
      <c r="V36" s="705" t="s">
        <v>18</v>
      </c>
      <c r="W36" s="706">
        <f t="shared" si="14"/>
        <v>100</v>
      </c>
      <c r="X36" s="1355"/>
      <c r="Y36" s="377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75"/>
      <c r="Q37" s="1343" t="str">
        <f t="shared" si="11"/>
        <v>成新度</v>
      </c>
      <c r="R37" s="701" t="s">
        <v>18</v>
      </c>
      <c r="S37" s="702" t="e">
        <f t="shared" si="12"/>
        <v>#N/A</v>
      </c>
      <c r="T37" s="701" t="s">
        <v>18</v>
      </c>
      <c r="U37" s="702" t="e">
        <f t="shared" si="13"/>
        <v>#N/A</v>
      </c>
      <c r="V37" s="701" t="s">
        <v>18</v>
      </c>
      <c r="W37" s="702" t="e">
        <f t="shared" si="14"/>
        <v>#N/A</v>
      </c>
      <c r="X37" s="703"/>
      <c r="Y37" s="377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75" t="s">
        <v>1696</v>
      </c>
      <c r="Q38" s="1352" t="str">
        <f t="shared" si="11"/>
        <v>物业管理</v>
      </c>
      <c r="R38" s="705" t="s">
        <v>18</v>
      </c>
      <c r="S38" s="706">
        <f t="shared" si="12"/>
        <v>100</v>
      </c>
      <c r="T38" s="705" t="s">
        <v>18</v>
      </c>
      <c r="U38" s="706">
        <f t="shared" si="13"/>
        <v>100</v>
      </c>
      <c r="V38" s="705" t="s">
        <v>18</v>
      </c>
      <c r="W38" s="706">
        <f t="shared" si="14"/>
        <v>100</v>
      </c>
      <c r="X38" s="1355"/>
      <c r="Y38" s="377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75"/>
      <c r="Q39" s="1352" t="str">
        <f t="shared" si="11"/>
        <v>市政基础设施</v>
      </c>
      <c r="R39" s="705" t="s">
        <v>18</v>
      </c>
      <c r="S39" s="706">
        <f t="shared" si="12"/>
        <v>100</v>
      </c>
      <c r="T39" s="705" t="s">
        <v>18</v>
      </c>
      <c r="U39" s="706">
        <f t="shared" si="13"/>
        <v>100</v>
      </c>
      <c r="V39" s="705" t="s">
        <v>18</v>
      </c>
      <c r="W39" s="706">
        <f t="shared" si="14"/>
        <v>100</v>
      </c>
      <c r="X39" s="1355"/>
      <c r="Y39" s="377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75"/>
      <c r="Q40" s="1352" t="str">
        <f t="shared" si="11"/>
        <v>房型</v>
      </c>
      <c r="R40" s="705" t="s">
        <v>18</v>
      </c>
      <c r="S40" s="706">
        <f t="shared" si="12"/>
        <v>100</v>
      </c>
      <c r="T40" s="705" t="s">
        <v>18</v>
      </c>
      <c r="U40" s="706">
        <f t="shared" si="13"/>
        <v>100</v>
      </c>
      <c r="V40" s="705" t="s">
        <v>18</v>
      </c>
      <c r="W40" s="706">
        <f t="shared" si="14"/>
        <v>100</v>
      </c>
      <c r="X40" s="1355"/>
      <c r="Y40" s="377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75"/>
      <c r="Q41" s="707" t="str">
        <f t="shared" si="11"/>
        <v>单套/主力户型建筑面积</v>
      </c>
      <c r="R41" s="708" t="s">
        <v>18</v>
      </c>
      <c r="S41" s="709">
        <f t="shared" si="12"/>
        <v>100</v>
      </c>
      <c r="T41" s="708" t="s">
        <v>18</v>
      </c>
      <c r="U41" s="709">
        <f t="shared" si="13"/>
        <v>100</v>
      </c>
      <c r="V41" s="708" t="s">
        <v>18</v>
      </c>
      <c r="W41" s="709">
        <f t="shared" si="14"/>
        <v>100</v>
      </c>
      <c r="X41" s="710"/>
      <c r="Y41" s="377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75"/>
      <c r="Q42" s="1352" t="str">
        <f t="shared" si="11"/>
        <v>内部装修</v>
      </c>
      <c r="R42" s="705" t="s">
        <v>18</v>
      </c>
      <c r="S42" s="706">
        <f t="shared" si="12"/>
        <v>100</v>
      </c>
      <c r="T42" s="705" t="s">
        <v>18</v>
      </c>
      <c r="U42" s="706">
        <f t="shared" si="13"/>
        <v>100</v>
      </c>
      <c r="V42" s="705" t="s">
        <v>18</v>
      </c>
      <c r="W42" s="706">
        <f t="shared" si="14"/>
        <v>100</v>
      </c>
      <c r="X42" s="1355"/>
      <c r="Y42" s="377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75"/>
      <c r="Q43" s="1352" t="str">
        <f t="shared" si="11"/>
        <v>内部装修维护情况</v>
      </c>
      <c r="R43" s="705" t="s">
        <v>18</v>
      </c>
      <c r="S43" s="706">
        <f t="shared" si="12"/>
        <v>100</v>
      </c>
      <c r="T43" s="705" t="s">
        <v>18</v>
      </c>
      <c r="U43" s="706">
        <f t="shared" si="13"/>
        <v>100</v>
      </c>
      <c r="V43" s="705" t="s">
        <v>18</v>
      </c>
      <c r="W43" s="706">
        <f t="shared" si="14"/>
        <v>100</v>
      </c>
      <c r="X43" s="1355"/>
      <c r="Y43" s="37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75"/>
      <c r="Q44" s="1343">
        <f t="shared" si="11"/>
        <v>111</v>
      </c>
      <c r="R44" s="701" t="s">
        <v>18</v>
      </c>
      <c r="S44" s="702">
        <f t="shared" si="12"/>
        <v>100</v>
      </c>
      <c r="T44" s="701" t="s">
        <v>18</v>
      </c>
      <c r="U44" s="702">
        <f t="shared" si="13"/>
        <v>100</v>
      </c>
      <c r="V44" s="701" t="s">
        <v>18</v>
      </c>
      <c r="W44" s="702">
        <f t="shared" si="14"/>
        <v>100</v>
      </c>
      <c r="X44" s="703"/>
      <c r="Y44" s="37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75"/>
      <c r="Q45" s="1352">
        <f t="shared" si="11"/>
        <v>111</v>
      </c>
      <c r="R45" s="705" t="s">
        <v>18</v>
      </c>
      <c r="S45" s="706">
        <f t="shared" si="12"/>
        <v>100</v>
      </c>
      <c r="T45" s="705" t="s">
        <v>18</v>
      </c>
      <c r="U45" s="706">
        <f t="shared" si="13"/>
        <v>100</v>
      </c>
      <c r="V45" s="705" t="s">
        <v>18</v>
      </c>
      <c r="W45" s="706">
        <f t="shared" si="14"/>
        <v>100</v>
      </c>
      <c r="X45" s="1355"/>
      <c r="Y45" s="377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76"/>
      <c r="Q46" s="1352">
        <f t="shared" si="11"/>
        <v>111</v>
      </c>
      <c r="R46" s="705" t="s">
        <v>17</v>
      </c>
      <c r="S46" s="706">
        <f t="shared" si="12"/>
        <v>100</v>
      </c>
      <c r="T46" s="705" t="s">
        <v>17</v>
      </c>
      <c r="U46" s="706">
        <f t="shared" si="13"/>
        <v>100</v>
      </c>
      <c r="V46" s="705" t="s">
        <v>17</v>
      </c>
      <c r="W46" s="706">
        <f t="shared" si="14"/>
        <v>100</v>
      </c>
      <c r="X46" s="1355"/>
      <c r="Y46" s="377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70" t="str">
        <f>A47</f>
        <v>成交单价（元/平方米）</v>
      </c>
      <c r="Q47" s="3770"/>
      <c r="R47" s="3771">
        <f>E47</f>
        <v>0</v>
      </c>
      <c r="S47" s="3771"/>
      <c r="T47" s="3771">
        <f>G47</f>
        <v>0</v>
      </c>
      <c r="U47" s="3771"/>
      <c r="V47" s="3771">
        <f>I47</f>
        <v>0</v>
      </c>
      <c r="W47" s="377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70" t="str">
        <f>A48</f>
        <v>比较价值（元/平方米）</v>
      </c>
      <c r="Q48" s="3770"/>
      <c r="R48" s="3771" t="e">
        <f>IF(F1="售价",ROUND(PRODUCT(R47,AA7:AA46),0),ROUND(PRODUCT(R47,AA7:AA46),1))</f>
        <v>#DIV/0!</v>
      </c>
      <c r="S48" s="3771"/>
      <c r="T48" s="3771" t="e">
        <f>IF(F1="售价",ROUND(PRODUCT(T47,AB7:AB46),0),ROUND(PRODUCT(T47,AB7:AB46),1))</f>
        <v>#DIV/0!</v>
      </c>
      <c r="U48" s="3771"/>
      <c r="V48" s="3771" t="e">
        <f>IF(F1="售价",ROUND(PRODUCT(V47,AC7:AC46),0),ROUND(PRODUCT(V47,AC7:AC46),1))</f>
        <v>#DIV/0!</v>
      </c>
      <c r="W48" s="377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67" t="str">
        <f>A49</f>
        <v>估价对象XX用房的比较价值（楼面单价，元/平方米）</v>
      </c>
      <c r="Q49" s="3768"/>
      <c r="R49" s="3769" t="e">
        <f>IF(F1="售价",ROUND(IF(D48="简单平均",AVERAGE(R48:V48),R48*F48+T48*H48+V48*J48),0),ROUND(IF(D48="简单平均",AVERAGE(R48:V48),R48*F48+T48*H48+V48*J48),1))</f>
        <v>#DIV/0!</v>
      </c>
      <c r="S49" s="3769"/>
      <c r="T49" s="3769"/>
      <c r="U49" s="3769"/>
      <c r="V49" s="3769"/>
      <c r="W49" s="37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512.87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40" t="s">
        <v>1771</v>
      </c>
      <c r="S4" s="3741"/>
      <c r="T4" s="3740" t="s">
        <v>1772</v>
      </c>
      <c r="U4" s="3741"/>
      <c r="V4" s="3765" t="s">
        <v>1773</v>
      </c>
      <c r="W4" s="3765"/>
      <c r="X4" s="1355"/>
      <c r="Y4" s="3740" t="s">
        <v>1775</v>
      </c>
      <c r="Z4" s="3741"/>
      <c r="AA4" s="3735" t="s">
        <v>1771</v>
      </c>
      <c r="AB4" s="3765" t="s">
        <v>1772</v>
      </c>
      <c r="AC4" s="3735" t="s">
        <v>1773</v>
      </c>
    </row>
    <row r="5" spans="1:29" ht="15">
      <c r="A5" s="358"/>
      <c r="B5" s="359"/>
      <c r="C5" s="3746" t="s">
        <v>1673</v>
      </c>
      <c r="D5" s="3747"/>
      <c r="E5" s="3744" t="s">
        <v>1674</v>
      </c>
      <c r="F5" s="3745"/>
      <c r="G5" s="3746" t="s">
        <v>1675</v>
      </c>
      <c r="H5" s="3747"/>
      <c r="I5" s="3746" t="s">
        <v>1676</v>
      </c>
      <c r="J5" s="3747"/>
      <c r="K5" s="559"/>
      <c r="L5" s="2715"/>
      <c r="M5" s="2716"/>
      <c r="N5" s="2716"/>
      <c r="O5" s="2716"/>
      <c r="P5" s="3759"/>
      <c r="Q5" s="3760"/>
      <c r="R5" s="3742"/>
      <c r="S5" s="3743"/>
      <c r="T5" s="3742"/>
      <c r="U5" s="3743"/>
      <c r="V5" s="3765"/>
      <c r="W5" s="3765"/>
      <c r="X5" s="1355"/>
      <c r="Y5" s="3742"/>
      <c r="Z5" s="3743"/>
      <c r="AA5" s="3736"/>
      <c r="AB5" s="3765"/>
      <c r="AC5" s="3736"/>
    </row>
    <row r="6" spans="1:29" ht="15.75" thickBot="1">
      <c r="A6" s="360"/>
      <c r="B6" s="361"/>
      <c r="C6" s="3748" t="s">
        <v>1677</v>
      </c>
      <c r="D6" s="3749"/>
      <c r="E6" s="3750" t="s">
        <v>1677</v>
      </c>
      <c r="F6" s="3751"/>
      <c r="G6" s="3748" t="s">
        <v>1677</v>
      </c>
      <c r="H6" s="3749"/>
      <c r="I6" s="3748" t="s">
        <v>1677</v>
      </c>
      <c r="J6" s="3749"/>
      <c r="K6" s="559" t="s">
        <v>1678</v>
      </c>
      <c r="L6" s="2715"/>
      <c r="M6" s="2716"/>
      <c r="N6" s="2716"/>
      <c r="O6" s="2716"/>
      <c r="P6" s="3761"/>
      <c r="Q6" s="3762"/>
      <c r="R6" s="3742"/>
      <c r="S6" s="3743"/>
      <c r="T6" s="3763"/>
      <c r="U6" s="3764"/>
      <c r="V6" s="3765"/>
      <c r="W6" s="3765"/>
      <c r="X6" s="1355"/>
      <c r="Y6" s="3763"/>
      <c r="Z6" s="3764"/>
      <c r="AA6" s="3737"/>
      <c r="AB6" s="3765"/>
      <c r="AC6" s="3737"/>
    </row>
    <row r="7" spans="1:29" s="108" customFormat="1" ht="15.75" thickBot="1">
      <c r="A7" s="362" t="s">
        <v>1679</v>
      </c>
      <c r="B7" s="363"/>
      <c r="C7" s="364">
        <f>'数据-取费表'!B2</f>
        <v>44991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8" t="s">
        <v>1680</v>
      </c>
      <c r="Q7" s="3766"/>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8" t="s">
        <v>1683</v>
      </c>
      <c r="Q8" s="3739"/>
      <c r="R8" s="701" t="s">
        <v>14</v>
      </c>
      <c r="S8" s="702">
        <f t="shared" si="0"/>
        <v>100</v>
      </c>
      <c r="T8" s="701" t="s">
        <v>14</v>
      </c>
      <c r="U8" s="702">
        <f t="shared" si="1"/>
        <v>100</v>
      </c>
      <c r="V8" s="701" t="s">
        <v>14</v>
      </c>
      <c r="W8" s="702">
        <f t="shared" si="2"/>
        <v>100</v>
      </c>
      <c r="X8" s="703"/>
      <c r="Y8" s="3738" t="s">
        <v>1683</v>
      </c>
      <c r="Z8" s="373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52" t="s">
        <v>1686</v>
      </c>
      <c r="Q9" s="1343" t="str">
        <f t="shared" ref="Q9:Q15" si="6">B9</f>
        <v>用途</v>
      </c>
      <c r="R9" s="701" t="s">
        <v>14</v>
      </c>
      <c r="S9" s="702">
        <f t="shared" si="0"/>
        <v>100</v>
      </c>
      <c r="T9" s="701" t="s">
        <v>14</v>
      </c>
      <c r="U9" s="702">
        <f t="shared" si="1"/>
        <v>100</v>
      </c>
      <c r="V9" s="701" t="s">
        <v>14</v>
      </c>
      <c r="W9" s="702">
        <f t="shared" si="2"/>
        <v>100</v>
      </c>
      <c r="X9" s="703"/>
      <c r="Y9" s="368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52"/>
      <c r="Q10" s="1343" t="str">
        <f t="shared" si="6"/>
        <v>土地使用年限（年）</v>
      </c>
      <c r="R10" s="701" t="s">
        <v>14</v>
      </c>
      <c r="S10" s="702">
        <f t="shared" si="0"/>
        <v>100</v>
      </c>
      <c r="T10" s="701" t="s">
        <v>14</v>
      </c>
      <c r="U10" s="702">
        <f t="shared" si="1"/>
        <v>100</v>
      </c>
      <c r="V10" s="701" t="s">
        <v>14</v>
      </c>
      <c r="W10" s="702">
        <f t="shared" si="2"/>
        <v>100</v>
      </c>
      <c r="X10" s="703"/>
      <c r="Y10" s="36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52"/>
      <c r="Q11" s="1343" t="str">
        <f t="shared" si="6"/>
        <v>容积率</v>
      </c>
      <c r="R11" s="701" t="s">
        <v>14</v>
      </c>
      <c r="S11" s="702" t="e">
        <f t="shared" si="0"/>
        <v>#N/A</v>
      </c>
      <c r="T11" s="701" t="s">
        <v>14</v>
      </c>
      <c r="U11" s="702" t="e">
        <f t="shared" si="1"/>
        <v>#N/A</v>
      </c>
      <c r="V11" s="701" t="s">
        <v>14</v>
      </c>
      <c r="W11" s="702" t="e">
        <f t="shared" si="2"/>
        <v>#N/A</v>
      </c>
      <c r="X11" s="703"/>
      <c r="Y11" s="368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52"/>
      <c r="Q12" s="1343">
        <f t="shared" si="6"/>
        <v>111</v>
      </c>
      <c r="R12" s="701" t="s">
        <v>14</v>
      </c>
      <c r="S12" s="702">
        <f t="shared" si="0"/>
        <v>100</v>
      </c>
      <c r="T12" s="701" t="s">
        <v>14</v>
      </c>
      <c r="U12" s="702">
        <f t="shared" si="1"/>
        <v>100</v>
      </c>
      <c r="V12" s="701" t="s">
        <v>14</v>
      </c>
      <c r="W12" s="702">
        <f t="shared" si="2"/>
        <v>100</v>
      </c>
      <c r="X12" s="703"/>
      <c r="Y12" s="36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52"/>
      <c r="Q13" s="1343">
        <f t="shared" si="6"/>
        <v>111</v>
      </c>
      <c r="R13" s="701" t="s">
        <v>14</v>
      </c>
      <c r="S13" s="702">
        <f t="shared" si="0"/>
        <v>100</v>
      </c>
      <c r="T13" s="701" t="s">
        <v>14</v>
      </c>
      <c r="U13" s="702">
        <f t="shared" si="1"/>
        <v>100</v>
      </c>
      <c r="V13" s="701" t="s">
        <v>14</v>
      </c>
      <c r="W13" s="702">
        <f t="shared" si="2"/>
        <v>100</v>
      </c>
      <c r="X13" s="703"/>
      <c r="Y13" s="368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52"/>
      <c r="Q14" s="1343">
        <f t="shared" si="6"/>
        <v>111</v>
      </c>
      <c r="R14" s="701" t="s">
        <v>14</v>
      </c>
      <c r="S14" s="702">
        <f t="shared" si="0"/>
        <v>100</v>
      </c>
      <c r="T14" s="701" t="s">
        <v>14</v>
      </c>
      <c r="U14" s="702">
        <f t="shared" si="1"/>
        <v>100</v>
      </c>
      <c r="V14" s="701" t="s">
        <v>14</v>
      </c>
      <c r="W14" s="702">
        <f t="shared" si="2"/>
        <v>100</v>
      </c>
      <c r="X14" s="703"/>
      <c r="Y14" s="368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79" t="s">
        <v>1691</v>
      </c>
      <c r="Q15" s="1352" t="str">
        <f t="shared" si="6"/>
        <v>商业繁华度</v>
      </c>
      <c r="R15" s="705" t="s">
        <v>14</v>
      </c>
      <c r="S15" s="706">
        <f t="shared" si="0"/>
        <v>100</v>
      </c>
      <c r="T15" s="705" t="s">
        <v>14</v>
      </c>
      <c r="U15" s="706">
        <f t="shared" si="1"/>
        <v>100</v>
      </c>
      <c r="V15" s="705" t="s">
        <v>14</v>
      </c>
      <c r="W15" s="706">
        <f t="shared" si="2"/>
        <v>100</v>
      </c>
      <c r="X15" s="1355"/>
      <c r="Y15" s="37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80"/>
      <c r="Q16" s="1352"/>
      <c r="R16" s="705"/>
      <c r="S16" s="706"/>
      <c r="T16" s="705"/>
      <c r="U16" s="706"/>
      <c r="V16" s="705"/>
      <c r="W16" s="706"/>
      <c r="X16" s="1355"/>
      <c r="Y16" s="377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80"/>
      <c r="Q17" s="1352" t="str">
        <f>B17</f>
        <v>交通便捷度</v>
      </c>
      <c r="R17" s="705" t="s">
        <v>14</v>
      </c>
      <c r="S17" s="706">
        <f>F17</f>
        <v>100</v>
      </c>
      <c r="T17" s="705" t="s">
        <v>14</v>
      </c>
      <c r="U17" s="706">
        <f>H17</f>
        <v>100</v>
      </c>
      <c r="V17" s="705" t="s">
        <v>14</v>
      </c>
      <c r="W17" s="706">
        <f>J17</f>
        <v>100</v>
      </c>
      <c r="X17" s="1355"/>
      <c r="Y17" s="37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80"/>
      <c r="Q18" s="1352"/>
      <c r="R18" s="705"/>
      <c r="S18" s="706"/>
      <c r="T18" s="705"/>
      <c r="U18" s="706"/>
      <c r="V18" s="705"/>
      <c r="W18" s="706"/>
      <c r="X18" s="1355"/>
      <c r="Y18" s="377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80"/>
      <c r="Q19" s="1352" t="str">
        <f>B19</f>
        <v>公共配套设施</v>
      </c>
      <c r="R19" s="705" t="s">
        <v>14</v>
      </c>
      <c r="S19" s="706">
        <f>F19</f>
        <v>100</v>
      </c>
      <c r="T19" s="705" t="s">
        <v>14</v>
      </c>
      <c r="U19" s="706">
        <f>H19</f>
        <v>100</v>
      </c>
      <c r="V19" s="705" t="s">
        <v>14</v>
      </c>
      <c r="W19" s="706">
        <f>J19</f>
        <v>100</v>
      </c>
      <c r="X19" s="1355"/>
      <c r="Y19" s="37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80"/>
      <c r="Q20" s="1352"/>
      <c r="R20" s="705"/>
      <c r="S20" s="706"/>
      <c r="T20" s="705"/>
      <c r="U20" s="706"/>
      <c r="V20" s="705"/>
      <c r="W20" s="706"/>
      <c r="X20" s="1355"/>
      <c r="Y20" s="377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80"/>
      <c r="Q21" s="1352" t="str">
        <f>B21</f>
        <v>基础设施水平</v>
      </c>
      <c r="R21" s="705" t="s">
        <v>14</v>
      </c>
      <c r="S21" s="706">
        <f>F21</f>
        <v>100</v>
      </c>
      <c r="T21" s="705" t="s">
        <v>14</v>
      </c>
      <c r="U21" s="706">
        <f>H21</f>
        <v>100</v>
      </c>
      <c r="V21" s="705" t="s">
        <v>14</v>
      </c>
      <c r="W21" s="706">
        <f>J21</f>
        <v>100</v>
      </c>
      <c r="X21" s="1355"/>
      <c r="Y21" s="37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80"/>
      <c r="Q22" s="1352"/>
      <c r="R22" s="705"/>
      <c r="S22" s="706"/>
      <c r="T22" s="705"/>
      <c r="U22" s="706"/>
      <c r="V22" s="705"/>
      <c r="W22" s="706"/>
      <c r="X22" s="1355"/>
      <c r="Y22" s="377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80"/>
      <c r="Q23" s="1352" t="str">
        <f>B23</f>
        <v>自然及人文环境</v>
      </c>
      <c r="R23" s="705" t="s">
        <v>14</v>
      </c>
      <c r="S23" s="706">
        <f>F23</f>
        <v>100</v>
      </c>
      <c r="T23" s="705" t="s">
        <v>14</v>
      </c>
      <c r="U23" s="706">
        <f>H23</f>
        <v>100</v>
      </c>
      <c r="V23" s="705" t="s">
        <v>14</v>
      </c>
      <c r="W23" s="706">
        <f>J23</f>
        <v>100</v>
      </c>
      <c r="X23" s="1355"/>
      <c r="Y23" s="37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80"/>
      <c r="Q24" s="1352"/>
      <c r="R24" s="705"/>
      <c r="S24" s="706"/>
      <c r="T24" s="705"/>
      <c r="U24" s="706"/>
      <c r="V24" s="705"/>
      <c r="W24" s="706"/>
      <c r="X24" s="1355"/>
      <c r="Y24" s="37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80"/>
      <c r="Q25" s="1352" t="str">
        <f t="shared" ref="Q25:Q46" si="11">B25</f>
        <v>临街状况</v>
      </c>
      <c r="R25" s="705" t="s">
        <v>14</v>
      </c>
      <c r="S25" s="706">
        <f>F25</f>
        <v>100</v>
      </c>
      <c r="T25" s="705" t="s">
        <v>14</v>
      </c>
      <c r="U25" s="706">
        <f>H25</f>
        <v>100</v>
      </c>
      <c r="V25" s="705" t="s">
        <v>14</v>
      </c>
      <c r="W25" s="706">
        <f>J25</f>
        <v>100</v>
      </c>
      <c r="X25" s="1355"/>
      <c r="Y25" s="37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80"/>
      <c r="Q26" s="1352" t="str">
        <f t="shared" si="11"/>
        <v>平面位置/可视性</v>
      </c>
      <c r="R26" s="705" t="s">
        <v>14</v>
      </c>
      <c r="S26" s="706">
        <f>F26</f>
        <v>100</v>
      </c>
      <c r="T26" s="705" t="s">
        <v>14</v>
      </c>
      <c r="U26" s="706">
        <f>H26</f>
        <v>100</v>
      </c>
      <c r="V26" s="705" t="s">
        <v>14</v>
      </c>
      <c r="W26" s="706">
        <f>J26</f>
        <v>100</v>
      </c>
      <c r="X26" s="1355"/>
      <c r="Y26" s="37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80"/>
      <c r="Q27" s="1343" t="str">
        <f t="shared" si="11"/>
        <v>人流量</v>
      </c>
      <c r="R27" s="701" t="s">
        <v>14</v>
      </c>
      <c r="S27" s="702">
        <f>F27</f>
        <v>100</v>
      </c>
      <c r="T27" s="701" t="s">
        <v>14</v>
      </c>
      <c r="U27" s="702">
        <f>H27</f>
        <v>100</v>
      </c>
      <c r="V27" s="701" t="s">
        <v>14</v>
      </c>
      <c r="W27" s="702">
        <f>J27</f>
        <v>100</v>
      </c>
      <c r="X27" s="703"/>
      <c r="Y27" s="37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80"/>
      <c r="Q29" s="1352">
        <f t="shared" si="11"/>
        <v>111</v>
      </c>
      <c r="R29" s="705" t="s">
        <v>14</v>
      </c>
      <c r="S29" s="706">
        <f t="shared" si="12"/>
        <v>100</v>
      </c>
      <c r="T29" s="705" t="s">
        <v>14</v>
      </c>
      <c r="U29" s="706">
        <f t="shared" si="13"/>
        <v>100</v>
      </c>
      <c r="V29" s="705" t="s">
        <v>14</v>
      </c>
      <c r="W29" s="706">
        <f t="shared" si="14"/>
        <v>100</v>
      </c>
      <c r="X29" s="1355"/>
      <c r="Y29" s="37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80"/>
      <c r="Q30" s="1352">
        <f t="shared" si="11"/>
        <v>111</v>
      </c>
      <c r="R30" s="705" t="s">
        <v>14</v>
      </c>
      <c r="S30" s="706">
        <f t="shared" si="12"/>
        <v>100</v>
      </c>
      <c r="T30" s="705" t="s">
        <v>14</v>
      </c>
      <c r="U30" s="706">
        <f t="shared" si="13"/>
        <v>100</v>
      </c>
      <c r="V30" s="705" t="s">
        <v>14</v>
      </c>
      <c r="W30" s="706">
        <f t="shared" si="14"/>
        <v>100</v>
      </c>
      <c r="X30" s="1355"/>
      <c r="Y30" s="377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80"/>
      <c r="Q31" s="1352">
        <f t="shared" si="11"/>
        <v>111</v>
      </c>
      <c r="R31" s="705" t="s">
        <v>14</v>
      </c>
      <c r="S31" s="706">
        <f t="shared" si="12"/>
        <v>100</v>
      </c>
      <c r="T31" s="705" t="s">
        <v>14</v>
      </c>
      <c r="U31" s="706">
        <f t="shared" si="13"/>
        <v>100</v>
      </c>
      <c r="V31" s="705" t="s">
        <v>14</v>
      </c>
      <c r="W31" s="706">
        <f t="shared" si="14"/>
        <v>100</v>
      </c>
      <c r="X31" s="1355"/>
      <c r="Y31" s="377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74" t="s">
        <v>1696</v>
      </c>
      <c r="Q32" s="1352" t="str">
        <f t="shared" si="11"/>
        <v>商业类型</v>
      </c>
      <c r="R32" s="705" t="s">
        <v>14</v>
      </c>
      <c r="S32" s="706">
        <f t="shared" si="12"/>
        <v>100</v>
      </c>
      <c r="T32" s="705" t="s">
        <v>14</v>
      </c>
      <c r="U32" s="706">
        <f t="shared" si="13"/>
        <v>100</v>
      </c>
      <c r="V32" s="705" t="s">
        <v>14</v>
      </c>
      <c r="W32" s="706">
        <f t="shared" si="14"/>
        <v>100</v>
      </c>
      <c r="X32" s="1355"/>
      <c r="Y32" s="377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75"/>
      <c r="Q33" s="707" t="str">
        <f t="shared" si="11"/>
        <v>项目建筑规模</v>
      </c>
      <c r="R33" s="708" t="s">
        <v>14</v>
      </c>
      <c r="S33" s="709" t="e">
        <f t="shared" si="12"/>
        <v>#N/A</v>
      </c>
      <c r="T33" s="708" t="s">
        <v>14</v>
      </c>
      <c r="U33" s="709" t="e">
        <f t="shared" si="13"/>
        <v>#N/A</v>
      </c>
      <c r="V33" s="708" t="s">
        <v>14</v>
      </c>
      <c r="W33" s="709" t="e">
        <f t="shared" si="14"/>
        <v>#N/A</v>
      </c>
      <c r="X33" s="710"/>
      <c r="Y33" s="377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75"/>
      <c r="Q34" s="1352" t="str">
        <f t="shared" si="11"/>
        <v>建筑结构</v>
      </c>
      <c r="R34" s="705" t="s">
        <v>14</v>
      </c>
      <c r="S34" s="706">
        <f t="shared" si="12"/>
        <v>100</v>
      </c>
      <c r="T34" s="705" t="s">
        <v>14</v>
      </c>
      <c r="U34" s="706">
        <f t="shared" si="13"/>
        <v>100</v>
      </c>
      <c r="V34" s="705" t="s">
        <v>14</v>
      </c>
      <c r="W34" s="706">
        <f t="shared" si="14"/>
        <v>100</v>
      </c>
      <c r="X34" s="1355"/>
      <c r="Y34" s="377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75"/>
      <c r="Q35" s="1352" t="str">
        <f t="shared" si="11"/>
        <v>公共部分装修</v>
      </c>
      <c r="R35" s="705" t="s">
        <v>14</v>
      </c>
      <c r="S35" s="706">
        <f t="shared" si="12"/>
        <v>100</v>
      </c>
      <c r="T35" s="705" t="s">
        <v>14</v>
      </c>
      <c r="U35" s="706">
        <f t="shared" si="13"/>
        <v>100</v>
      </c>
      <c r="V35" s="705" t="s">
        <v>14</v>
      </c>
      <c r="W35" s="706">
        <f t="shared" si="14"/>
        <v>100</v>
      </c>
      <c r="X35" s="1355"/>
      <c r="Y35" s="377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75"/>
      <c r="Q36" s="1352" t="str">
        <f t="shared" si="11"/>
        <v>成新度</v>
      </c>
      <c r="R36" s="705" t="s">
        <v>14</v>
      </c>
      <c r="S36" s="706" t="e">
        <f t="shared" si="12"/>
        <v>#N/A</v>
      </c>
      <c r="T36" s="705" t="s">
        <v>14</v>
      </c>
      <c r="U36" s="706" t="e">
        <f t="shared" si="13"/>
        <v>#N/A</v>
      </c>
      <c r="V36" s="705" t="s">
        <v>14</v>
      </c>
      <c r="W36" s="706" t="e">
        <f t="shared" si="14"/>
        <v>#N/A</v>
      </c>
      <c r="X36" s="1355"/>
      <c r="Y36" s="377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75"/>
      <c r="Q37" s="1343" t="str">
        <f t="shared" si="11"/>
        <v>市政基础设施</v>
      </c>
      <c r="R37" s="701" t="s">
        <v>14</v>
      </c>
      <c r="S37" s="702">
        <f t="shared" si="12"/>
        <v>100</v>
      </c>
      <c r="T37" s="701" t="s">
        <v>14</v>
      </c>
      <c r="U37" s="702">
        <f t="shared" si="13"/>
        <v>100</v>
      </c>
      <c r="V37" s="701" t="s">
        <v>14</v>
      </c>
      <c r="W37" s="702">
        <f t="shared" si="14"/>
        <v>100</v>
      </c>
      <c r="X37" s="703"/>
      <c r="Y37" s="377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75" t="s">
        <v>1696</v>
      </c>
      <c r="Q38" s="1352" t="str">
        <f t="shared" si="11"/>
        <v>业态</v>
      </c>
      <c r="R38" s="705" t="s">
        <v>14</v>
      </c>
      <c r="S38" s="706">
        <f t="shared" si="12"/>
        <v>100</v>
      </c>
      <c r="T38" s="705" t="s">
        <v>14</v>
      </c>
      <c r="U38" s="706">
        <f t="shared" si="13"/>
        <v>100</v>
      </c>
      <c r="V38" s="705" t="s">
        <v>14</v>
      </c>
      <c r="W38" s="706">
        <f t="shared" si="14"/>
        <v>100</v>
      </c>
      <c r="X38" s="1355"/>
      <c r="Y38" s="377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75"/>
      <c r="Q39" s="1352" t="str">
        <f t="shared" si="11"/>
        <v>层高</v>
      </c>
      <c r="R39" s="705" t="s">
        <v>14</v>
      </c>
      <c r="S39" s="706">
        <f t="shared" si="12"/>
        <v>100</v>
      </c>
      <c r="T39" s="705" t="s">
        <v>14</v>
      </c>
      <c r="U39" s="706">
        <f t="shared" si="13"/>
        <v>100</v>
      </c>
      <c r="V39" s="705" t="s">
        <v>14</v>
      </c>
      <c r="W39" s="706">
        <f t="shared" si="14"/>
        <v>100</v>
      </c>
      <c r="X39" s="1355"/>
      <c r="Y39" s="377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75"/>
      <c r="Q40" s="1352" t="str">
        <f t="shared" si="11"/>
        <v>单套建筑面积</v>
      </c>
      <c r="R40" s="705" t="s">
        <v>14</v>
      </c>
      <c r="S40" s="706">
        <f t="shared" si="12"/>
        <v>100</v>
      </c>
      <c r="T40" s="705" t="s">
        <v>14</v>
      </c>
      <c r="U40" s="706">
        <f t="shared" si="13"/>
        <v>100</v>
      </c>
      <c r="V40" s="705" t="s">
        <v>14</v>
      </c>
      <c r="W40" s="706">
        <f t="shared" si="14"/>
        <v>100</v>
      </c>
      <c r="X40" s="1355"/>
      <c r="Y40" s="377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75"/>
      <c r="Q41" s="707" t="str">
        <f t="shared" si="11"/>
        <v>进深比</v>
      </c>
      <c r="R41" s="708" t="s">
        <v>14</v>
      </c>
      <c r="S41" s="709">
        <f t="shared" si="12"/>
        <v>100</v>
      </c>
      <c r="T41" s="708" t="s">
        <v>14</v>
      </c>
      <c r="U41" s="709">
        <f t="shared" si="13"/>
        <v>100</v>
      </c>
      <c r="V41" s="708" t="s">
        <v>14</v>
      </c>
      <c r="W41" s="709">
        <f t="shared" si="14"/>
        <v>100</v>
      </c>
      <c r="X41" s="710"/>
      <c r="Y41" s="377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75"/>
      <c r="Q42" s="1352" t="str">
        <f t="shared" si="11"/>
        <v>内部装修</v>
      </c>
      <c r="R42" s="705" t="s">
        <v>14</v>
      </c>
      <c r="S42" s="706">
        <f t="shared" si="12"/>
        <v>100</v>
      </c>
      <c r="T42" s="705" t="s">
        <v>14</v>
      </c>
      <c r="U42" s="706">
        <f t="shared" si="13"/>
        <v>100</v>
      </c>
      <c r="V42" s="705" t="s">
        <v>14</v>
      </c>
      <c r="W42" s="706">
        <f t="shared" si="14"/>
        <v>100</v>
      </c>
      <c r="X42" s="1355"/>
      <c r="Y42" s="377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75"/>
      <c r="Q43" s="1352" t="str">
        <f t="shared" si="11"/>
        <v>内部装修维护情况</v>
      </c>
      <c r="R43" s="705" t="s">
        <v>14</v>
      </c>
      <c r="S43" s="706">
        <f t="shared" si="12"/>
        <v>100</v>
      </c>
      <c r="T43" s="705" t="s">
        <v>14</v>
      </c>
      <c r="U43" s="706">
        <f t="shared" si="13"/>
        <v>100</v>
      </c>
      <c r="V43" s="705" t="s">
        <v>14</v>
      </c>
      <c r="W43" s="706">
        <f t="shared" si="14"/>
        <v>100</v>
      </c>
      <c r="X43" s="1355"/>
      <c r="Y43" s="37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75"/>
      <c r="Q44" s="1343">
        <f t="shared" si="11"/>
        <v>111</v>
      </c>
      <c r="R44" s="701" t="s">
        <v>14</v>
      </c>
      <c r="S44" s="702">
        <f t="shared" si="12"/>
        <v>100</v>
      </c>
      <c r="T44" s="701" t="s">
        <v>14</v>
      </c>
      <c r="U44" s="702">
        <f t="shared" si="13"/>
        <v>100</v>
      </c>
      <c r="V44" s="701" t="s">
        <v>14</v>
      </c>
      <c r="W44" s="702">
        <f t="shared" si="14"/>
        <v>100</v>
      </c>
      <c r="X44" s="703"/>
      <c r="Y44" s="37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75"/>
      <c r="Q45" s="1352">
        <f t="shared" si="11"/>
        <v>111</v>
      </c>
      <c r="R45" s="705" t="s">
        <v>14</v>
      </c>
      <c r="S45" s="706">
        <f t="shared" si="12"/>
        <v>100</v>
      </c>
      <c r="T45" s="705" t="s">
        <v>14</v>
      </c>
      <c r="U45" s="706">
        <f t="shared" si="13"/>
        <v>100</v>
      </c>
      <c r="V45" s="705" t="s">
        <v>14</v>
      </c>
      <c r="W45" s="706">
        <f t="shared" si="14"/>
        <v>100</v>
      </c>
      <c r="X45" s="1355"/>
      <c r="Y45" s="377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76"/>
      <c r="Q46" s="1352">
        <f t="shared" si="11"/>
        <v>111</v>
      </c>
      <c r="R46" s="705" t="s">
        <v>14</v>
      </c>
      <c r="S46" s="706">
        <f t="shared" si="12"/>
        <v>100</v>
      </c>
      <c r="T46" s="705" t="s">
        <v>14</v>
      </c>
      <c r="U46" s="706">
        <f t="shared" si="13"/>
        <v>100</v>
      </c>
      <c r="V46" s="705" t="s">
        <v>14</v>
      </c>
      <c r="W46" s="706">
        <f t="shared" si="14"/>
        <v>100</v>
      </c>
      <c r="X46" s="1355"/>
      <c r="Y46" s="377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70" t="str">
        <f>A47</f>
        <v>成交单价（元/平方米）</v>
      </c>
      <c r="Q47" s="3770"/>
      <c r="R47" s="3765">
        <f>E47</f>
        <v>0</v>
      </c>
      <c r="S47" s="3765"/>
      <c r="T47" s="3765">
        <f>G47</f>
        <v>0</v>
      </c>
      <c r="U47" s="3765"/>
      <c r="V47" s="3765">
        <f>I47</f>
        <v>0</v>
      </c>
      <c r="W47" s="376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70" t="str">
        <f>A48</f>
        <v>比较价值（元/平方米）</v>
      </c>
      <c r="Q48" s="3770"/>
      <c r="R48" s="3771" t="e">
        <f>IF(F1="售价",ROUND(PRODUCT(R47,AA7:AA46),0),ROUND(PRODUCT(R47,AA7:AA46),1))</f>
        <v>#DIV/0!</v>
      </c>
      <c r="S48" s="3771"/>
      <c r="T48" s="3771" t="e">
        <f>IF(F1="售价",ROUND(PRODUCT(T47,AB7:AB46),0),ROUND(PRODUCT(T47,AB7:AB46),1))</f>
        <v>#DIV/0!</v>
      </c>
      <c r="U48" s="3771"/>
      <c r="V48" s="3771" t="e">
        <f>IF(F1="售价",ROUND(PRODUCT(V47,AC7:AC46),0),ROUND(PRODUCT(V47,AC7:AC46),1))</f>
        <v>#DIV/0!</v>
      </c>
      <c r="W48" s="377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67" t="str">
        <f>A49</f>
        <v>估价对象XX用房的比较价值（楼面单价，元/平方米）</v>
      </c>
      <c r="Q49" s="3768"/>
      <c r="R49" s="3769" t="e">
        <f>IF(F1="售价",ROUND(IF(D48="简单平均",AVERAGE(R48:V48),R48*F48+T48*H48+V48*J48),0),ROUND(IF(D48="简单平均",AVERAGE(R48:V48),R48*F48+T48*H48+V48*J48),1))</f>
        <v>#DIV/0!</v>
      </c>
      <c r="S49" s="3769"/>
      <c r="T49" s="3769"/>
      <c r="U49" s="3769"/>
      <c r="V49" s="3769"/>
      <c r="W49" s="37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45"/>
  <sheetViews>
    <sheetView tabSelected="1" zoomScale="90" zoomScaleNormal="90" workbookViewId="0">
      <selection activeCell="C38" sqref="C38"/>
    </sheetView>
  </sheetViews>
  <sheetFormatPr defaultRowHeight="13.5"/>
  <cols>
    <col min="1" max="1" width="6.375" style="3462" customWidth="1"/>
    <col min="2" max="2" width="19.375" style="3507" customWidth="1"/>
    <col min="3" max="3" width="7" style="3462" customWidth="1"/>
    <col min="4" max="4" width="3.25" style="3462" customWidth="1"/>
    <col min="5" max="5" width="7.375" style="3462" customWidth="1"/>
    <col min="6" max="6" width="3.5" style="3462" customWidth="1"/>
    <col min="7" max="7" width="19.375" style="3508" customWidth="1"/>
    <col min="8" max="8" width="19.5" style="3462" customWidth="1"/>
    <col min="9" max="9" width="8.625" style="3462" customWidth="1"/>
    <col min="10" max="10" width="10.5" style="3458" customWidth="1"/>
    <col min="11" max="11" width="4.875" style="3458" customWidth="1"/>
    <col min="12" max="12" width="16.375" style="3458" customWidth="1"/>
    <col min="13" max="13" width="8.125" style="3462" customWidth="1"/>
    <col min="14" max="14" width="11.625" style="3462" bestFit="1" customWidth="1"/>
    <col min="15" max="16" width="8.125" style="3462" customWidth="1"/>
    <col min="17" max="256" width="9" style="3462"/>
    <col min="257" max="257" width="6.375" style="3462" customWidth="1"/>
    <col min="258" max="258" width="19.375" style="3462" customWidth="1"/>
    <col min="259" max="259" width="7" style="3462" customWidth="1"/>
    <col min="260" max="260" width="3.25" style="3462" customWidth="1"/>
    <col min="261" max="261" width="7.375" style="3462" customWidth="1"/>
    <col min="262" max="262" width="3.5" style="3462" customWidth="1"/>
    <col min="263" max="263" width="19.375" style="3462" customWidth="1"/>
    <col min="264" max="264" width="19.5" style="3462" customWidth="1"/>
    <col min="265" max="265" width="8.625" style="3462" customWidth="1"/>
    <col min="266" max="266" width="10.5" style="3462" customWidth="1"/>
    <col min="267" max="267" width="4.875" style="3462" customWidth="1"/>
    <col min="268" max="268" width="16.375" style="3462" customWidth="1"/>
    <col min="269" max="272" width="8.125" style="3462" customWidth="1"/>
    <col min="273" max="512" width="9" style="3462"/>
    <col min="513" max="513" width="6.375" style="3462" customWidth="1"/>
    <col min="514" max="514" width="19.375" style="3462" customWidth="1"/>
    <col min="515" max="515" width="7" style="3462" customWidth="1"/>
    <col min="516" max="516" width="3.25" style="3462" customWidth="1"/>
    <col min="517" max="517" width="7.375" style="3462" customWidth="1"/>
    <col min="518" max="518" width="3.5" style="3462" customWidth="1"/>
    <col min="519" max="519" width="19.375" style="3462" customWidth="1"/>
    <col min="520" max="520" width="19.5" style="3462" customWidth="1"/>
    <col min="521" max="521" width="8.625" style="3462" customWidth="1"/>
    <col min="522" max="522" width="10.5" style="3462" customWidth="1"/>
    <col min="523" max="523" width="4.875" style="3462" customWidth="1"/>
    <col min="524" max="524" width="16.375" style="3462" customWidth="1"/>
    <col min="525" max="528" width="8.125" style="3462" customWidth="1"/>
    <col min="529" max="768" width="9" style="3462"/>
    <col min="769" max="769" width="6.375" style="3462" customWidth="1"/>
    <col min="770" max="770" width="19.375" style="3462" customWidth="1"/>
    <col min="771" max="771" width="7" style="3462" customWidth="1"/>
    <col min="772" max="772" width="3.25" style="3462" customWidth="1"/>
    <col min="773" max="773" width="7.375" style="3462" customWidth="1"/>
    <col min="774" max="774" width="3.5" style="3462" customWidth="1"/>
    <col min="775" max="775" width="19.375" style="3462" customWidth="1"/>
    <col min="776" max="776" width="19.5" style="3462" customWidth="1"/>
    <col min="777" max="777" width="8.625" style="3462" customWidth="1"/>
    <col min="778" max="778" width="10.5" style="3462" customWidth="1"/>
    <col min="779" max="779" width="4.875" style="3462" customWidth="1"/>
    <col min="780" max="780" width="16.375" style="3462" customWidth="1"/>
    <col min="781" max="784" width="8.125" style="3462" customWidth="1"/>
    <col min="785" max="1024" width="9" style="3462"/>
    <col min="1025" max="1025" width="6.375" style="3462" customWidth="1"/>
    <col min="1026" max="1026" width="19.375" style="3462" customWidth="1"/>
    <col min="1027" max="1027" width="7" style="3462" customWidth="1"/>
    <col min="1028" max="1028" width="3.25" style="3462" customWidth="1"/>
    <col min="1029" max="1029" width="7.375" style="3462" customWidth="1"/>
    <col min="1030" max="1030" width="3.5" style="3462" customWidth="1"/>
    <col min="1031" max="1031" width="19.375" style="3462" customWidth="1"/>
    <col min="1032" max="1032" width="19.5" style="3462" customWidth="1"/>
    <col min="1033" max="1033" width="8.625" style="3462" customWidth="1"/>
    <col min="1034" max="1034" width="10.5" style="3462" customWidth="1"/>
    <col min="1035" max="1035" width="4.875" style="3462" customWidth="1"/>
    <col min="1036" max="1036" width="16.375" style="3462" customWidth="1"/>
    <col min="1037" max="1040" width="8.125" style="3462" customWidth="1"/>
    <col min="1041" max="1280" width="9" style="3462"/>
    <col min="1281" max="1281" width="6.375" style="3462" customWidth="1"/>
    <col min="1282" max="1282" width="19.375" style="3462" customWidth="1"/>
    <col min="1283" max="1283" width="7" style="3462" customWidth="1"/>
    <col min="1284" max="1284" width="3.25" style="3462" customWidth="1"/>
    <col min="1285" max="1285" width="7.375" style="3462" customWidth="1"/>
    <col min="1286" max="1286" width="3.5" style="3462" customWidth="1"/>
    <col min="1287" max="1287" width="19.375" style="3462" customWidth="1"/>
    <col min="1288" max="1288" width="19.5" style="3462" customWidth="1"/>
    <col min="1289" max="1289" width="8.625" style="3462" customWidth="1"/>
    <col min="1290" max="1290" width="10.5" style="3462" customWidth="1"/>
    <col min="1291" max="1291" width="4.875" style="3462" customWidth="1"/>
    <col min="1292" max="1292" width="16.375" style="3462" customWidth="1"/>
    <col min="1293" max="1296" width="8.125" style="3462" customWidth="1"/>
    <col min="1297" max="1536" width="9" style="3462"/>
    <col min="1537" max="1537" width="6.375" style="3462" customWidth="1"/>
    <col min="1538" max="1538" width="19.375" style="3462" customWidth="1"/>
    <col min="1539" max="1539" width="7" style="3462" customWidth="1"/>
    <col min="1540" max="1540" width="3.25" style="3462" customWidth="1"/>
    <col min="1541" max="1541" width="7.375" style="3462" customWidth="1"/>
    <col min="1542" max="1542" width="3.5" style="3462" customWidth="1"/>
    <col min="1543" max="1543" width="19.375" style="3462" customWidth="1"/>
    <col min="1544" max="1544" width="19.5" style="3462" customWidth="1"/>
    <col min="1545" max="1545" width="8.625" style="3462" customWidth="1"/>
    <col min="1546" max="1546" width="10.5" style="3462" customWidth="1"/>
    <col min="1547" max="1547" width="4.875" style="3462" customWidth="1"/>
    <col min="1548" max="1548" width="16.375" style="3462" customWidth="1"/>
    <col min="1549" max="1552" width="8.125" style="3462" customWidth="1"/>
    <col min="1553" max="1792" width="9" style="3462"/>
    <col min="1793" max="1793" width="6.375" style="3462" customWidth="1"/>
    <col min="1794" max="1794" width="19.375" style="3462" customWidth="1"/>
    <col min="1795" max="1795" width="7" style="3462" customWidth="1"/>
    <col min="1796" max="1796" width="3.25" style="3462" customWidth="1"/>
    <col min="1797" max="1797" width="7.375" style="3462" customWidth="1"/>
    <col min="1798" max="1798" width="3.5" style="3462" customWidth="1"/>
    <col min="1799" max="1799" width="19.375" style="3462" customWidth="1"/>
    <col min="1800" max="1800" width="19.5" style="3462" customWidth="1"/>
    <col min="1801" max="1801" width="8.625" style="3462" customWidth="1"/>
    <col min="1802" max="1802" width="10.5" style="3462" customWidth="1"/>
    <col min="1803" max="1803" width="4.875" style="3462" customWidth="1"/>
    <col min="1804" max="1804" width="16.375" style="3462" customWidth="1"/>
    <col min="1805" max="1808" width="8.125" style="3462" customWidth="1"/>
    <col min="1809" max="2048" width="9" style="3462"/>
    <col min="2049" max="2049" width="6.375" style="3462" customWidth="1"/>
    <col min="2050" max="2050" width="19.375" style="3462" customWidth="1"/>
    <col min="2051" max="2051" width="7" style="3462" customWidth="1"/>
    <col min="2052" max="2052" width="3.25" style="3462" customWidth="1"/>
    <col min="2053" max="2053" width="7.375" style="3462" customWidth="1"/>
    <col min="2054" max="2054" width="3.5" style="3462" customWidth="1"/>
    <col min="2055" max="2055" width="19.375" style="3462" customWidth="1"/>
    <col min="2056" max="2056" width="19.5" style="3462" customWidth="1"/>
    <col min="2057" max="2057" width="8.625" style="3462" customWidth="1"/>
    <col min="2058" max="2058" width="10.5" style="3462" customWidth="1"/>
    <col min="2059" max="2059" width="4.875" style="3462" customWidth="1"/>
    <col min="2060" max="2060" width="16.375" style="3462" customWidth="1"/>
    <col min="2061" max="2064" width="8.125" style="3462" customWidth="1"/>
    <col min="2065" max="2304" width="9" style="3462"/>
    <col min="2305" max="2305" width="6.375" style="3462" customWidth="1"/>
    <col min="2306" max="2306" width="19.375" style="3462" customWidth="1"/>
    <col min="2307" max="2307" width="7" style="3462" customWidth="1"/>
    <col min="2308" max="2308" width="3.25" style="3462" customWidth="1"/>
    <col min="2309" max="2309" width="7.375" style="3462" customWidth="1"/>
    <col min="2310" max="2310" width="3.5" style="3462" customWidth="1"/>
    <col min="2311" max="2311" width="19.375" style="3462" customWidth="1"/>
    <col min="2312" max="2312" width="19.5" style="3462" customWidth="1"/>
    <col min="2313" max="2313" width="8.625" style="3462" customWidth="1"/>
    <col min="2314" max="2314" width="10.5" style="3462" customWidth="1"/>
    <col min="2315" max="2315" width="4.875" style="3462" customWidth="1"/>
    <col min="2316" max="2316" width="16.375" style="3462" customWidth="1"/>
    <col min="2317" max="2320" width="8.125" style="3462" customWidth="1"/>
    <col min="2321" max="2560" width="9" style="3462"/>
    <col min="2561" max="2561" width="6.375" style="3462" customWidth="1"/>
    <col min="2562" max="2562" width="19.375" style="3462" customWidth="1"/>
    <col min="2563" max="2563" width="7" style="3462" customWidth="1"/>
    <col min="2564" max="2564" width="3.25" style="3462" customWidth="1"/>
    <col min="2565" max="2565" width="7.375" style="3462" customWidth="1"/>
    <col min="2566" max="2566" width="3.5" style="3462" customWidth="1"/>
    <col min="2567" max="2567" width="19.375" style="3462" customWidth="1"/>
    <col min="2568" max="2568" width="19.5" style="3462" customWidth="1"/>
    <col min="2569" max="2569" width="8.625" style="3462" customWidth="1"/>
    <col min="2570" max="2570" width="10.5" style="3462" customWidth="1"/>
    <col min="2571" max="2571" width="4.875" style="3462" customWidth="1"/>
    <col min="2572" max="2572" width="16.375" style="3462" customWidth="1"/>
    <col min="2573" max="2576" width="8.125" style="3462" customWidth="1"/>
    <col min="2577" max="2816" width="9" style="3462"/>
    <col min="2817" max="2817" width="6.375" style="3462" customWidth="1"/>
    <col min="2818" max="2818" width="19.375" style="3462" customWidth="1"/>
    <col min="2819" max="2819" width="7" style="3462" customWidth="1"/>
    <col min="2820" max="2820" width="3.25" style="3462" customWidth="1"/>
    <col min="2821" max="2821" width="7.375" style="3462" customWidth="1"/>
    <col min="2822" max="2822" width="3.5" style="3462" customWidth="1"/>
    <col min="2823" max="2823" width="19.375" style="3462" customWidth="1"/>
    <col min="2824" max="2824" width="19.5" style="3462" customWidth="1"/>
    <col min="2825" max="2825" width="8.625" style="3462" customWidth="1"/>
    <col min="2826" max="2826" width="10.5" style="3462" customWidth="1"/>
    <col min="2827" max="2827" width="4.875" style="3462" customWidth="1"/>
    <col min="2828" max="2828" width="16.375" style="3462" customWidth="1"/>
    <col min="2829" max="2832" width="8.125" style="3462" customWidth="1"/>
    <col min="2833" max="3072" width="9" style="3462"/>
    <col min="3073" max="3073" width="6.375" style="3462" customWidth="1"/>
    <col min="3074" max="3074" width="19.375" style="3462" customWidth="1"/>
    <col min="3075" max="3075" width="7" style="3462" customWidth="1"/>
    <col min="3076" max="3076" width="3.25" style="3462" customWidth="1"/>
    <col min="3077" max="3077" width="7.375" style="3462" customWidth="1"/>
    <col min="3078" max="3078" width="3.5" style="3462" customWidth="1"/>
    <col min="3079" max="3079" width="19.375" style="3462" customWidth="1"/>
    <col min="3080" max="3080" width="19.5" style="3462" customWidth="1"/>
    <col min="3081" max="3081" width="8.625" style="3462" customWidth="1"/>
    <col min="3082" max="3082" width="10.5" style="3462" customWidth="1"/>
    <col min="3083" max="3083" width="4.875" style="3462" customWidth="1"/>
    <col min="3084" max="3084" width="16.375" style="3462" customWidth="1"/>
    <col min="3085" max="3088" width="8.125" style="3462" customWidth="1"/>
    <col min="3089" max="3328" width="9" style="3462"/>
    <col min="3329" max="3329" width="6.375" style="3462" customWidth="1"/>
    <col min="3330" max="3330" width="19.375" style="3462" customWidth="1"/>
    <col min="3331" max="3331" width="7" style="3462" customWidth="1"/>
    <col min="3332" max="3332" width="3.25" style="3462" customWidth="1"/>
    <col min="3333" max="3333" width="7.375" style="3462" customWidth="1"/>
    <col min="3334" max="3334" width="3.5" style="3462" customWidth="1"/>
    <col min="3335" max="3335" width="19.375" style="3462" customWidth="1"/>
    <col min="3336" max="3336" width="19.5" style="3462" customWidth="1"/>
    <col min="3337" max="3337" width="8.625" style="3462" customWidth="1"/>
    <col min="3338" max="3338" width="10.5" style="3462" customWidth="1"/>
    <col min="3339" max="3339" width="4.875" style="3462" customWidth="1"/>
    <col min="3340" max="3340" width="16.375" style="3462" customWidth="1"/>
    <col min="3341" max="3344" width="8.125" style="3462" customWidth="1"/>
    <col min="3345" max="3584" width="9" style="3462"/>
    <col min="3585" max="3585" width="6.375" style="3462" customWidth="1"/>
    <col min="3586" max="3586" width="19.375" style="3462" customWidth="1"/>
    <col min="3587" max="3587" width="7" style="3462" customWidth="1"/>
    <col min="3588" max="3588" width="3.25" style="3462" customWidth="1"/>
    <col min="3589" max="3589" width="7.375" style="3462" customWidth="1"/>
    <col min="3590" max="3590" width="3.5" style="3462" customWidth="1"/>
    <col min="3591" max="3591" width="19.375" style="3462" customWidth="1"/>
    <col min="3592" max="3592" width="19.5" style="3462" customWidth="1"/>
    <col min="3593" max="3593" width="8.625" style="3462" customWidth="1"/>
    <col min="3594" max="3594" width="10.5" style="3462" customWidth="1"/>
    <col min="3595" max="3595" width="4.875" style="3462" customWidth="1"/>
    <col min="3596" max="3596" width="16.375" style="3462" customWidth="1"/>
    <col min="3597" max="3600" width="8.125" style="3462" customWidth="1"/>
    <col min="3601" max="3840" width="9" style="3462"/>
    <col min="3841" max="3841" width="6.375" style="3462" customWidth="1"/>
    <col min="3842" max="3842" width="19.375" style="3462" customWidth="1"/>
    <col min="3843" max="3843" width="7" style="3462" customWidth="1"/>
    <col min="3844" max="3844" width="3.25" style="3462" customWidth="1"/>
    <col min="3845" max="3845" width="7.375" style="3462" customWidth="1"/>
    <col min="3846" max="3846" width="3.5" style="3462" customWidth="1"/>
    <col min="3847" max="3847" width="19.375" style="3462" customWidth="1"/>
    <col min="3848" max="3848" width="19.5" style="3462" customWidth="1"/>
    <col min="3849" max="3849" width="8.625" style="3462" customWidth="1"/>
    <col min="3850" max="3850" width="10.5" style="3462" customWidth="1"/>
    <col min="3851" max="3851" width="4.875" style="3462" customWidth="1"/>
    <col min="3852" max="3852" width="16.375" style="3462" customWidth="1"/>
    <col min="3853" max="3856" width="8.125" style="3462" customWidth="1"/>
    <col min="3857" max="4096" width="9" style="3462"/>
    <col min="4097" max="4097" width="6.375" style="3462" customWidth="1"/>
    <col min="4098" max="4098" width="19.375" style="3462" customWidth="1"/>
    <col min="4099" max="4099" width="7" style="3462" customWidth="1"/>
    <col min="4100" max="4100" width="3.25" style="3462" customWidth="1"/>
    <col min="4101" max="4101" width="7.375" style="3462" customWidth="1"/>
    <col min="4102" max="4102" width="3.5" style="3462" customWidth="1"/>
    <col min="4103" max="4103" width="19.375" style="3462" customWidth="1"/>
    <col min="4104" max="4104" width="19.5" style="3462" customWidth="1"/>
    <col min="4105" max="4105" width="8.625" style="3462" customWidth="1"/>
    <col min="4106" max="4106" width="10.5" style="3462" customWidth="1"/>
    <col min="4107" max="4107" width="4.875" style="3462" customWidth="1"/>
    <col min="4108" max="4108" width="16.375" style="3462" customWidth="1"/>
    <col min="4109" max="4112" width="8.125" style="3462" customWidth="1"/>
    <col min="4113" max="4352" width="9" style="3462"/>
    <col min="4353" max="4353" width="6.375" style="3462" customWidth="1"/>
    <col min="4354" max="4354" width="19.375" style="3462" customWidth="1"/>
    <col min="4355" max="4355" width="7" style="3462" customWidth="1"/>
    <col min="4356" max="4356" width="3.25" style="3462" customWidth="1"/>
    <col min="4357" max="4357" width="7.375" style="3462" customWidth="1"/>
    <col min="4358" max="4358" width="3.5" style="3462" customWidth="1"/>
    <col min="4359" max="4359" width="19.375" style="3462" customWidth="1"/>
    <col min="4360" max="4360" width="19.5" style="3462" customWidth="1"/>
    <col min="4361" max="4361" width="8.625" style="3462" customWidth="1"/>
    <col min="4362" max="4362" width="10.5" style="3462" customWidth="1"/>
    <col min="4363" max="4363" width="4.875" style="3462" customWidth="1"/>
    <col min="4364" max="4364" width="16.375" style="3462" customWidth="1"/>
    <col min="4365" max="4368" width="8.125" style="3462" customWidth="1"/>
    <col min="4369" max="4608" width="9" style="3462"/>
    <col min="4609" max="4609" width="6.375" style="3462" customWidth="1"/>
    <col min="4610" max="4610" width="19.375" style="3462" customWidth="1"/>
    <col min="4611" max="4611" width="7" style="3462" customWidth="1"/>
    <col min="4612" max="4612" width="3.25" style="3462" customWidth="1"/>
    <col min="4613" max="4613" width="7.375" style="3462" customWidth="1"/>
    <col min="4614" max="4614" width="3.5" style="3462" customWidth="1"/>
    <col min="4615" max="4615" width="19.375" style="3462" customWidth="1"/>
    <col min="4616" max="4616" width="19.5" style="3462" customWidth="1"/>
    <col min="4617" max="4617" width="8.625" style="3462" customWidth="1"/>
    <col min="4618" max="4618" width="10.5" style="3462" customWidth="1"/>
    <col min="4619" max="4619" width="4.875" style="3462" customWidth="1"/>
    <col min="4620" max="4620" width="16.375" style="3462" customWidth="1"/>
    <col min="4621" max="4624" width="8.125" style="3462" customWidth="1"/>
    <col min="4625" max="4864" width="9" style="3462"/>
    <col min="4865" max="4865" width="6.375" style="3462" customWidth="1"/>
    <col min="4866" max="4866" width="19.375" style="3462" customWidth="1"/>
    <col min="4867" max="4867" width="7" style="3462" customWidth="1"/>
    <col min="4868" max="4868" width="3.25" style="3462" customWidth="1"/>
    <col min="4869" max="4869" width="7.375" style="3462" customWidth="1"/>
    <col min="4870" max="4870" width="3.5" style="3462" customWidth="1"/>
    <col min="4871" max="4871" width="19.375" style="3462" customWidth="1"/>
    <col min="4872" max="4872" width="19.5" style="3462" customWidth="1"/>
    <col min="4873" max="4873" width="8.625" style="3462" customWidth="1"/>
    <col min="4874" max="4874" width="10.5" style="3462" customWidth="1"/>
    <col min="4875" max="4875" width="4.875" style="3462" customWidth="1"/>
    <col min="4876" max="4876" width="16.375" style="3462" customWidth="1"/>
    <col min="4877" max="4880" width="8.125" style="3462" customWidth="1"/>
    <col min="4881" max="5120" width="9" style="3462"/>
    <col min="5121" max="5121" width="6.375" style="3462" customWidth="1"/>
    <col min="5122" max="5122" width="19.375" style="3462" customWidth="1"/>
    <col min="5123" max="5123" width="7" style="3462" customWidth="1"/>
    <col min="5124" max="5124" width="3.25" style="3462" customWidth="1"/>
    <col min="5125" max="5125" width="7.375" style="3462" customWidth="1"/>
    <col min="5126" max="5126" width="3.5" style="3462" customWidth="1"/>
    <col min="5127" max="5127" width="19.375" style="3462" customWidth="1"/>
    <col min="5128" max="5128" width="19.5" style="3462" customWidth="1"/>
    <col min="5129" max="5129" width="8.625" style="3462" customWidth="1"/>
    <col min="5130" max="5130" width="10.5" style="3462" customWidth="1"/>
    <col min="5131" max="5131" width="4.875" style="3462" customWidth="1"/>
    <col min="5132" max="5132" width="16.375" style="3462" customWidth="1"/>
    <col min="5133" max="5136" width="8.125" style="3462" customWidth="1"/>
    <col min="5137" max="5376" width="9" style="3462"/>
    <col min="5377" max="5377" width="6.375" style="3462" customWidth="1"/>
    <col min="5378" max="5378" width="19.375" style="3462" customWidth="1"/>
    <col min="5379" max="5379" width="7" style="3462" customWidth="1"/>
    <col min="5380" max="5380" width="3.25" style="3462" customWidth="1"/>
    <col min="5381" max="5381" width="7.375" style="3462" customWidth="1"/>
    <col min="5382" max="5382" width="3.5" style="3462" customWidth="1"/>
    <col min="5383" max="5383" width="19.375" style="3462" customWidth="1"/>
    <col min="5384" max="5384" width="19.5" style="3462" customWidth="1"/>
    <col min="5385" max="5385" width="8.625" style="3462" customWidth="1"/>
    <col min="5386" max="5386" width="10.5" style="3462" customWidth="1"/>
    <col min="5387" max="5387" width="4.875" style="3462" customWidth="1"/>
    <col min="5388" max="5388" width="16.375" style="3462" customWidth="1"/>
    <col min="5389" max="5392" width="8.125" style="3462" customWidth="1"/>
    <col min="5393" max="5632" width="9" style="3462"/>
    <col min="5633" max="5633" width="6.375" style="3462" customWidth="1"/>
    <col min="5634" max="5634" width="19.375" style="3462" customWidth="1"/>
    <col min="5635" max="5635" width="7" style="3462" customWidth="1"/>
    <col min="5636" max="5636" width="3.25" style="3462" customWidth="1"/>
    <col min="5637" max="5637" width="7.375" style="3462" customWidth="1"/>
    <col min="5638" max="5638" width="3.5" style="3462" customWidth="1"/>
    <col min="5639" max="5639" width="19.375" style="3462" customWidth="1"/>
    <col min="5640" max="5640" width="19.5" style="3462" customWidth="1"/>
    <col min="5641" max="5641" width="8.625" style="3462" customWidth="1"/>
    <col min="5642" max="5642" width="10.5" style="3462" customWidth="1"/>
    <col min="5643" max="5643" width="4.875" style="3462" customWidth="1"/>
    <col min="5644" max="5644" width="16.375" style="3462" customWidth="1"/>
    <col min="5645" max="5648" width="8.125" style="3462" customWidth="1"/>
    <col min="5649" max="5888" width="9" style="3462"/>
    <col min="5889" max="5889" width="6.375" style="3462" customWidth="1"/>
    <col min="5890" max="5890" width="19.375" style="3462" customWidth="1"/>
    <col min="5891" max="5891" width="7" style="3462" customWidth="1"/>
    <col min="5892" max="5892" width="3.25" style="3462" customWidth="1"/>
    <col min="5893" max="5893" width="7.375" style="3462" customWidth="1"/>
    <col min="5894" max="5894" width="3.5" style="3462" customWidth="1"/>
    <col min="5895" max="5895" width="19.375" style="3462" customWidth="1"/>
    <col min="5896" max="5896" width="19.5" style="3462" customWidth="1"/>
    <col min="5897" max="5897" width="8.625" style="3462" customWidth="1"/>
    <col min="5898" max="5898" width="10.5" style="3462" customWidth="1"/>
    <col min="5899" max="5899" width="4.875" style="3462" customWidth="1"/>
    <col min="5900" max="5900" width="16.375" style="3462" customWidth="1"/>
    <col min="5901" max="5904" width="8.125" style="3462" customWidth="1"/>
    <col min="5905" max="6144" width="9" style="3462"/>
    <col min="6145" max="6145" width="6.375" style="3462" customWidth="1"/>
    <col min="6146" max="6146" width="19.375" style="3462" customWidth="1"/>
    <col min="6147" max="6147" width="7" style="3462" customWidth="1"/>
    <col min="6148" max="6148" width="3.25" style="3462" customWidth="1"/>
    <col min="6149" max="6149" width="7.375" style="3462" customWidth="1"/>
    <col min="6150" max="6150" width="3.5" style="3462" customWidth="1"/>
    <col min="6151" max="6151" width="19.375" style="3462" customWidth="1"/>
    <col min="6152" max="6152" width="19.5" style="3462" customWidth="1"/>
    <col min="6153" max="6153" width="8.625" style="3462" customWidth="1"/>
    <col min="6154" max="6154" width="10.5" style="3462" customWidth="1"/>
    <col min="6155" max="6155" width="4.875" style="3462" customWidth="1"/>
    <col min="6156" max="6156" width="16.375" style="3462" customWidth="1"/>
    <col min="6157" max="6160" width="8.125" style="3462" customWidth="1"/>
    <col min="6161" max="6400" width="9" style="3462"/>
    <col min="6401" max="6401" width="6.375" style="3462" customWidth="1"/>
    <col min="6402" max="6402" width="19.375" style="3462" customWidth="1"/>
    <col min="6403" max="6403" width="7" style="3462" customWidth="1"/>
    <col min="6404" max="6404" width="3.25" style="3462" customWidth="1"/>
    <col min="6405" max="6405" width="7.375" style="3462" customWidth="1"/>
    <col min="6406" max="6406" width="3.5" style="3462" customWidth="1"/>
    <col min="6407" max="6407" width="19.375" style="3462" customWidth="1"/>
    <col min="6408" max="6408" width="19.5" style="3462" customWidth="1"/>
    <col min="6409" max="6409" width="8.625" style="3462" customWidth="1"/>
    <col min="6410" max="6410" width="10.5" style="3462" customWidth="1"/>
    <col min="6411" max="6411" width="4.875" style="3462" customWidth="1"/>
    <col min="6412" max="6412" width="16.375" style="3462" customWidth="1"/>
    <col min="6413" max="6416" width="8.125" style="3462" customWidth="1"/>
    <col min="6417" max="6656" width="9" style="3462"/>
    <col min="6657" max="6657" width="6.375" style="3462" customWidth="1"/>
    <col min="6658" max="6658" width="19.375" style="3462" customWidth="1"/>
    <col min="6659" max="6659" width="7" style="3462" customWidth="1"/>
    <col min="6660" max="6660" width="3.25" style="3462" customWidth="1"/>
    <col min="6661" max="6661" width="7.375" style="3462" customWidth="1"/>
    <col min="6662" max="6662" width="3.5" style="3462" customWidth="1"/>
    <col min="6663" max="6663" width="19.375" style="3462" customWidth="1"/>
    <col min="6664" max="6664" width="19.5" style="3462" customWidth="1"/>
    <col min="6665" max="6665" width="8.625" style="3462" customWidth="1"/>
    <col min="6666" max="6666" width="10.5" style="3462" customWidth="1"/>
    <col min="6667" max="6667" width="4.875" style="3462" customWidth="1"/>
    <col min="6668" max="6668" width="16.375" style="3462" customWidth="1"/>
    <col min="6669" max="6672" width="8.125" style="3462" customWidth="1"/>
    <col min="6673" max="6912" width="9" style="3462"/>
    <col min="6913" max="6913" width="6.375" style="3462" customWidth="1"/>
    <col min="6914" max="6914" width="19.375" style="3462" customWidth="1"/>
    <col min="6915" max="6915" width="7" style="3462" customWidth="1"/>
    <col min="6916" max="6916" width="3.25" style="3462" customWidth="1"/>
    <col min="6917" max="6917" width="7.375" style="3462" customWidth="1"/>
    <col min="6918" max="6918" width="3.5" style="3462" customWidth="1"/>
    <col min="6919" max="6919" width="19.375" style="3462" customWidth="1"/>
    <col min="6920" max="6920" width="19.5" style="3462" customWidth="1"/>
    <col min="6921" max="6921" width="8.625" style="3462" customWidth="1"/>
    <col min="6922" max="6922" width="10.5" style="3462" customWidth="1"/>
    <col min="6923" max="6923" width="4.875" style="3462" customWidth="1"/>
    <col min="6924" max="6924" width="16.375" style="3462" customWidth="1"/>
    <col min="6925" max="6928" width="8.125" style="3462" customWidth="1"/>
    <col min="6929" max="7168" width="9" style="3462"/>
    <col min="7169" max="7169" width="6.375" style="3462" customWidth="1"/>
    <col min="7170" max="7170" width="19.375" style="3462" customWidth="1"/>
    <col min="7171" max="7171" width="7" style="3462" customWidth="1"/>
    <col min="7172" max="7172" width="3.25" style="3462" customWidth="1"/>
    <col min="7173" max="7173" width="7.375" style="3462" customWidth="1"/>
    <col min="7174" max="7174" width="3.5" style="3462" customWidth="1"/>
    <col min="7175" max="7175" width="19.375" style="3462" customWidth="1"/>
    <col min="7176" max="7176" width="19.5" style="3462" customWidth="1"/>
    <col min="7177" max="7177" width="8.625" style="3462" customWidth="1"/>
    <col min="7178" max="7178" width="10.5" style="3462" customWidth="1"/>
    <col min="7179" max="7179" width="4.875" style="3462" customWidth="1"/>
    <col min="7180" max="7180" width="16.375" style="3462" customWidth="1"/>
    <col min="7181" max="7184" width="8.125" style="3462" customWidth="1"/>
    <col min="7185" max="7424" width="9" style="3462"/>
    <col min="7425" max="7425" width="6.375" style="3462" customWidth="1"/>
    <col min="7426" max="7426" width="19.375" style="3462" customWidth="1"/>
    <col min="7427" max="7427" width="7" style="3462" customWidth="1"/>
    <col min="7428" max="7428" width="3.25" style="3462" customWidth="1"/>
    <col min="7429" max="7429" width="7.375" style="3462" customWidth="1"/>
    <col min="7430" max="7430" width="3.5" style="3462" customWidth="1"/>
    <col min="7431" max="7431" width="19.375" style="3462" customWidth="1"/>
    <col min="7432" max="7432" width="19.5" style="3462" customWidth="1"/>
    <col min="7433" max="7433" width="8.625" style="3462" customWidth="1"/>
    <col min="7434" max="7434" width="10.5" style="3462" customWidth="1"/>
    <col min="7435" max="7435" width="4.875" style="3462" customWidth="1"/>
    <col min="7436" max="7436" width="16.375" style="3462" customWidth="1"/>
    <col min="7437" max="7440" width="8.125" style="3462" customWidth="1"/>
    <col min="7441" max="7680" width="9" style="3462"/>
    <col min="7681" max="7681" width="6.375" style="3462" customWidth="1"/>
    <col min="7682" max="7682" width="19.375" style="3462" customWidth="1"/>
    <col min="7683" max="7683" width="7" style="3462" customWidth="1"/>
    <col min="7684" max="7684" width="3.25" style="3462" customWidth="1"/>
    <col min="7685" max="7685" width="7.375" style="3462" customWidth="1"/>
    <col min="7686" max="7686" width="3.5" style="3462" customWidth="1"/>
    <col min="7687" max="7687" width="19.375" style="3462" customWidth="1"/>
    <col min="7688" max="7688" width="19.5" style="3462" customWidth="1"/>
    <col min="7689" max="7689" width="8.625" style="3462" customWidth="1"/>
    <col min="7690" max="7690" width="10.5" style="3462" customWidth="1"/>
    <col min="7691" max="7691" width="4.875" style="3462" customWidth="1"/>
    <col min="7692" max="7692" width="16.375" style="3462" customWidth="1"/>
    <col min="7693" max="7696" width="8.125" style="3462" customWidth="1"/>
    <col min="7697" max="7936" width="9" style="3462"/>
    <col min="7937" max="7937" width="6.375" style="3462" customWidth="1"/>
    <col min="7938" max="7938" width="19.375" style="3462" customWidth="1"/>
    <col min="7939" max="7939" width="7" style="3462" customWidth="1"/>
    <col min="7940" max="7940" width="3.25" style="3462" customWidth="1"/>
    <col min="7941" max="7941" width="7.375" style="3462" customWidth="1"/>
    <col min="7942" max="7942" width="3.5" style="3462" customWidth="1"/>
    <col min="7943" max="7943" width="19.375" style="3462" customWidth="1"/>
    <col min="7944" max="7944" width="19.5" style="3462" customWidth="1"/>
    <col min="7945" max="7945" width="8.625" style="3462" customWidth="1"/>
    <col min="7946" max="7946" width="10.5" style="3462" customWidth="1"/>
    <col min="7947" max="7947" width="4.875" style="3462" customWidth="1"/>
    <col min="7948" max="7948" width="16.375" style="3462" customWidth="1"/>
    <col min="7949" max="7952" width="8.125" style="3462" customWidth="1"/>
    <col min="7953" max="8192" width="9" style="3462"/>
    <col min="8193" max="8193" width="6.375" style="3462" customWidth="1"/>
    <col min="8194" max="8194" width="19.375" style="3462" customWidth="1"/>
    <col min="8195" max="8195" width="7" style="3462" customWidth="1"/>
    <col min="8196" max="8196" width="3.25" style="3462" customWidth="1"/>
    <col min="8197" max="8197" width="7.375" style="3462" customWidth="1"/>
    <col min="8198" max="8198" width="3.5" style="3462" customWidth="1"/>
    <col min="8199" max="8199" width="19.375" style="3462" customWidth="1"/>
    <col min="8200" max="8200" width="19.5" style="3462" customWidth="1"/>
    <col min="8201" max="8201" width="8.625" style="3462" customWidth="1"/>
    <col min="8202" max="8202" width="10.5" style="3462" customWidth="1"/>
    <col min="8203" max="8203" width="4.875" style="3462" customWidth="1"/>
    <col min="8204" max="8204" width="16.375" style="3462" customWidth="1"/>
    <col min="8205" max="8208" width="8.125" style="3462" customWidth="1"/>
    <col min="8209" max="8448" width="9" style="3462"/>
    <col min="8449" max="8449" width="6.375" style="3462" customWidth="1"/>
    <col min="8450" max="8450" width="19.375" style="3462" customWidth="1"/>
    <col min="8451" max="8451" width="7" style="3462" customWidth="1"/>
    <col min="8452" max="8452" width="3.25" style="3462" customWidth="1"/>
    <col min="8453" max="8453" width="7.375" style="3462" customWidth="1"/>
    <col min="8454" max="8454" width="3.5" style="3462" customWidth="1"/>
    <col min="8455" max="8455" width="19.375" style="3462" customWidth="1"/>
    <col min="8456" max="8456" width="19.5" style="3462" customWidth="1"/>
    <col min="8457" max="8457" width="8.625" style="3462" customWidth="1"/>
    <col min="8458" max="8458" width="10.5" style="3462" customWidth="1"/>
    <col min="8459" max="8459" width="4.875" style="3462" customWidth="1"/>
    <col min="8460" max="8460" width="16.375" style="3462" customWidth="1"/>
    <col min="8461" max="8464" width="8.125" style="3462" customWidth="1"/>
    <col min="8465" max="8704" width="9" style="3462"/>
    <col min="8705" max="8705" width="6.375" style="3462" customWidth="1"/>
    <col min="8706" max="8706" width="19.375" style="3462" customWidth="1"/>
    <col min="8707" max="8707" width="7" style="3462" customWidth="1"/>
    <col min="8708" max="8708" width="3.25" style="3462" customWidth="1"/>
    <col min="8709" max="8709" width="7.375" style="3462" customWidth="1"/>
    <col min="8710" max="8710" width="3.5" style="3462" customWidth="1"/>
    <col min="8711" max="8711" width="19.375" style="3462" customWidth="1"/>
    <col min="8712" max="8712" width="19.5" style="3462" customWidth="1"/>
    <col min="8713" max="8713" width="8.625" style="3462" customWidth="1"/>
    <col min="8714" max="8714" width="10.5" style="3462" customWidth="1"/>
    <col min="8715" max="8715" width="4.875" style="3462" customWidth="1"/>
    <col min="8716" max="8716" width="16.375" style="3462" customWidth="1"/>
    <col min="8717" max="8720" width="8.125" style="3462" customWidth="1"/>
    <col min="8721" max="8960" width="9" style="3462"/>
    <col min="8961" max="8961" width="6.375" style="3462" customWidth="1"/>
    <col min="8962" max="8962" width="19.375" style="3462" customWidth="1"/>
    <col min="8963" max="8963" width="7" style="3462" customWidth="1"/>
    <col min="8964" max="8964" width="3.25" style="3462" customWidth="1"/>
    <col min="8965" max="8965" width="7.375" style="3462" customWidth="1"/>
    <col min="8966" max="8966" width="3.5" style="3462" customWidth="1"/>
    <col min="8967" max="8967" width="19.375" style="3462" customWidth="1"/>
    <col min="8968" max="8968" width="19.5" style="3462" customWidth="1"/>
    <col min="8969" max="8969" width="8.625" style="3462" customWidth="1"/>
    <col min="8970" max="8970" width="10.5" style="3462" customWidth="1"/>
    <col min="8971" max="8971" width="4.875" style="3462" customWidth="1"/>
    <col min="8972" max="8972" width="16.375" style="3462" customWidth="1"/>
    <col min="8973" max="8976" width="8.125" style="3462" customWidth="1"/>
    <col min="8977" max="9216" width="9" style="3462"/>
    <col min="9217" max="9217" width="6.375" style="3462" customWidth="1"/>
    <col min="9218" max="9218" width="19.375" style="3462" customWidth="1"/>
    <col min="9219" max="9219" width="7" style="3462" customWidth="1"/>
    <col min="9220" max="9220" width="3.25" style="3462" customWidth="1"/>
    <col min="9221" max="9221" width="7.375" style="3462" customWidth="1"/>
    <col min="9222" max="9222" width="3.5" style="3462" customWidth="1"/>
    <col min="9223" max="9223" width="19.375" style="3462" customWidth="1"/>
    <col min="9224" max="9224" width="19.5" style="3462" customWidth="1"/>
    <col min="9225" max="9225" width="8.625" style="3462" customWidth="1"/>
    <col min="9226" max="9226" width="10.5" style="3462" customWidth="1"/>
    <col min="9227" max="9227" width="4.875" style="3462" customWidth="1"/>
    <col min="9228" max="9228" width="16.375" style="3462" customWidth="1"/>
    <col min="9229" max="9232" width="8.125" style="3462" customWidth="1"/>
    <col min="9233" max="9472" width="9" style="3462"/>
    <col min="9473" max="9473" width="6.375" style="3462" customWidth="1"/>
    <col min="9474" max="9474" width="19.375" style="3462" customWidth="1"/>
    <col min="9475" max="9475" width="7" style="3462" customWidth="1"/>
    <col min="9476" max="9476" width="3.25" style="3462" customWidth="1"/>
    <col min="9477" max="9477" width="7.375" style="3462" customWidth="1"/>
    <col min="9478" max="9478" width="3.5" style="3462" customWidth="1"/>
    <col min="9479" max="9479" width="19.375" style="3462" customWidth="1"/>
    <col min="9480" max="9480" width="19.5" style="3462" customWidth="1"/>
    <col min="9481" max="9481" width="8.625" style="3462" customWidth="1"/>
    <col min="9482" max="9482" width="10.5" style="3462" customWidth="1"/>
    <col min="9483" max="9483" width="4.875" style="3462" customWidth="1"/>
    <col min="9484" max="9484" width="16.375" style="3462" customWidth="1"/>
    <col min="9485" max="9488" width="8.125" style="3462" customWidth="1"/>
    <col min="9489" max="9728" width="9" style="3462"/>
    <col min="9729" max="9729" width="6.375" style="3462" customWidth="1"/>
    <col min="9730" max="9730" width="19.375" style="3462" customWidth="1"/>
    <col min="9731" max="9731" width="7" style="3462" customWidth="1"/>
    <col min="9732" max="9732" width="3.25" style="3462" customWidth="1"/>
    <col min="9733" max="9733" width="7.375" style="3462" customWidth="1"/>
    <col min="9734" max="9734" width="3.5" style="3462" customWidth="1"/>
    <col min="9735" max="9735" width="19.375" style="3462" customWidth="1"/>
    <col min="9736" max="9736" width="19.5" style="3462" customWidth="1"/>
    <col min="9737" max="9737" width="8.625" style="3462" customWidth="1"/>
    <col min="9738" max="9738" width="10.5" style="3462" customWidth="1"/>
    <col min="9739" max="9739" width="4.875" style="3462" customWidth="1"/>
    <col min="9740" max="9740" width="16.375" style="3462" customWidth="1"/>
    <col min="9741" max="9744" width="8.125" style="3462" customWidth="1"/>
    <col min="9745" max="9984" width="9" style="3462"/>
    <col min="9985" max="9985" width="6.375" style="3462" customWidth="1"/>
    <col min="9986" max="9986" width="19.375" style="3462" customWidth="1"/>
    <col min="9987" max="9987" width="7" style="3462" customWidth="1"/>
    <col min="9988" max="9988" width="3.25" style="3462" customWidth="1"/>
    <col min="9989" max="9989" width="7.375" style="3462" customWidth="1"/>
    <col min="9990" max="9990" width="3.5" style="3462" customWidth="1"/>
    <col min="9991" max="9991" width="19.375" style="3462" customWidth="1"/>
    <col min="9992" max="9992" width="19.5" style="3462" customWidth="1"/>
    <col min="9993" max="9993" width="8.625" style="3462" customWidth="1"/>
    <col min="9994" max="9994" width="10.5" style="3462" customWidth="1"/>
    <col min="9995" max="9995" width="4.875" style="3462" customWidth="1"/>
    <col min="9996" max="9996" width="16.375" style="3462" customWidth="1"/>
    <col min="9997" max="10000" width="8.125" style="3462" customWidth="1"/>
    <col min="10001" max="10240" width="9" style="3462"/>
    <col min="10241" max="10241" width="6.375" style="3462" customWidth="1"/>
    <col min="10242" max="10242" width="19.375" style="3462" customWidth="1"/>
    <col min="10243" max="10243" width="7" style="3462" customWidth="1"/>
    <col min="10244" max="10244" width="3.25" style="3462" customWidth="1"/>
    <col min="10245" max="10245" width="7.375" style="3462" customWidth="1"/>
    <col min="10246" max="10246" width="3.5" style="3462" customWidth="1"/>
    <col min="10247" max="10247" width="19.375" style="3462" customWidth="1"/>
    <col min="10248" max="10248" width="19.5" style="3462" customWidth="1"/>
    <col min="10249" max="10249" width="8.625" style="3462" customWidth="1"/>
    <col min="10250" max="10250" width="10.5" style="3462" customWidth="1"/>
    <col min="10251" max="10251" width="4.875" style="3462" customWidth="1"/>
    <col min="10252" max="10252" width="16.375" style="3462" customWidth="1"/>
    <col min="10253" max="10256" width="8.125" style="3462" customWidth="1"/>
    <col min="10257" max="10496" width="9" style="3462"/>
    <col min="10497" max="10497" width="6.375" style="3462" customWidth="1"/>
    <col min="10498" max="10498" width="19.375" style="3462" customWidth="1"/>
    <col min="10499" max="10499" width="7" style="3462" customWidth="1"/>
    <col min="10500" max="10500" width="3.25" style="3462" customWidth="1"/>
    <col min="10501" max="10501" width="7.375" style="3462" customWidth="1"/>
    <col min="10502" max="10502" width="3.5" style="3462" customWidth="1"/>
    <col min="10503" max="10503" width="19.375" style="3462" customWidth="1"/>
    <col min="10504" max="10504" width="19.5" style="3462" customWidth="1"/>
    <col min="10505" max="10505" width="8.625" style="3462" customWidth="1"/>
    <col min="10506" max="10506" width="10.5" style="3462" customWidth="1"/>
    <col min="10507" max="10507" width="4.875" style="3462" customWidth="1"/>
    <col min="10508" max="10508" width="16.375" style="3462" customWidth="1"/>
    <col min="10509" max="10512" width="8.125" style="3462" customWidth="1"/>
    <col min="10513" max="10752" width="9" style="3462"/>
    <col min="10753" max="10753" width="6.375" style="3462" customWidth="1"/>
    <col min="10754" max="10754" width="19.375" style="3462" customWidth="1"/>
    <col min="10755" max="10755" width="7" style="3462" customWidth="1"/>
    <col min="10756" max="10756" width="3.25" style="3462" customWidth="1"/>
    <col min="10757" max="10757" width="7.375" style="3462" customWidth="1"/>
    <col min="10758" max="10758" width="3.5" style="3462" customWidth="1"/>
    <col min="10759" max="10759" width="19.375" style="3462" customWidth="1"/>
    <col min="10760" max="10760" width="19.5" style="3462" customWidth="1"/>
    <col min="10761" max="10761" width="8.625" style="3462" customWidth="1"/>
    <col min="10762" max="10762" width="10.5" style="3462" customWidth="1"/>
    <col min="10763" max="10763" width="4.875" style="3462" customWidth="1"/>
    <col min="10764" max="10764" width="16.375" style="3462" customWidth="1"/>
    <col min="10765" max="10768" width="8.125" style="3462" customWidth="1"/>
    <col min="10769" max="11008" width="9" style="3462"/>
    <col min="11009" max="11009" width="6.375" style="3462" customWidth="1"/>
    <col min="11010" max="11010" width="19.375" style="3462" customWidth="1"/>
    <col min="11011" max="11011" width="7" style="3462" customWidth="1"/>
    <col min="11012" max="11012" width="3.25" style="3462" customWidth="1"/>
    <col min="11013" max="11013" width="7.375" style="3462" customWidth="1"/>
    <col min="11014" max="11014" width="3.5" style="3462" customWidth="1"/>
    <col min="11015" max="11015" width="19.375" style="3462" customWidth="1"/>
    <col min="11016" max="11016" width="19.5" style="3462" customWidth="1"/>
    <col min="11017" max="11017" width="8.625" style="3462" customWidth="1"/>
    <col min="11018" max="11018" width="10.5" style="3462" customWidth="1"/>
    <col min="11019" max="11019" width="4.875" style="3462" customWidth="1"/>
    <col min="11020" max="11020" width="16.375" style="3462" customWidth="1"/>
    <col min="11021" max="11024" width="8.125" style="3462" customWidth="1"/>
    <col min="11025" max="11264" width="9" style="3462"/>
    <col min="11265" max="11265" width="6.375" style="3462" customWidth="1"/>
    <col min="11266" max="11266" width="19.375" style="3462" customWidth="1"/>
    <col min="11267" max="11267" width="7" style="3462" customWidth="1"/>
    <col min="11268" max="11268" width="3.25" style="3462" customWidth="1"/>
    <col min="11269" max="11269" width="7.375" style="3462" customWidth="1"/>
    <col min="11270" max="11270" width="3.5" style="3462" customWidth="1"/>
    <col min="11271" max="11271" width="19.375" style="3462" customWidth="1"/>
    <col min="11272" max="11272" width="19.5" style="3462" customWidth="1"/>
    <col min="11273" max="11273" width="8.625" style="3462" customWidth="1"/>
    <col min="11274" max="11274" width="10.5" style="3462" customWidth="1"/>
    <col min="11275" max="11275" width="4.875" style="3462" customWidth="1"/>
    <col min="11276" max="11276" width="16.375" style="3462" customWidth="1"/>
    <col min="11277" max="11280" width="8.125" style="3462" customWidth="1"/>
    <col min="11281" max="11520" width="9" style="3462"/>
    <col min="11521" max="11521" width="6.375" style="3462" customWidth="1"/>
    <col min="11522" max="11522" width="19.375" style="3462" customWidth="1"/>
    <col min="11523" max="11523" width="7" style="3462" customWidth="1"/>
    <col min="11524" max="11524" width="3.25" style="3462" customWidth="1"/>
    <col min="11525" max="11525" width="7.375" style="3462" customWidth="1"/>
    <col min="11526" max="11526" width="3.5" style="3462" customWidth="1"/>
    <col min="11527" max="11527" width="19.375" style="3462" customWidth="1"/>
    <col min="11528" max="11528" width="19.5" style="3462" customWidth="1"/>
    <col min="11529" max="11529" width="8.625" style="3462" customWidth="1"/>
    <col min="11530" max="11530" width="10.5" style="3462" customWidth="1"/>
    <col min="11531" max="11531" width="4.875" style="3462" customWidth="1"/>
    <col min="11532" max="11532" width="16.375" style="3462" customWidth="1"/>
    <col min="11533" max="11536" width="8.125" style="3462" customWidth="1"/>
    <col min="11537" max="11776" width="9" style="3462"/>
    <col min="11777" max="11777" width="6.375" style="3462" customWidth="1"/>
    <col min="11778" max="11778" width="19.375" style="3462" customWidth="1"/>
    <col min="11779" max="11779" width="7" style="3462" customWidth="1"/>
    <col min="11780" max="11780" width="3.25" style="3462" customWidth="1"/>
    <col min="11781" max="11781" width="7.375" style="3462" customWidth="1"/>
    <col min="11782" max="11782" width="3.5" style="3462" customWidth="1"/>
    <col min="11783" max="11783" width="19.375" style="3462" customWidth="1"/>
    <col min="11784" max="11784" width="19.5" style="3462" customWidth="1"/>
    <col min="11785" max="11785" width="8.625" style="3462" customWidth="1"/>
    <col min="11786" max="11786" width="10.5" style="3462" customWidth="1"/>
    <col min="11787" max="11787" width="4.875" style="3462" customWidth="1"/>
    <col min="11788" max="11788" width="16.375" style="3462" customWidth="1"/>
    <col min="11789" max="11792" width="8.125" style="3462" customWidth="1"/>
    <col min="11793" max="12032" width="9" style="3462"/>
    <col min="12033" max="12033" width="6.375" style="3462" customWidth="1"/>
    <col min="12034" max="12034" width="19.375" style="3462" customWidth="1"/>
    <col min="12035" max="12035" width="7" style="3462" customWidth="1"/>
    <col min="12036" max="12036" width="3.25" style="3462" customWidth="1"/>
    <col min="12037" max="12037" width="7.375" style="3462" customWidth="1"/>
    <col min="12038" max="12038" width="3.5" style="3462" customWidth="1"/>
    <col min="12039" max="12039" width="19.375" style="3462" customWidth="1"/>
    <col min="12040" max="12040" width="19.5" style="3462" customWidth="1"/>
    <col min="12041" max="12041" width="8.625" style="3462" customWidth="1"/>
    <col min="12042" max="12042" width="10.5" style="3462" customWidth="1"/>
    <col min="12043" max="12043" width="4.875" style="3462" customWidth="1"/>
    <col min="12044" max="12044" width="16.375" style="3462" customWidth="1"/>
    <col min="12045" max="12048" width="8.125" style="3462" customWidth="1"/>
    <col min="12049" max="12288" width="9" style="3462"/>
    <col min="12289" max="12289" width="6.375" style="3462" customWidth="1"/>
    <col min="12290" max="12290" width="19.375" style="3462" customWidth="1"/>
    <col min="12291" max="12291" width="7" style="3462" customWidth="1"/>
    <col min="12292" max="12292" width="3.25" style="3462" customWidth="1"/>
    <col min="12293" max="12293" width="7.375" style="3462" customWidth="1"/>
    <col min="12294" max="12294" width="3.5" style="3462" customWidth="1"/>
    <col min="12295" max="12295" width="19.375" style="3462" customWidth="1"/>
    <col min="12296" max="12296" width="19.5" style="3462" customWidth="1"/>
    <col min="12297" max="12297" width="8.625" style="3462" customWidth="1"/>
    <col min="12298" max="12298" width="10.5" style="3462" customWidth="1"/>
    <col min="12299" max="12299" width="4.875" style="3462" customWidth="1"/>
    <col min="12300" max="12300" width="16.375" style="3462" customWidth="1"/>
    <col min="12301" max="12304" width="8.125" style="3462" customWidth="1"/>
    <col min="12305" max="12544" width="9" style="3462"/>
    <col min="12545" max="12545" width="6.375" style="3462" customWidth="1"/>
    <col min="12546" max="12546" width="19.375" style="3462" customWidth="1"/>
    <col min="12547" max="12547" width="7" style="3462" customWidth="1"/>
    <col min="12548" max="12548" width="3.25" style="3462" customWidth="1"/>
    <col min="12549" max="12549" width="7.375" style="3462" customWidth="1"/>
    <col min="12550" max="12550" width="3.5" style="3462" customWidth="1"/>
    <col min="12551" max="12551" width="19.375" style="3462" customWidth="1"/>
    <col min="12552" max="12552" width="19.5" style="3462" customWidth="1"/>
    <col min="12553" max="12553" width="8.625" style="3462" customWidth="1"/>
    <col min="12554" max="12554" width="10.5" style="3462" customWidth="1"/>
    <col min="12555" max="12555" width="4.875" style="3462" customWidth="1"/>
    <col min="12556" max="12556" width="16.375" style="3462" customWidth="1"/>
    <col min="12557" max="12560" width="8.125" style="3462" customWidth="1"/>
    <col min="12561" max="12800" width="9" style="3462"/>
    <col min="12801" max="12801" width="6.375" style="3462" customWidth="1"/>
    <col min="12802" max="12802" width="19.375" style="3462" customWidth="1"/>
    <col min="12803" max="12803" width="7" style="3462" customWidth="1"/>
    <col min="12804" max="12804" width="3.25" style="3462" customWidth="1"/>
    <col min="12805" max="12805" width="7.375" style="3462" customWidth="1"/>
    <col min="12806" max="12806" width="3.5" style="3462" customWidth="1"/>
    <col min="12807" max="12807" width="19.375" style="3462" customWidth="1"/>
    <col min="12808" max="12808" width="19.5" style="3462" customWidth="1"/>
    <col min="12809" max="12809" width="8.625" style="3462" customWidth="1"/>
    <col min="12810" max="12810" width="10.5" style="3462" customWidth="1"/>
    <col min="12811" max="12811" width="4.875" style="3462" customWidth="1"/>
    <col min="12812" max="12812" width="16.375" style="3462" customWidth="1"/>
    <col min="12813" max="12816" width="8.125" style="3462" customWidth="1"/>
    <col min="12817" max="13056" width="9" style="3462"/>
    <col min="13057" max="13057" width="6.375" style="3462" customWidth="1"/>
    <col min="13058" max="13058" width="19.375" style="3462" customWidth="1"/>
    <col min="13059" max="13059" width="7" style="3462" customWidth="1"/>
    <col min="13060" max="13060" width="3.25" style="3462" customWidth="1"/>
    <col min="13061" max="13061" width="7.375" style="3462" customWidth="1"/>
    <col min="13062" max="13062" width="3.5" style="3462" customWidth="1"/>
    <col min="13063" max="13063" width="19.375" style="3462" customWidth="1"/>
    <col min="13064" max="13064" width="19.5" style="3462" customWidth="1"/>
    <col min="13065" max="13065" width="8.625" style="3462" customWidth="1"/>
    <col min="13066" max="13066" width="10.5" style="3462" customWidth="1"/>
    <col min="13067" max="13067" width="4.875" style="3462" customWidth="1"/>
    <col min="13068" max="13068" width="16.375" style="3462" customWidth="1"/>
    <col min="13069" max="13072" width="8.125" style="3462" customWidth="1"/>
    <col min="13073" max="13312" width="9" style="3462"/>
    <col min="13313" max="13313" width="6.375" style="3462" customWidth="1"/>
    <col min="13314" max="13314" width="19.375" style="3462" customWidth="1"/>
    <col min="13315" max="13315" width="7" style="3462" customWidth="1"/>
    <col min="13316" max="13316" width="3.25" style="3462" customWidth="1"/>
    <col min="13317" max="13317" width="7.375" style="3462" customWidth="1"/>
    <col min="13318" max="13318" width="3.5" style="3462" customWidth="1"/>
    <col min="13319" max="13319" width="19.375" style="3462" customWidth="1"/>
    <col min="13320" max="13320" width="19.5" style="3462" customWidth="1"/>
    <col min="13321" max="13321" width="8.625" style="3462" customWidth="1"/>
    <col min="13322" max="13322" width="10.5" style="3462" customWidth="1"/>
    <col min="13323" max="13323" width="4.875" style="3462" customWidth="1"/>
    <col min="13324" max="13324" width="16.375" style="3462" customWidth="1"/>
    <col min="13325" max="13328" width="8.125" style="3462" customWidth="1"/>
    <col min="13329" max="13568" width="9" style="3462"/>
    <col min="13569" max="13569" width="6.375" style="3462" customWidth="1"/>
    <col min="13570" max="13570" width="19.375" style="3462" customWidth="1"/>
    <col min="13571" max="13571" width="7" style="3462" customWidth="1"/>
    <col min="13572" max="13572" width="3.25" style="3462" customWidth="1"/>
    <col min="13573" max="13573" width="7.375" style="3462" customWidth="1"/>
    <col min="13574" max="13574" width="3.5" style="3462" customWidth="1"/>
    <col min="13575" max="13575" width="19.375" style="3462" customWidth="1"/>
    <col min="13576" max="13576" width="19.5" style="3462" customWidth="1"/>
    <col min="13577" max="13577" width="8.625" style="3462" customWidth="1"/>
    <col min="13578" max="13578" width="10.5" style="3462" customWidth="1"/>
    <col min="13579" max="13579" width="4.875" style="3462" customWidth="1"/>
    <col min="13580" max="13580" width="16.375" style="3462" customWidth="1"/>
    <col min="13581" max="13584" width="8.125" style="3462" customWidth="1"/>
    <col min="13585" max="13824" width="9" style="3462"/>
    <col min="13825" max="13825" width="6.375" style="3462" customWidth="1"/>
    <col min="13826" max="13826" width="19.375" style="3462" customWidth="1"/>
    <col min="13827" max="13827" width="7" style="3462" customWidth="1"/>
    <col min="13828" max="13828" width="3.25" style="3462" customWidth="1"/>
    <col min="13829" max="13829" width="7.375" style="3462" customWidth="1"/>
    <col min="13830" max="13830" width="3.5" style="3462" customWidth="1"/>
    <col min="13831" max="13831" width="19.375" style="3462" customWidth="1"/>
    <col min="13832" max="13832" width="19.5" style="3462" customWidth="1"/>
    <col min="13833" max="13833" width="8.625" style="3462" customWidth="1"/>
    <col min="13834" max="13834" width="10.5" style="3462" customWidth="1"/>
    <col min="13835" max="13835" width="4.875" style="3462" customWidth="1"/>
    <col min="13836" max="13836" width="16.375" style="3462" customWidth="1"/>
    <col min="13837" max="13840" width="8.125" style="3462" customWidth="1"/>
    <col min="13841" max="14080" width="9" style="3462"/>
    <col min="14081" max="14081" width="6.375" style="3462" customWidth="1"/>
    <col min="14082" max="14082" width="19.375" style="3462" customWidth="1"/>
    <col min="14083" max="14083" width="7" style="3462" customWidth="1"/>
    <col min="14084" max="14084" width="3.25" style="3462" customWidth="1"/>
    <col min="14085" max="14085" width="7.375" style="3462" customWidth="1"/>
    <col min="14086" max="14086" width="3.5" style="3462" customWidth="1"/>
    <col min="14087" max="14087" width="19.375" style="3462" customWidth="1"/>
    <col min="14088" max="14088" width="19.5" style="3462" customWidth="1"/>
    <col min="14089" max="14089" width="8.625" style="3462" customWidth="1"/>
    <col min="14090" max="14090" width="10.5" style="3462" customWidth="1"/>
    <col min="14091" max="14091" width="4.875" style="3462" customWidth="1"/>
    <col min="14092" max="14092" width="16.375" style="3462" customWidth="1"/>
    <col min="14093" max="14096" width="8.125" style="3462" customWidth="1"/>
    <col min="14097" max="14336" width="9" style="3462"/>
    <col min="14337" max="14337" width="6.375" style="3462" customWidth="1"/>
    <col min="14338" max="14338" width="19.375" style="3462" customWidth="1"/>
    <col min="14339" max="14339" width="7" style="3462" customWidth="1"/>
    <col min="14340" max="14340" width="3.25" style="3462" customWidth="1"/>
    <col min="14341" max="14341" width="7.375" style="3462" customWidth="1"/>
    <col min="14342" max="14342" width="3.5" style="3462" customWidth="1"/>
    <col min="14343" max="14343" width="19.375" style="3462" customWidth="1"/>
    <col min="14344" max="14344" width="19.5" style="3462" customWidth="1"/>
    <col min="14345" max="14345" width="8.625" style="3462" customWidth="1"/>
    <col min="14346" max="14346" width="10.5" style="3462" customWidth="1"/>
    <col min="14347" max="14347" width="4.875" style="3462" customWidth="1"/>
    <col min="14348" max="14348" width="16.375" style="3462" customWidth="1"/>
    <col min="14349" max="14352" width="8.125" style="3462" customWidth="1"/>
    <col min="14353" max="14592" width="9" style="3462"/>
    <col min="14593" max="14593" width="6.375" style="3462" customWidth="1"/>
    <col min="14594" max="14594" width="19.375" style="3462" customWidth="1"/>
    <col min="14595" max="14595" width="7" style="3462" customWidth="1"/>
    <col min="14596" max="14596" width="3.25" style="3462" customWidth="1"/>
    <col min="14597" max="14597" width="7.375" style="3462" customWidth="1"/>
    <col min="14598" max="14598" width="3.5" style="3462" customWidth="1"/>
    <col min="14599" max="14599" width="19.375" style="3462" customWidth="1"/>
    <col min="14600" max="14600" width="19.5" style="3462" customWidth="1"/>
    <col min="14601" max="14601" width="8.625" style="3462" customWidth="1"/>
    <col min="14602" max="14602" width="10.5" style="3462" customWidth="1"/>
    <col min="14603" max="14603" width="4.875" style="3462" customWidth="1"/>
    <col min="14604" max="14604" width="16.375" style="3462" customWidth="1"/>
    <col min="14605" max="14608" width="8.125" style="3462" customWidth="1"/>
    <col min="14609" max="14848" width="9" style="3462"/>
    <col min="14849" max="14849" width="6.375" style="3462" customWidth="1"/>
    <col min="14850" max="14850" width="19.375" style="3462" customWidth="1"/>
    <col min="14851" max="14851" width="7" style="3462" customWidth="1"/>
    <col min="14852" max="14852" width="3.25" style="3462" customWidth="1"/>
    <col min="14853" max="14853" width="7.375" style="3462" customWidth="1"/>
    <col min="14854" max="14854" width="3.5" style="3462" customWidth="1"/>
    <col min="14855" max="14855" width="19.375" style="3462" customWidth="1"/>
    <col min="14856" max="14856" width="19.5" style="3462" customWidth="1"/>
    <col min="14857" max="14857" width="8.625" style="3462" customWidth="1"/>
    <col min="14858" max="14858" width="10.5" style="3462" customWidth="1"/>
    <col min="14859" max="14859" width="4.875" style="3462" customWidth="1"/>
    <col min="14860" max="14860" width="16.375" style="3462" customWidth="1"/>
    <col min="14861" max="14864" width="8.125" style="3462" customWidth="1"/>
    <col min="14865" max="15104" width="9" style="3462"/>
    <col min="15105" max="15105" width="6.375" style="3462" customWidth="1"/>
    <col min="15106" max="15106" width="19.375" style="3462" customWidth="1"/>
    <col min="15107" max="15107" width="7" style="3462" customWidth="1"/>
    <col min="15108" max="15108" width="3.25" style="3462" customWidth="1"/>
    <col min="15109" max="15109" width="7.375" style="3462" customWidth="1"/>
    <col min="15110" max="15110" width="3.5" style="3462" customWidth="1"/>
    <col min="15111" max="15111" width="19.375" style="3462" customWidth="1"/>
    <col min="15112" max="15112" width="19.5" style="3462" customWidth="1"/>
    <col min="15113" max="15113" width="8.625" style="3462" customWidth="1"/>
    <col min="15114" max="15114" width="10.5" style="3462" customWidth="1"/>
    <col min="15115" max="15115" width="4.875" style="3462" customWidth="1"/>
    <col min="15116" max="15116" width="16.375" style="3462" customWidth="1"/>
    <col min="15117" max="15120" width="8.125" style="3462" customWidth="1"/>
    <col min="15121" max="15360" width="9" style="3462"/>
    <col min="15361" max="15361" width="6.375" style="3462" customWidth="1"/>
    <col min="15362" max="15362" width="19.375" style="3462" customWidth="1"/>
    <col min="15363" max="15363" width="7" style="3462" customWidth="1"/>
    <col min="15364" max="15364" width="3.25" style="3462" customWidth="1"/>
    <col min="15365" max="15365" width="7.375" style="3462" customWidth="1"/>
    <col min="15366" max="15366" width="3.5" style="3462" customWidth="1"/>
    <col min="15367" max="15367" width="19.375" style="3462" customWidth="1"/>
    <col min="15368" max="15368" width="19.5" style="3462" customWidth="1"/>
    <col min="15369" max="15369" width="8.625" style="3462" customWidth="1"/>
    <col min="15370" max="15370" width="10.5" style="3462" customWidth="1"/>
    <col min="15371" max="15371" width="4.875" style="3462" customWidth="1"/>
    <col min="15372" max="15372" width="16.375" style="3462" customWidth="1"/>
    <col min="15373" max="15376" width="8.125" style="3462" customWidth="1"/>
    <col min="15377" max="15616" width="9" style="3462"/>
    <col min="15617" max="15617" width="6.375" style="3462" customWidth="1"/>
    <col min="15618" max="15618" width="19.375" style="3462" customWidth="1"/>
    <col min="15619" max="15619" width="7" style="3462" customWidth="1"/>
    <col min="15620" max="15620" width="3.25" style="3462" customWidth="1"/>
    <col min="15621" max="15621" width="7.375" style="3462" customWidth="1"/>
    <col min="15622" max="15622" width="3.5" style="3462" customWidth="1"/>
    <col min="15623" max="15623" width="19.375" style="3462" customWidth="1"/>
    <col min="15624" max="15624" width="19.5" style="3462" customWidth="1"/>
    <col min="15625" max="15625" width="8.625" style="3462" customWidth="1"/>
    <col min="15626" max="15626" width="10.5" style="3462" customWidth="1"/>
    <col min="15627" max="15627" width="4.875" style="3462" customWidth="1"/>
    <col min="15628" max="15628" width="16.375" style="3462" customWidth="1"/>
    <col min="15629" max="15632" width="8.125" style="3462" customWidth="1"/>
    <col min="15633" max="15872" width="9" style="3462"/>
    <col min="15873" max="15873" width="6.375" style="3462" customWidth="1"/>
    <col min="15874" max="15874" width="19.375" style="3462" customWidth="1"/>
    <col min="15875" max="15875" width="7" style="3462" customWidth="1"/>
    <col min="15876" max="15876" width="3.25" style="3462" customWidth="1"/>
    <col min="15877" max="15877" width="7.375" style="3462" customWidth="1"/>
    <col min="15878" max="15878" width="3.5" style="3462" customWidth="1"/>
    <col min="15879" max="15879" width="19.375" style="3462" customWidth="1"/>
    <col min="15880" max="15880" width="19.5" style="3462" customWidth="1"/>
    <col min="15881" max="15881" width="8.625" style="3462" customWidth="1"/>
    <col min="15882" max="15882" width="10.5" style="3462" customWidth="1"/>
    <col min="15883" max="15883" width="4.875" style="3462" customWidth="1"/>
    <col min="15884" max="15884" width="16.375" style="3462" customWidth="1"/>
    <col min="15885" max="15888" width="8.125" style="3462" customWidth="1"/>
    <col min="15889" max="16128" width="9" style="3462"/>
    <col min="16129" max="16129" width="6.375" style="3462" customWidth="1"/>
    <col min="16130" max="16130" width="19.375" style="3462" customWidth="1"/>
    <col min="16131" max="16131" width="7" style="3462" customWidth="1"/>
    <col min="16132" max="16132" width="3.25" style="3462" customWidth="1"/>
    <col min="16133" max="16133" width="7.375" style="3462" customWidth="1"/>
    <col min="16134" max="16134" width="3.5" style="3462" customWidth="1"/>
    <col min="16135" max="16135" width="19.375" style="3462" customWidth="1"/>
    <col min="16136" max="16136" width="19.5" style="3462" customWidth="1"/>
    <col min="16137" max="16137" width="8.625" style="3462" customWidth="1"/>
    <col min="16138" max="16138" width="10.5" style="3462" customWidth="1"/>
    <col min="16139" max="16139" width="4.875" style="3462" customWidth="1"/>
    <col min="16140" max="16140" width="16.375" style="3462" customWidth="1"/>
    <col min="16141" max="16144" width="8.125" style="3462" customWidth="1"/>
    <col min="16145" max="16384" width="9" style="3462"/>
  </cols>
  <sheetData>
    <row r="1" spans="1:16">
      <c r="A1" s="3781" t="s">
        <v>3381</v>
      </c>
      <c r="B1" s="3781"/>
      <c r="C1" s="3781"/>
      <c r="D1" s="3781"/>
      <c r="E1" s="3781"/>
      <c r="F1" s="3781"/>
      <c r="G1" s="3781"/>
      <c r="H1" s="3781"/>
      <c r="I1" s="3781"/>
      <c r="K1" s="3782" t="s">
        <v>3382</v>
      </c>
      <c r="L1" s="3459" t="s">
        <v>3383</v>
      </c>
      <c r="M1" s="3460">
        <v>0</v>
      </c>
      <c r="N1" s="3461"/>
      <c r="O1" s="3461"/>
    </row>
    <row r="2" spans="1:16" ht="15.75" customHeight="1">
      <c r="A2" s="3463" t="s">
        <v>2647</v>
      </c>
      <c r="B2" s="3464" t="s">
        <v>3384</v>
      </c>
      <c r="C2" s="3783" t="s">
        <v>3385</v>
      </c>
      <c r="D2" s="3784"/>
      <c r="E2" s="3784"/>
      <c r="F2" s="3785"/>
      <c r="G2" s="3465" t="s">
        <v>3386</v>
      </c>
      <c r="H2" s="3786" t="s">
        <v>3387</v>
      </c>
      <c r="I2" s="3786"/>
      <c r="K2" s="3782"/>
      <c r="L2" s="3459" t="s">
        <v>3388</v>
      </c>
      <c r="M2" s="3466">
        <f>L26</f>
        <v>19</v>
      </c>
      <c r="N2" s="3467">
        <v>2004</v>
      </c>
      <c r="O2" s="3467"/>
    </row>
    <row r="3" spans="1:16">
      <c r="A3" s="3465" t="s">
        <v>3389</v>
      </c>
      <c r="B3" s="3468" t="s">
        <v>3390</v>
      </c>
      <c r="C3" s="3783">
        <f ca="1">'成本法 (元)'!C52</f>
        <v>4510307</v>
      </c>
      <c r="D3" s="3784"/>
      <c r="E3" s="3784"/>
      <c r="F3" s="3785"/>
      <c r="G3" s="3465" t="s">
        <v>3391</v>
      </c>
      <c r="H3" s="3468" t="s">
        <v>3392</v>
      </c>
      <c r="I3" s="3469">
        <f>'数据-汇总表'!F19</f>
        <v>512.87</v>
      </c>
      <c r="K3" s="3782"/>
      <c r="L3" s="3459" t="s">
        <v>3393</v>
      </c>
      <c r="M3" s="3470" t="s">
        <v>3560</v>
      </c>
      <c r="N3" s="3467"/>
      <c r="O3" s="3467"/>
    </row>
    <row r="4" spans="1:16">
      <c r="A4" s="3786" t="s">
        <v>3394</v>
      </c>
      <c r="B4" s="3787" t="s">
        <v>3395</v>
      </c>
      <c r="C4" s="3788">
        <f ca="1">ROUND(C3*(I4-I6)/(1-((1+I6)/(1+I4))^I5),0)</f>
        <v>179990</v>
      </c>
      <c r="D4" s="3789"/>
      <c r="E4" s="3789"/>
      <c r="F4" s="3790"/>
      <c r="G4" s="3786" t="s">
        <v>3396</v>
      </c>
      <c r="H4" s="3471" t="s">
        <v>3397</v>
      </c>
      <c r="I4" s="3472">
        <v>4.4999999999999998E-2</v>
      </c>
      <c r="K4" s="3782"/>
      <c r="L4" s="3459" t="s">
        <v>3398</v>
      </c>
      <c r="M4" s="3473">
        <f>ROUND(1-(1-M1)*M2/M3,2)</f>
        <v>0.68</v>
      </c>
      <c r="N4" s="3467"/>
      <c r="O4" s="3467"/>
    </row>
    <row r="5" spans="1:16" s="3477" customFormat="1" ht="18" customHeight="1">
      <c r="A5" s="3786"/>
      <c r="B5" s="3787"/>
      <c r="C5" s="3791"/>
      <c r="D5" s="3792"/>
      <c r="E5" s="3792"/>
      <c r="F5" s="3793"/>
      <c r="G5" s="3786"/>
      <c r="H5" s="3468" t="s">
        <v>3399</v>
      </c>
      <c r="I5" s="3474">
        <f>L27</f>
        <v>30</v>
      </c>
      <c r="J5" s="3475"/>
      <c r="K5" s="3782"/>
      <c r="L5" s="3459" t="s">
        <v>3400</v>
      </c>
      <c r="M5" s="3476">
        <v>0.5</v>
      </c>
      <c r="N5" s="3467"/>
      <c r="O5" s="3467"/>
    </row>
    <row r="6" spans="1:16" s="3477" customFormat="1" ht="18" customHeight="1">
      <c r="A6" s="3786"/>
      <c r="B6" s="3787"/>
      <c r="C6" s="3794"/>
      <c r="D6" s="3795"/>
      <c r="E6" s="3795"/>
      <c r="F6" s="3796"/>
      <c r="G6" s="3786"/>
      <c r="H6" s="3468" t="s">
        <v>3401</v>
      </c>
      <c r="I6" s="3472">
        <v>3.5000000000000003E-2</v>
      </c>
      <c r="J6" s="3478"/>
      <c r="K6" s="3797" t="s">
        <v>3402</v>
      </c>
      <c r="L6" s="3479" t="s">
        <v>3403</v>
      </c>
      <c r="M6" s="3480" t="s">
        <v>3404</v>
      </c>
      <c r="N6" s="3480" t="s">
        <v>3405</v>
      </c>
      <c r="O6" s="3480" t="s">
        <v>3406</v>
      </c>
      <c r="P6" s="3480" t="s">
        <v>3407</v>
      </c>
    </row>
    <row r="7" spans="1:16" s="3477" customFormat="1" ht="18" customHeight="1">
      <c r="A7" s="3465" t="s">
        <v>3408</v>
      </c>
      <c r="B7" s="3468" t="s">
        <v>3409</v>
      </c>
      <c r="C7" s="3798">
        <f ca="1">'成本法 (元)'!C51</f>
        <v>1414808</v>
      </c>
      <c r="D7" s="3799"/>
      <c r="E7" s="3799"/>
      <c r="F7" s="3800"/>
      <c r="G7" s="3465" t="s">
        <v>3410</v>
      </c>
      <c r="H7" s="3468" t="s">
        <v>3411</v>
      </c>
      <c r="I7" s="3481">
        <f>'数据-取费表'!N6</f>
        <v>0.68333333333333335</v>
      </c>
      <c r="K7" s="3797"/>
      <c r="L7" s="3479" t="s">
        <v>3412</v>
      </c>
      <c r="M7" s="3480">
        <v>100</v>
      </c>
      <c r="N7" s="3480" t="s">
        <v>3413</v>
      </c>
      <c r="O7" s="3480">
        <v>90</v>
      </c>
      <c r="P7" s="3482">
        <v>0.3</v>
      </c>
    </row>
    <row r="8" spans="1:16" s="3477" customFormat="1" ht="18" hidden="1" customHeight="1">
      <c r="A8" s="3463" t="s">
        <v>3414</v>
      </c>
      <c r="B8" s="3468" t="s">
        <v>3415</v>
      </c>
      <c r="C8" s="3798">
        <f>ROUND(I8*I3,0)</f>
        <v>1538610</v>
      </c>
      <c r="D8" s="3799"/>
      <c r="E8" s="3799"/>
      <c r="F8" s="3800"/>
      <c r="G8" s="3465" t="s">
        <v>3416</v>
      </c>
      <c r="H8" s="3468" t="s">
        <v>3417</v>
      </c>
      <c r="I8" s="3465">
        <f>'[1]数据-取费表'!L6</f>
        <v>3000</v>
      </c>
      <c r="J8" s="3483">
        <f>D35</f>
        <v>4.0999999999999996</v>
      </c>
      <c r="K8" s="3797"/>
      <c r="L8" s="3479" t="s">
        <v>3418</v>
      </c>
      <c r="M8" s="3480">
        <v>100</v>
      </c>
      <c r="N8" s="3480" t="s">
        <v>3413</v>
      </c>
      <c r="O8" s="3480">
        <v>90</v>
      </c>
      <c r="P8" s="3482">
        <v>0.5</v>
      </c>
    </row>
    <row r="9" spans="1:16" s="3477" customFormat="1" ht="18" hidden="1" customHeight="1">
      <c r="A9" s="3463" t="s">
        <v>3419</v>
      </c>
      <c r="B9" s="3468" t="s">
        <v>3420</v>
      </c>
      <c r="C9" s="3798">
        <f>ROUND(C8*H9,0)</f>
        <v>61544</v>
      </c>
      <c r="D9" s="3799"/>
      <c r="E9" s="3799"/>
      <c r="F9" s="3800"/>
      <c r="G9" s="3465" t="s">
        <v>3421</v>
      </c>
      <c r="H9" s="3801">
        <f>'[1]数据-取费表'!B33</f>
        <v>0.04</v>
      </c>
      <c r="I9" s="3801"/>
      <c r="J9" s="3483">
        <f ca="1">D36</f>
        <v>1.46</v>
      </c>
      <c r="K9" s="3797"/>
      <c r="L9" s="3479" t="s">
        <v>3422</v>
      </c>
      <c r="M9" s="3480">
        <v>100</v>
      </c>
      <c r="N9" s="3480" t="s">
        <v>3413</v>
      </c>
      <c r="O9" s="3480">
        <v>90</v>
      </c>
      <c r="P9" s="3482">
        <f>1-P7-P8</f>
        <v>0.19999999999999996</v>
      </c>
    </row>
    <row r="10" spans="1:16" s="3477" customFormat="1" ht="18" hidden="1" customHeight="1">
      <c r="A10" s="3463" t="s">
        <v>3423</v>
      </c>
      <c r="B10" s="3468" t="s">
        <v>3424</v>
      </c>
      <c r="C10" s="3798">
        <f>ROUND(C8*H10,0)</f>
        <v>0</v>
      </c>
      <c r="D10" s="3799"/>
      <c r="E10" s="3799"/>
      <c r="F10" s="3800"/>
      <c r="G10" s="3465" t="s">
        <v>3421</v>
      </c>
      <c r="H10" s="3801">
        <f>'[1]数据-取费表'!B34</f>
        <v>0</v>
      </c>
      <c r="I10" s="3801"/>
      <c r="J10" s="3483">
        <f ca="1">D37</f>
        <v>3.04</v>
      </c>
      <c r="K10" s="3797"/>
      <c r="L10" s="3484" t="s">
        <v>3400</v>
      </c>
      <c r="M10" s="3485">
        <f>1-M5</f>
        <v>0.5</v>
      </c>
      <c r="N10" s="3480" t="s">
        <v>3398</v>
      </c>
      <c r="O10" s="3486">
        <f>ROUND((O7*P7+O8*P8+O9*P9)/100,2)</f>
        <v>0.9</v>
      </c>
      <c r="P10" s="3487"/>
    </row>
    <row r="11" spans="1:16" s="3477" customFormat="1" ht="29.25" hidden="1" customHeight="1">
      <c r="A11" s="3463" t="s">
        <v>3425</v>
      </c>
      <c r="B11" s="3468" t="s">
        <v>3426</v>
      </c>
      <c r="C11" s="3798">
        <f>ROUND(I11*I3,0)</f>
        <v>102574</v>
      </c>
      <c r="D11" s="3799"/>
      <c r="E11" s="3799"/>
      <c r="F11" s="3800"/>
      <c r="G11" s="3465" t="s">
        <v>3427</v>
      </c>
      <c r="H11" s="3468" t="s">
        <v>3428</v>
      </c>
      <c r="I11" s="3465">
        <f>'[1]数据-取费表'!B28</f>
        <v>200</v>
      </c>
      <c r="J11" s="3475"/>
      <c r="K11" s="3458"/>
      <c r="L11" s="3458"/>
    </row>
    <row r="12" spans="1:16" s="3477" customFormat="1" ht="18" hidden="1" customHeight="1">
      <c r="A12" s="3463" t="s">
        <v>3429</v>
      </c>
      <c r="B12" s="3468" t="s">
        <v>3430</v>
      </c>
      <c r="C12" s="3798">
        <f>ROUND(C8*H12,0)</f>
        <v>23079</v>
      </c>
      <c r="D12" s="3799"/>
      <c r="E12" s="3799"/>
      <c r="F12" s="3800"/>
      <c r="G12" s="3465" t="s">
        <v>3421</v>
      </c>
      <c r="H12" s="3801">
        <f>'[1]数据-取费表'!B36</f>
        <v>1.4999999999999999E-2</v>
      </c>
      <c r="I12" s="3801"/>
      <c r="J12" s="3488" t="s">
        <v>3431</v>
      </c>
      <c r="L12" s="3489"/>
    </row>
    <row r="13" spans="1:16" s="3477" customFormat="1" ht="18" hidden="1" customHeight="1">
      <c r="A13" s="3463" t="s">
        <v>438</v>
      </c>
      <c r="B13" s="3468" t="s">
        <v>3432</v>
      </c>
      <c r="C13" s="3798">
        <f>SUM(C8:F12)</f>
        <v>1725807</v>
      </c>
      <c r="D13" s="3799"/>
      <c r="E13" s="3799"/>
      <c r="F13" s="3800"/>
      <c r="G13" s="3786" t="s">
        <v>3433</v>
      </c>
      <c r="H13" s="3786"/>
      <c r="I13" s="3786"/>
      <c r="J13" s="3488" t="s">
        <v>3434</v>
      </c>
      <c r="L13" s="3489"/>
      <c r="N13" s="3477">
        <v>2011</v>
      </c>
    </row>
    <row r="14" spans="1:16" s="3477" customFormat="1" ht="18" hidden="1" customHeight="1">
      <c r="A14" s="3463" t="s">
        <v>3435</v>
      </c>
      <c r="B14" s="3468" t="s">
        <v>3436</v>
      </c>
      <c r="C14" s="3798">
        <f>ROUND(C13*H14,0)</f>
        <v>17258</v>
      </c>
      <c r="D14" s="3799"/>
      <c r="E14" s="3799"/>
      <c r="F14" s="3800"/>
      <c r="G14" s="3465" t="s">
        <v>3437</v>
      </c>
      <c r="H14" s="3801">
        <f>'[1]数据-取费表'!B37</f>
        <v>0.01</v>
      </c>
      <c r="I14" s="3801"/>
      <c r="J14" s="3475"/>
      <c r="L14" s="3489"/>
    </row>
    <row r="15" spans="1:16" s="3477" customFormat="1" ht="18" hidden="1" customHeight="1">
      <c r="A15" s="3463" t="s">
        <v>393</v>
      </c>
      <c r="B15" s="3468" t="s">
        <v>3438</v>
      </c>
      <c r="C15" s="3806">
        <f>H15</f>
        <v>0.01</v>
      </c>
      <c r="D15" s="3807"/>
      <c r="E15" s="3804" t="str">
        <f>E18</f>
        <v>V</v>
      </c>
      <c r="F15" s="3805"/>
      <c r="G15" s="3465" t="s">
        <v>3439</v>
      </c>
      <c r="H15" s="3801">
        <f>'[1]数据-取费表'!B38</f>
        <v>0.01</v>
      </c>
      <c r="I15" s="3801"/>
      <c r="J15" s="3490"/>
      <c r="K15" s="3491"/>
    </row>
    <row r="16" spans="1:16" s="3477" customFormat="1" ht="18" hidden="1" customHeight="1">
      <c r="A16" s="3492" t="s">
        <v>394</v>
      </c>
      <c r="B16" s="3493" t="s">
        <v>3440</v>
      </c>
      <c r="C16" s="3494">
        <f>C17</f>
        <v>37912</v>
      </c>
      <c r="D16" s="3495" t="s">
        <v>3441</v>
      </c>
      <c r="E16" s="3496">
        <f>C18</f>
        <v>2.175E-4</v>
      </c>
      <c r="F16" s="3497" t="str">
        <f>E18</f>
        <v>V</v>
      </c>
      <c r="G16" s="3783" t="s">
        <v>3442</v>
      </c>
      <c r="H16" s="3784"/>
      <c r="I16" s="3785"/>
      <c r="J16" s="3475"/>
      <c r="K16" s="3458"/>
    </row>
    <row r="17" spans="1:12" s="3477" customFormat="1" ht="18" hidden="1" customHeight="1">
      <c r="A17" s="3463" t="s">
        <v>3443</v>
      </c>
      <c r="B17" s="3468" t="s">
        <v>3444</v>
      </c>
      <c r="C17" s="3798">
        <f>ROUND((C13+C14)*I18*(I17/2),0)</f>
        <v>37912</v>
      </c>
      <c r="D17" s="3799"/>
      <c r="E17" s="3799"/>
      <c r="F17" s="3800"/>
      <c r="G17" s="3498" t="s">
        <v>3445</v>
      </c>
      <c r="H17" s="3468" t="s">
        <v>3446</v>
      </c>
      <c r="I17" s="3465">
        <f>'[1]数据-取费表'!B20</f>
        <v>1</v>
      </c>
      <c r="J17" s="3488" t="s">
        <v>3447</v>
      </c>
      <c r="K17" s="3458"/>
      <c r="L17" s="3458"/>
    </row>
    <row r="18" spans="1:12" s="3477" customFormat="1" ht="18" hidden="1" customHeight="1">
      <c r="A18" s="3463" t="s">
        <v>3448</v>
      </c>
      <c r="B18" s="3468" t="s">
        <v>3449</v>
      </c>
      <c r="C18" s="3802">
        <f>H15*I18*I17/2</f>
        <v>2.175E-4</v>
      </c>
      <c r="D18" s="3803"/>
      <c r="E18" s="3804" t="s">
        <v>3450</v>
      </c>
      <c r="F18" s="3805"/>
      <c r="G18" s="3498" t="s">
        <v>3451</v>
      </c>
      <c r="H18" s="3468" t="s">
        <v>3452</v>
      </c>
      <c r="I18" s="3499">
        <f>'[1]数据-取费表'!B40</f>
        <v>4.3499999999999997E-2</v>
      </c>
      <c r="J18" s="3488" t="s">
        <v>3453</v>
      </c>
      <c r="K18" s="3458"/>
      <c r="L18" s="3458"/>
    </row>
    <row r="19" spans="1:12" s="3477" customFormat="1" ht="27" hidden="1" customHeight="1">
      <c r="A19" s="3463" t="s">
        <v>395</v>
      </c>
      <c r="B19" s="3468" t="s">
        <v>3454</v>
      </c>
      <c r="C19" s="3494">
        <f>C20</f>
        <v>261460</v>
      </c>
      <c r="D19" s="3495" t="s">
        <v>3441</v>
      </c>
      <c r="E19" s="3495">
        <f>C21</f>
        <v>1.5E-3</v>
      </c>
      <c r="F19" s="3497" t="str">
        <f>E21</f>
        <v>V</v>
      </c>
      <c r="G19" s="3783" t="s">
        <v>3455</v>
      </c>
      <c r="H19" s="3784"/>
      <c r="I19" s="3785"/>
      <c r="J19" s="3475"/>
      <c r="K19" s="3458"/>
      <c r="L19" s="3458"/>
    </row>
    <row r="20" spans="1:12" s="3477" customFormat="1" ht="26.25" hidden="1" customHeight="1">
      <c r="A20" s="3463" t="s">
        <v>3456</v>
      </c>
      <c r="B20" s="3468" t="s">
        <v>3457</v>
      </c>
      <c r="C20" s="3798">
        <f>ROUND((C13+C14)*I20,0)</f>
        <v>261460</v>
      </c>
      <c r="D20" s="3799"/>
      <c r="E20" s="3799"/>
      <c r="F20" s="3800"/>
      <c r="G20" s="3465" t="s">
        <v>3458</v>
      </c>
      <c r="H20" s="3810" t="s">
        <v>3459</v>
      </c>
      <c r="I20" s="3812">
        <f>'[1]数据-取费表'!Q6</f>
        <v>0.15</v>
      </c>
      <c r="J20" s="3488" t="s">
        <v>3460</v>
      </c>
      <c r="K20" s="3458"/>
      <c r="L20" s="3458"/>
    </row>
    <row r="21" spans="1:12" s="3477" customFormat="1" ht="27" hidden="1" customHeight="1">
      <c r="A21" s="3463" t="s">
        <v>3456</v>
      </c>
      <c r="B21" s="3468" t="s">
        <v>3461</v>
      </c>
      <c r="C21" s="3806">
        <f>H15*I20</f>
        <v>1.5E-3</v>
      </c>
      <c r="D21" s="3807"/>
      <c r="E21" s="3804" t="s">
        <v>3450</v>
      </c>
      <c r="F21" s="3805"/>
      <c r="G21" s="3465" t="s">
        <v>3462</v>
      </c>
      <c r="H21" s="3811"/>
      <c r="I21" s="3812"/>
      <c r="J21" s="3475"/>
      <c r="K21" s="3458"/>
      <c r="L21" s="3458"/>
    </row>
    <row r="22" spans="1:12" s="3477" customFormat="1" ht="18" hidden="1" customHeight="1">
      <c r="A22" s="3463" t="s">
        <v>396</v>
      </c>
      <c r="B22" s="3468" t="s">
        <v>3463</v>
      </c>
      <c r="C22" s="3806">
        <f>ROUND(H22/1.05,4)</f>
        <v>5.33E-2</v>
      </c>
      <c r="D22" s="3807"/>
      <c r="E22" s="3804" t="s">
        <v>3450</v>
      </c>
      <c r="F22" s="3805"/>
      <c r="G22" s="3465" t="s">
        <v>3464</v>
      </c>
      <c r="H22" s="3801">
        <v>5.6000000000000001E-2</v>
      </c>
      <c r="I22" s="3801"/>
      <c r="J22" s="3500"/>
      <c r="K22" s="3458"/>
      <c r="L22" s="3458"/>
    </row>
    <row r="23" spans="1:12" s="3477" customFormat="1" ht="18" customHeight="1">
      <c r="A23" s="3463" t="s">
        <v>3465</v>
      </c>
      <c r="B23" s="3468" t="s">
        <v>3466</v>
      </c>
      <c r="C23" s="3798">
        <f ca="1">'成本法 (元)'!C49</f>
        <v>2071461</v>
      </c>
      <c r="D23" s="3799"/>
      <c r="E23" s="3799"/>
      <c r="F23" s="3800"/>
      <c r="G23" s="3783" t="s">
        <v>3467</v>
      </c>
      <c r="H23" s="3784"/>
      <c r="I23" s="3785"/>
      <c r="J23" s="3500"/>
      <c r="K23" s="3458"/>
      <c r="L23" s="3458"/>
    </row>
    <row r="24" spans="1:12" s="3477" customFormat="1" ht="18" customHeight="1">
      <c r="A24" s="3463" t="s">
        <v>3468</v>
      </c>
      <c r="B24" s="3468" t="s">
        <v>3469</v>
      </c>
      <c r="C24" s="3501">
        <f ca="1">C26+C27</f>
        <v>22130</v>
      </c>
      <c r="D24" s="3502" t="s">
        <v>3470</v>
      </c>
      <c r="E24" s="3808">
        <f>H25+H28</f>
        <v>0.13</v>
      </c>
      <c r="F24" s="3809"/>
      <c r="G24" s="3786" t="s">
        <v>3471</v>
      </c>
      <c r="H24" s="3786"/>
      <c r="I24" s="3786"/>
      <c r="J24" s="3500"/>
      <c r="K24" s="3458"/>
      <c r="L24" s="3458">
        <v>2004</v>
      </c>
    </row>
    <row r="25" spans="1:12" s="3477" customFormat="1" ht="18" customHeight="1">
      <c r="A25" s="3463" t="s">
        <v>438</v>
      </c>
      <c r="B25" s="3468" t="s">
        <v>3472</v>
      </c>
      <c r="C25" s="3821" t="s">
        <v>3473</v>
      </c>
      <c r="D25" s="3822"/>
      <c r="E25" s="3808">
        <f>H25</f>
        <v>0.12</v>
      </c>
      <c r="F25" s="3809"/>
      <c r="G25" s="3465" t="s">
        <v>3474</v>
      </c>
      <c r="H25" s="3813">
        <v>0.12</v>
      </c>
      <c r="I25" s="3813"/>
      <c r="J25" s="3490"/>
      <c r="K25" s="3458"/>
      <c r="L25" s="3458">
        <v>2023</v>
      </c>
    </row>
    <row r="26" spans="1:12" s="3477" customFormat="1" ht="18" customHeight="1">
      <c r="A26" s="3463" t="s">
        <v>3435</v>
      </c>
      <c r="B26" s="3468" t="s">
        <v>3475</v>
      </c>
      <c r="C26" s="3783">
        <f ca="1">ROUND(C23*H26,0)</f>
        <v>20715</v>
      </c>
      <c r="D26" s="3784"/>
      <c r="E26" s="3784"/>
      <c r="F26" s="3785"/>
      <c r="G26" s="3465" t="s">
        <v>3476</v>
      </c>
      <c r="H26" s="3813">
        <v>0.01</v>
      </c>
      <c r="I26" s="3813"/>
      <c r="J26" s="3490"/>
      <c r="K26" s="3458"/>
      <c r="L26" s="3458">
        <f>L25-L24</f>
        <v>19</v>
      </c>
    </row>
    <row r="27" spans="1:12" s="3477" customFormat="1" ht="18" customHeight="1">
      <c r="A27" s="3463" t="s">
        <v>393</v>
      </c>
      <c r="B27" s="3468" t="s">
        <v>3477</v>
      </c>
      <c r="C27" s="3783">
        <f ca="1">ROUND(C7*H27,0)</f>
        <v>1415</v>
      </c>
      <c r="D27" s="3784"/>
      <c r="E27" s="3784"/>
      <c r="F27" s="3785"/>
      <c r="G27" s="3465" t="s">
        <v>3478</v>
      </c>
      <c r="H27" s="3814">
        <v>1E-3</v>
      </c>
      <c r="I27" s="3814"/>
      <c r="J27" s="3475"/>
      <c r="K27" s="3458"/>
      <c r="L27" s="3458">
        <f>50-L26-1</f>
        <v>30</v>
      </c>
    </row>
    <row r="28" spans="1:12" s="3477" customFormat="1" ht="18" customHeight="1">
      <c r="A28" s="3463" t="s">
        <v>394</v>
      </c>
      <c r="B28" s="3468" t="s">
        <v>3479</v>
      </c>
      <c r="C28" s="3821" t="s">
        <v>3473</v>
      </c>
      <c r="D28" s="3822"/>
      <c r="E28" s="3808">
        <f>H28</f>
        <v>0.01</v>
      </c>
      <c r="F28" s="3809"/>
      <c r="G28" s="3465" t="s">
        <v>3480</v>
      </c>
      <c r="H28" s="3813">
        <v>0.01</v>
      </c>
      <c r="I28" s="3813"/>
      <c r="J28" s="3503"/>
      <c r="K28" s="3458"/>
      <c r="L28" s="3458"/>
    </row>
    <row r="29" spans="1:12" s="3477" customFormat="1" ht="18" customHeight="1">
      <c r="A29" s="3465" t="s">
        <v>3481</v>
      </c>
      <c r="B29" s="3468" t="s">
        <v>3482</v>
      </c>
      <c r="C29" s="3783">
        <f ca="1">ROUND((C4+C24)/(1-E24),0)</f>
        <v>232322</v>
      </c>
      <c r="D29" s="3784"/>
      <c r="E29" s="3784"/>
      <c r="F29" s="3785"/>
      <c r="G29" s="3786" t="s">
        <v>3483</v>
      </c>
      <c r="H29" s="3786"/>
      <c r="I29" s="3786"/>
      <c r="J29" s="3504" t="s">
        <v>3484</v>
      </c>
      <c r="K29" s="3458"/>
      <c r="L29" s="3458"/>
    </row>
    <row r="30" spans="1:12" s="3477" customFormat="1" ht="21" customHeight="1">
      <c r="A30" s="3786" t="s">
        <v>3485</v>
      </c>
      <c r="B30" s="3787" t="s">
        <v>3486</v>
      </c>
      <c r="C30" s="3815">
        <f ca="1">ROUND(C29/I30/I31/I3,2)</f>
        <v>1.46</v>
      </c>
      <c r="D30" s="3816"/>
      <c r="E30" s="3816"/>
      <c r="F30" s="3817"/>
      <c r="G30" s="3786" t="s">
        <v>3487</v>
      </c>
      <c r="H30" s="3468" t="s">
        <v>3488</v>
      </c>
      <c r="I30" s="3465">
        <v>365</v>
      </c>
      <c r="J30" s="3505"/>
      <c r="K30" s="3458"/>
      <c r="L30" s="3458"/>
    </row>
    <row r="31" spans="1:12" s="3477" customFormat="1" ht="18" customHeight="1">
      <c r="A31" s="3786"/>
      <c r="B31" s="3787"/>
      <c r="C31" s="3818"/>
      <c r="D31" s="3819"/>
      <c r="E31" s="3819"/>
      <c r="F31" s="3820"/>
      <c r="G31" s="3786"/>
      <c r="H31" s="3468" t="s">
        <v>3489</v>
      </c>
      <c r="I31" s="3911">
        <v>0.85</v>
      </c>
      <c r="J31" s="3506"/>
      <c r="K31" s="3458"/>
      <c r="L31" s="3458"/>
    </row>
    <row r="32" spans="1:12" s="3477" customFormat="1" ht="18" customHeight="1">
      <c r="A32" s="3462"/>
      <c r="B32" s="3507"/>
      <c r="C32" s="3462"/>
      <c r="D32" s="3462"/>
      <c r="E32" s="3462"/>
      <c r="F32" s="3462"/>
      <c r="G32" s="3508"/>
      <c r="H32" s="3462"/>
      <c r="I32" s="3462"/>
      <c r="J32" s="3475"/>
      <c r="K32" s="3458"/>
      <c r="L32" s="3458"/>
    </row>
    <row r="33" spans="1:14" s="3477" customFormat="1" ht="18" customHeight="1">
      <c r="A33" s="3462"/>
      <c r="B33" s="3824" t="s">
        <v>3490</v>
      </c>
      <c r="C33" s="3824"/>
      <c r="D33" s="3824"/>
      <c r="E33" s="3824"/>
      <c r="F33" s="3824"/>
      <c r="G33" s="3509"/>
      <c r="H33" s="3510"/>
      <c r="I33" s="3462"/>
      <c r="J33" s="3475"/>
      <c r="K33" s="3458"/>
      <c r="L33" s="3458"/>
      <c r="M33" s="3462"/>
    </row>
    <row r="34" spans="1:14" s="3477" customFormat="1" ht="18" customHeight="1">
      <c r="A34" s="3462"/>
      <c r="B34" s="3511" t="s">
        <v>3491</v>
      </c>
      <c r="C34" s="3511" t="s">
        <v>3407</v>
      </c>
      <c r="D34" s="3825" t="s">
        <v>3492</v>
      </c>
      <c r="E34" s="3825"/>
      <c r="F34" s="3825"/>
      <c r="G34" s="3509"/>
      <c r="H34" s="3510"/>
      <c r="I34" s="3462"/>
      <c r="J34" s="3500"/>
      <c r="K34" s="3462"/>
      <c r="L34" s="3462"/>
      <c r="M34" s="3462"/>
      <c r="N34" s="3477">
        <f ca="1">D37*I3*365</f>
        <v>569080.55200000003</v>
      </c>
    </row>
    <row r="35" spans="1:14">
      <c r="B35" s="3511" t="s">
        <v>3493</v>
      </c>
      <c r="C35" s="3512">
        <v>0.6</v>
      </c>
      <c r="D35" s="3823">
        <f>'比较法-办公-租金'!C49</f>
        <v>4.0999999999999996</v>
      </c>
      <c r="E35" s="3823"/>
      <c r="F35" s="3823"/>
      <c r="G35" s="3509">
        <f ca="1">D36/D35</f>
        <v>0.35609756097560979</v>
      </c>
      <c r="H35" s="3510"/>
      <c r="K35" s="3462"/>
      <c r="L35" s="3462"/>
    </row>
    <row r="36" spans="1:14" ht="20.100000000000001" customHeight="1">
      <c r="B36" s="3511" t="s">
        <v>3494</v>
      </c>
      <c r="C36" s="3512">
        <f>1-C35</f>
        <v>0.4</v>
      </c>
      <c r="D36" s="3823">
        <f ca="1">C30</f>
        <v>1.46</v>
      </c>
      <c r="E36" s="3823"/>
      <c r="F36" s="3823"/>
      <c r="G36" s="3509"/>
      <c r="H36" s="3510"/>
      <c r="J36" s="3462"/>
      <c r="K36" s="3462"/>
      <c r="L36" s="3462"/>
    </row>
    <row r="37" spans="1:14" ht="22.5" customHeight="1">
      <c r="B37" s="3825" t="s">
        <v>3495</v>
      </c>
      <c r="C37" s="3825"/>
      <c r="D37" s="3823">
        <f ca="1">ROUND(C35*D35+C36*D36,2)</f>
        <v>3.04</v>
      </c>
      <c r="E37" s="3823"/>
      <c r="F37" s="3823"/>
      <c r="G37" s="3509">
        <f ca="1">ROUND(D37*I3/10000,2)</f>
        <v>0.16</v>
      </c>
      <c r="H37" s="3510">
        <v>570000</v>
      </c>
      <c r="J37" s="3462"/>
      <c r="K37" s="3462"/>
      <c r="L37" s="3462"/>
    </row>
    <row r="38" spans="1:14" ht="22.5" customHeight="1">
      <c r="B38" s="3511" t="s">
        <v>3496</v>
      </c>
      <c r="C38" s="3511">
        <f ca="1">ROUND(D37*0.9,2)</f>
        <v>2.74</v>
      </c>
      <c r="D38" s="3513" t="s">
        <v>3497</v>
      </c>
      <c r="E38" s="3823">
        <f ca="1">ROUND(D37*1.1,2)</f>
        <v>3.34</v>
      </c>
      <c r="F38" s="3823"/>
      <c r="G38" s="3509" t="s">
        <v>3498</v>
      </c>
      <c r="H38" s="3514">
        <f>ROUND(H37/365/I3,2)</f>
        <v>3.04</v>
      </c>
      <c r="J38" s="3462"/>
      <c r="K38" s="3462"/>
      <c r="L38" s="3462"/>
    </row>
    <row r="39" spans="1:14" ht="18" customHeight="1">
      <c r="B39" s="3511" t="s">
        <v>3499</v>
      </c>
      <c r="C39" s="3511">
        <f ca="1">ROUND(C38+H39,2)</f>
        <v>2.79</v>
      </c>
      <c r="D39" s="3513" t="s">
        <v>3497</v>
      </c>
      <c r="E39" s="3823">
        <f ca="1">ROUND(E38+H39,2)</f>
        <v>3.39</v>
      </c>
      <c r="F39" s="3823"/>
      <c r="G39" s="3515" t="s">
        <v>3500</v>
      </c>
      <c r="H39" s="3515">
        <v>0.05</v>
      </c>
      <c r="J39" s="3462"/>
      <c r="K39" s="3462"/>
      <c r="L39" s="3462"/>
    </row>
    <row r="40" spans="1:14" ht="18" customHeight="1">
      <c r="B40" s="3516"/>
      <c r="C40" s="3517"/>
      <c r="D40" s="3510"/>
      <c r="E40" s="3510"/>
      <c r="F40" s="3510"/>
      <c r="G40" s="3509"/>
      <c r="H40" s="3510"/>
      <c r="J40" s="3462"/>
    </row>
    <row r="41" spans="1:14" ht="18" customHeight="1">
      <c r="B41" s="3509" t="s">
        <v>3501</v>
      </c>
      <c r="C41" s="3510"/>
      <c r="D41" s="3510"/>
      <c r="E41" s="3509" t="s">
        <v>3502</v>
      </c>
      <c r="F41" s="3510"/>
      <c r="G41" s="3509"/>
      <c r="H41" s="3509" t="s">
        <v>3503</v>
      </c>
      <c r="J41" s="3462"/>
    </row>
    <row r="42" spans="1:14" ht="29.25" customHeight="1"/>
    <row r="45" spans="1:14">
      <c r="H45" s="3518"/>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32"/>
  <sheetViews>
    <sheetView view="pageBreakPreview" topLeftCell="C4" zoomScale="80" zoomScaleNormal="70" zoomScaleSheetLayoutView="80" workbookViewId="0">
      <selection activeCell="N25" sqref="N2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0</v>
      </c>
      <c r="C3" s="354" t="s">
        <v>1665</v>
      </c>
      <c r="D3" s="353">
        <f>IF(D1="",'数据-汇总表'!E3,SUMIF('数据-汇总表'!$C19:$C33,D1,'数据-汇总表'!$E19:$E33))</f>
        <v>512.87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753" t="s">
        <v>1667</v>
      </c>
      <c r="D4" s="3754"/>
      <c r="E4" s="3755" t="s">
        <v>1668</v>
      </c>
      <c r="F4" s="3756"/>
      <c r="G4" s="3753" t="s">
        <v>1669</v>
      </c>
      <c r="H4" s="3754"/>
      <c r="I4" s="3753" t="s">
        <v>1670</v>
      </c>
      <c r="J4" s="3754"/>
      <c r="K4" s="559" t="s">
        <v>1671</v>
      </c>
      <c r="L4" s="2715"/>
      <c r="M4" s="2716"/>
      <c r="N4" s="2716"/>
      <c r="O4" s="2716"/>
      <c r="P4" s="3829" t="s">
        <v>1672</v>
      </c>
      <c r="Q4" s="3830"/>
      <c r="R4" s="3833" t="s">
        <v>1668</v>
      </c>
      <c r="S4" s="3834"/>
      <c r="T4" s="3833" t="s">
        <v>1669</v>
      </c>
      <c r="U4" s="3834"/>
      <c r="V4" s="3835" t="s">
        <v>1670</v>
      </c>
      <c r="W4" s="3835"/>
      <c r="X4" s="3457"/>
      <c r="Y4" s="3833" t="s">
        <v>1672</v>
      </c>
      <c r="Z4" s="3834"/>
      <c r="AA4" s="3836" t="s">
        <v>1668</v>
      </c>
      <c r="AB4" s="3836" t="s">
        <v>1669</v>
      </c>
      <c r="AC4" s="3826" t="s">
        <v>1670</v>
      </c>
    </row>
    <row r="5" spans="1:29" ht="15">
      <c r="A5" s="358"/>
      <c r="B5" s="359"/>
      <c r="C5" s="3746" t="s">
        <v>1673</v>
      </c>
      <c r="D5" s="3747"/>
      <c r="E5" s="3744" t="s">
        <v>1674</v>
      </c>
      <c r="F5" s="3745"/>
      <c r="G5" s="3746" t="s">
        <v>1675</v>
      </c>
      <c r="H5" s="3747"/>
      <c r="I5" s="3746" t="s">
        <v>1676</v>
      </c>
      <c r="J5" s="3747"/>
      <c r="K5" s="559"/>
      <c r="L5" s="2715"/>
      <c r="M5" s="2716"/>
      <c r="N5" s="2716"/>
      <c r="O5" s="2716"/>
      <c r="P5" s="3831"/>
      <c r="Q5" s="3760"/>
      <c r="R5" s="3742"/>
      <c r="S5" s="3743"/>
      <c r="T5" s="3742"/>
      <c r="U5" s="3743"/>
      <c r="V5" s="3765"/>
      <c r="W5" s="3765"/>
      <c r="X5" s="3455"/>
      <c r="Y5" s="3742"/>
      <c r="Z5" s="3743"/>
      <c r="AA5" s="3736"/>
      <c r="AB5" s="3736"/>
      <c r="AC5" s="3827"/>
    </row>
    <row r="6" spans="1:29" ht="15.75" thickBot="1">
      <c r="A6" s="360"/>
      <c r="B6" s="361"/>
      <c r="C6" s="3748" t="s">
        <v>1677</v>
      </c>
      <c r="D6" s="3749"/>
      <c r="E6" s="3750" t="s">
        <v>1677</v>
      </c>
      <c r="F6" s="3751"/>
      <c r="G6" s="3748" t="s">
        <v>1677</v>
      </c>
      <c r="H6" s="3749"/>
      <c r="I6" s="3748" t="s">
        <v>1677</v>
      </c>
      <c r="J6" s="3749"/>
      <c r="K6" s="559" t="s">
        <v>1678</v>
      </c>
      <c r="L6" s="2715"/>
      <c r="M6" s="2716"/>
      <c r="N6" s="2716"/>
      <c r="O6" s="2716"/>
      <c r="P6" s="3832"/>
      <c r="Q6" s="3762"/>
      <c r="R6" s="3742"/>
      <c r="S6" s="3743"/>
      <c r="T6" s="3763"/>
      <c r="U6" s="3764"/>
      <c r="V6" s="3765"/>
      <c r="W6" s="3765"/>
      <c r="X6" s="3455"/>
      <c r="Y6" s="3763"/>
      <c r="Z6" s="3764"/>
      <c r="AA6" s="3737"/>
      <c r="AB6" s="3737"/>
      <c r="AC6" s="3828"/>
    </row>
    <row r="7" spans="1:29" s="108" customFormat="1" ht="15.75" thickBot="1">
      <c r="A7" s="362" t="s">
        <v>1679</v>
      </c>
      <c r="B7" s="363"/>
      <c r="C7" s="364">
        <f>'数据-取费表'!B2</f>
        <v>44991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37" t="s">
        <v>1680</v>
      </c>
      <c r="Q7" s="3766"/>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37" t="s">
        <v>1683</v>
      </c>
      <c r="Q8" s="3739"/>
      <c r="R8" s="701" t="s">
        <v>14</v>
      </c>
      <c r="S8" s="702">
        <f t="shared" si="0"/>
        <v>100</v>
      </c>
      <c r="T8" s="701" t="s">
        <v>14</v>
      </c>
      <c r="U8" s="702">
        <f t="shared" si="1"/>
        <v>100</v>
      </c>
      <c r="V8" s="701" t="s">
        <v>14</v>
      </c>
      <c r="W8" s="702">
        <f t="shared" si="2"/>
        <v>100</v>
      </c>
      <c r="X8" s="703"/>
      <c r="Y8" s="3738" t="s">
        <v>1683</v>
      </c>
      <c r="Z8" s="373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52" t="s">
        <v>1686</v>
      </c>
      <c r="Q9" s="3451" t="str">
        <f t="shared" ref="Q9:Q15" si="6">B9</f>
        <v>用途</v>
      </c>
      <c r="R9" s="701" t="s">
        <v>14</v>
      </c>
      <c r="S9" s="702">
        <f t="shared" si="0"/>
        <v>100</v>
      </c>
      <c r="T9" s="701" t="s">
        <v>14</v>
      </c>
      <c r="U9" s="702">
        <f t="shared" si="1"/>
        <v>100</v>
      </c>
      <c r="V9" s="701" t="s">
        <v>14</v>
      </c>
      <c r="W9" s="702">
        <f t="shared" si="2"/>
        <v>100</v>
      </c>
      <c r="X9" s="703"/>
      <c r="Y9" s="3682" t="s">
        <v>1687</v>
      </c>
      <c r="Z9" s="3450"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52"/>
      <c r="Q10" s="3451" t="str">
        <f t="shared" si="6"/>
        <v>土地使用年限（年）</v>
      </c>
      <c r="R10" s="701" t="s">
        <v>14</v>
      </c>
      <c r="S10" s="702">
        <f t="shared" si="0"/>
        <v>100</v>
      </c>
      <c r="T10" s="701" t="s">
        <v>14</v>
      </c>
      <c r="U10" s="702">
        <f t="shared" si="1"/>
        <v>100</v>
      </c>
      <c r="V10" s="701" t="s">
        <v>14</v>
      </c>
      <c r="W10" s="702">
        <f t="shared" si="2"/>
        <v>100</v>
      </c>
      <c r="X10" s="703"/>
      <c r="Y10" s="3682"/>
      <c r="Z10" s="3450"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2"/>
      <c r="Q11" s="3451" t="str">
        <f t="shared" si="6"/>
        <v>容积率</v>
      </c>
      <c r="R11" s="701" t="s">
        <v>14</v>
      </c>
      <c r="S11" s="702">
        <f t="shared" si="0"/>
        <v>100</v>
      </c>
      <c r="T11" s="701" t="s">
        <v>14</v>
      </c>
      <c r="U11" s="702">
        <f t="shared" si="1"/>
        <v>100</v>
      </c>
      <c r="V11" s="701" t="s">
        <v>14</v>
      </c>
      <c r="W11" s="702">
        <f t="shared" si="2"/>
        <v>100</v>
      </c>
      <c r="X11" s="703"/>
      <c r="Y11" s="3682"/>
      <c r="Z11" s="3450"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2"/>
      <c r="Q12" s="3451">
        <f t="shared" si="6"/>
        <v>111</v>
      </c>
      <c r="R12" s="701" t="s">
        <v>14</v>
      </c>
      <c r="S12" s="702">
        <f t="shared" si="0"/>
        <v>100</v>
      </c>
      <c r="T12" s="701" t="s">
        <v>14</v>
      </c>
      <c r="U12" s="702">
        <f t="shared" si="1"/>
        <v>100</v>
      </c>
      <c r="V12" s="701" t="s">
        <v>14</v>
      </c>
      <c r="W12" s="702">
        <f t="shared" si="2"/>
        <v>100</v>
      </c>
      <c r="X12" s="703"/>
      <c r="Y12" s="3682"/>
      <c r="Z12" s="3450">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2"/>
      <c r="Q13" s="3451">
        <f t="shared" si="6"/>
        <v>111</v>
      </c>
      <c r="R13" s="701" t="s">
        <v>14</v>
      </c>
      <c r="S13" s="702">
        <f t="shared" si="0"/>
        <v>100</v>
      </c>
      <c r="T13" s="701" t="s">
        <v>14</v>
      </c>
      <c r="U13" s="702">
        <f t="shared" si="1"/>
        <v>100</v>
      </c>
      <c r="V13" s="701" t="s">
        <v>14</v>
      </c>
      <c r="W13" s="702">
        <f t="shared" si="2"/>
        <v>100</v>
      </c>
      <c r="X13" s="703"/>
      <c r="Y13" s="3682"/>
      <c r="Z13" s="3450">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2"/>
      <c r="Q14" s="3451">
        <f t="shared" si="6"/>
        <v>111</v>
      </c>
      <c r="R14" s="701" t="s">
        <v>14</v>
      </c>
      <c r="S14" s="702">
        <f t="shared" si="0"/>
        <v>100</v>
      </c>
      <c r="T14" s="701" t="s">
        <v>14</v>
      </c>
      <c r="U14" s="702">
        <f t="shared" si="1"/>
        <v>100</v>
      </c>
      <c r="V14" s="701" t="s">
        <v>14</v>
      </c>
      <c r="W14" s="702">
        <f t="shared" si="2"/>
        <v>100</v>
      </c>
      <c r="X14" s="703"/>
      <c r="Y14" s="3682"/>
      <c r="Z14" s="3450">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79" t="s">
        <v>1691</v>
      </c>
      <c r="Q15" s="3453" t="str">
        <f t="shared" si="6"/>
        <v>办公集聚程度</v>
      </c>
      <c r="R15" s="705" t="s">
        <v>14</v>
      </c>
      <c r="S15" s="706">
        <f t="shared" si="0"/>
        <v>100</v>
      </c>
      <c r="T15" s="705" t="s">
        <v>14</v>
      </c>
      <c r="U15" s="706">
        <f t="shared" si="1"/>
        <v>100</v>
      </c>
      <c r="V15" s="705" t="s">
        <v>14</v>
      </c>
      <c r="W15" s="706">
        <f t="shared" si="2"/>
        <v>100</v>
      </c>
      <c r="X15" s="3455"/>
      <c r="Y15" s="3772" t="s">
        <v>1691</v>
      </c>
      <c r="Z15" s="3456" t="str">
        <f t="shared" si="7"/>
        <v>办公集聚程度</v>
      </c>
      <c r="AA15" s="3454">
        <f t="shared" si="3"/>
        <v>1</v>
      </c>
      <c r="AB15" s="3454">
        <f t="shared" si="4"/>
        <v>1</v>
      </c>
      <c r="AC15" s="1962">
        <f t="shared" si="5"/>
        <v>1</v>
      </c>
    </row>
    <row r="16" spans="1:29" ht="15">
      <c r="A16" s="379"/>
      <c r="B16" s="578"/>
      <c r="C16" s="1904"/>
      <c r="D16" s="399"/>
      <c r="E16" s="398"/>
      <c r="F16" s="399"/>
      <c r="G16" s="1904"/>
      <c r="H16" s="401"/>
      <c r="I16" s="398"/>
      <c r="J16" s="399"/>
      <c r="K16" s="564"/>
      <c r="L16" s="2722"/>
      <c r="M16" s="2716"/>
      <c r="N16" s="2716"/>
      <c r="O16" s="2716"/>
      <c r="P16" s="3780"/>
      <c r="Q16" s="3453"/>
      <c r="R16" s="705"/>
      <c r="S16" s="706"/>
      <c r="T16" s="705"/>
      <c r="U16" s="706"/>
      <c r="V16" s="705"/>
      <c r="W16" s="706"/>
      <c r="X16" s="3455"/>
      <c r="Y16" s="3773"/>
      <c r="Z16" s="3456"/>
      <c r="AA16" s="3454">
        <v>1</v>
      </c>
      <c r="AB16" s="3454">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80"/>
      <c r="Q17" s="3453" t="str">
        <f>B17</f>
        <v>交通便捷度</v>
      </c>
      <c r="R17" s="705" t="s">
        <v>14</v>
      </c>
      <c r="S17" s="706">
        <f>F17</f>
        <v>100</v>
      </c>
      <c r="T17" s="705" t="s">
        <v>14</v>
      </c>
      <c r="U17" s="706">
        <f>H17</f>
        <v>100</v>
      </c>
      <c r="V17" s="705" t="s">
        <v>14</v>
      </c>
      <c r="W17" s="706">
        <f>J17</f>
        <v>100</v>
      </c>
      <c r="X17" s="3455"/>
      <c r="Y17" s="3773"/>
      <c r="Z17" s="3456" t="str">
        <f>Q17</f>
        <v>交通便捷度</v>
      </c>
      <c r="AA17" s="3454">
        <f t="shared" si="3"/>
        <v>1</v>
      </c>
      <c r="AB17" s="3454">
        <f t="shared" si="4"/>
        <v>1</v>
      </c>
      <c r="AC17" s="1962">
        <f t="shared" si="5"/>
        <v>1</v>
      </c>
    </row>
    <row r="18" spans="1:29" ht="15">
      <c r="A18" s="379"/>
      <c r="B18" s="580"/>
      <c r="C18" s="1964"/>
      <c r="D18" s="401"/>
      <c r="E18" s="1902"/>
      <c r="F18" s="401"/>
      <c r="G18" s="1903"/>
      <c r="H18" s="399"/>
      <c r="I18" s="1903"/>
      <c r="J18" s="399"/>
      <c r="K18" s="564"/>
      <c r="L18" s="2722"/>
      <c r="M18" s="2716"/>
      <c r="N18" s="2716"/>
      <c r="O18" s="2716"/>
      <c r="P18" s="3780"/>
      <c r="Q18" s="3453"/>
      <c r="R18" s="705"/>
      <c r="S18" s="706"/>
      <c r="T18" s="705"/>
      <c r="U18" s="706"/>
      <c r="V18" s="705"/>
      <c r="W18" s="706"/>
      <c r="X18" s="3455"/>
      <c r="Y18" s="3773"/>
      <c r="Z18" s="3456"/>
      <c r="AA18" s="3454">
        <v>1</v>
      </c>
      <c r="AB18" s="3454">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80"/>
      <c r="Q19" s="3453" t="str">
        <f>B19</f>
        <v>公共配套设施</v>
      </c>
      <c r="R19" s="705" t="s">
        <v>14</v>
      </c>
      <c r="S19" s="706">
        <f>F19</f>
        <v>100</v>
      </c>
      <c r="T19" s="705" t="s">
        <v>14</v>
      </c>
      <c r="U19" s="706">
        <f>H19</f>
        <v>100</v>
      </c>
      <c r="V19" s="705" t="s">
        <v>14</v>
      </c>
      <c r="W19" s="706">
        <f>J19</f>
        <v>100</v>
      </c>
      <c r="X19" s="3455"/>
      <c r="Y19" s="3773"/>
      <c r="Z19" s="3456" t="str">
        <f>Q19</f>
        <v>公共配套设施</v>
      </c>
      <c r="AA19" s="3454">
        <f t="shared" si="3"/>
        <v>1</v>
      </c>
      <c r="AB19" s="3454">
        <f t="shared" si="4"/>
        <v>1</v>
      </c>
      <c r="AC19" s="1962">
        <f t="shared" si="5"/>
        <v>1</v>
      </c>
    </row>
    <row r="20" spans="1:29" ht="15">
      <c r="A20" s="379"/>
      <c r="B20" s="580"/>
      <c r="C20" s="1904"/>
      <c r="D20" s="399"/>
      <c r="E20" s="1897"/>
      <c r="F20" s="399"/>
      <c r="G20" s="1898"/>
      <c r="H20" s="399"/>
      <c r="I20" s="1898"/>
      <c r="J20" s="399"/>
      <c r="K20" s="564"/>
      <c r="L20" s="2722"/>
      <c r="M20" s="2716"/>
      <c r="N20" s="2716"/>
      <c r="O20" s="2716"/>
      <c r="P20" s="3780"/>
      <c r="Q20" s="3453"/>
      <c r="R20" s="705"/>
      <c r="S20" s="706"/>
      <c r="T20" s="705"/>
      <c r="U20" s="706"/>
      <c r="V20" s="705"/>
      <c r="W20" s="706"/>
      <c r="X20" s="3455"/>
      <c r="Y20" s="3773"/>
      <c r="Z20" s="3456"/>
      <c r="AA20" s="3454">
        <v>1</v>
      </c>
      <c r="AB20" s="3454">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80"/>
      <c r="Q21" s="3453" t="str">
        <f>B21</f>
        <v>基础设施水平</v>
      </c>
      <c r="R21" s="705" t="s">
        <v>14</v>
      </c>
      <c r="S21" s="706">
        <f>F21</f>
        <v>100</v>
      </c>
      <c r="T21" s="705" t="s">
        <v>14</v>
      </c>
      <c r="U21" s="706">
        <f>H21</f>
        <v>100</v>
      </c>
      <c r="V21" s="705" t="s">
        <v>14</v>
      </c>
      <c r="W21" s="706">
        <f>J21</f>
        <v>100</v>
      </c>
      <c r="X21" s="3455"/>
      <c r="Y21" s="3773"/>
      <c r="Z21" s="3456" t="str">
        <f>Q21</f>
        <v>基础设施水平</v>
      </c>
      <c r="AA21" s="3454">
        <f t="shared" ref="AA21" si="8">D21/F21</f>
        <v>1</v>
      </c>
      <c r="AB21" s="3454">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80"/>
      <c r="Q22" s="3453"/>
      <c r="R22" s="705"/>
      <c r="S22" s="706"/>
      <c r="T22" s="705"/>
      <c r="U22" s="706"/>
      <c r="V22" s="705"/>
      <c r="W22" s="706"/>
      <c r="X22" s="3455"/>
      <c r="Y22" s="3773"/>
      <c r="Z22" s="3456"/>
      <c r="AA22" s="3454">
        <v>1</v>
      </c>
      <c r="AB22" s="3454">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80"/>
      <c r="Q23" s="3453" t="str">
        <f>B23</f>
        <v>环境质量</v>
      </c>
      <c r="R23" s="705" t="s">
        <v>14</v>
      </c>
      <c r="S23" s="706">
        <f>F23</f>
        <v>100</v>
      </c>
      <c r="T23" s="705" t="s">
        <v>14</v>
      </c>
      <c r="U23" s="706">
        <f>H23</f>
        <v>100</v>
      </c>
      <c r="V23" s="705" t="s">
        <v>14</v>
      </c>
      <c r="W23" s="706">
        <f>J23</f>
        <v>100</v>
      </c>
      <c r="X23" s="3455"/>
      <c r="Y23" s="3773"/>
      <c r="Z23" s="3456" t="str">
        <f>Q23</f>
        <v>环境质量</v>
      </c>
      <c r="AA23" s="3454">
        <f t="shared" si="3"/>
        <v>1</v>
      </c>
      <c r="AB23" s="3454">
        <f t="shared" si="4"/>
        <v>1</v>
      </c>
      <c r="AC23" s="1962">
        <f t="shared" si="5"/>
        <v>1</v>
      </c>
    </row>
    <row r="24" spans="1:29" ht="15">
      <c r="A24" s="379"/>
      <c r="B24" s="581"/>
      <c r="C24" s="1904"/>
      <c r="D24" s="399"/>
      <c r="E24" s="1897"/>
      <c r="F24" s="399"/>
      <c r="G24" s="1898"/>
      <c r="H24" s="399"/>
      <c r="I24" s="1898"/>
      <c r="J24" s="399"/>
      <c r="K24" s="564"/>
      <c r="L24" s="2722"/>
      <c r="M24" s="2716"/>
      <c r="N24" s="2716"/>
      <c r="O24" s="2716"/>
      <c r="P24" s="3780"/>
      <c r="Q24" s="3453"/>
      <c r="R24" s="705"/>
      <c r="S24" s="706"/>
      <c r="T24" s="705"/>
      <c r="U24" s="706"/>
      <c r="V24" s="705"/>
      <c r="W24" s="706"/>
      <c r="X24" s="3455"/>
      <c r="Y24" s="3773"/>
      <c r="Z24" s="3456"/>
      <c r="AA24" s="3454">
        <v>1</v>
      </c>
      <c r="AB24" s="3454">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80"/>
      <c r="Q25" s="3453" t="str">
        <f>B25</f>
        <v>毗邻道路的类型与等级</v>
      </c>
      <c r="R25" s="705" t="s">
        <v>14</v>
      </c>
      <c r="S25" s="706">
        <f>F25</f>
        <v>100</v>
      </c>
      <c r="T25" s="705" t="s">
        <v>14</v>
      </c>
      <c r="U25" s="706">
        <f>H25</f>
        <v>100</v>
      </c>
      <c r="V25" s="705" t="s">
        <v>14</v>
      </c>
      <c r="W25" s="706">
        <f>J25</f>
        <v>100</v>
      </c>
      <c r="X25" s="3455"/>
      <c r="Y25" s="3773"/>
      <c r="Z25" s="3456" t="str">
        <f>Q25</f>
        <v>毗邻道路的类型与等级</v>
      </c>
      <c r="AA25" s="3454">
        <f t="shared" si="3"/>
        <v>1</v>
      </c>
      <c r="AB25" s="3454">
        <f t="shared" si="4"/>
        <v>1</v>
      </c>
      <c r="AC25" s="1962">
        <f t="shared" si="5"/>
        <v>1</v>
      </c>
    </row>
    <row r="26" spans="1:29" ht="15">
      <c r="A26" s="358"/>
      <c r="B26" s="580"/>
      <c r="C26" s="582"/>
      <c r="D26" s="386"/>
      <c r="E26" s="565"/>
      <c r="F26" s="386"/>
      <c r="G26" s="582"/>
      <c r="H26" s="386"/>
      <c r="I26" s="565"/>
      <c r="J26" s="386"/>
      <c r="K26" s="564"/>
      <c r="L26" s="2722"/>
      <c r="M26" s="2716"/>
      <c r="N26" s="2716"/>
      <c r="O26" s="2716"/>
      <c r="P26" s="3780"/>
      <c r="Q26" s="3453"/>
      <c r="R26" s="705"/>
      <c r="S26" s="706"/>
      <c r="T26" s="705"/>
      <c r="U26" s="706"/>
      <c r="V26" s="705"/>
      <c r="W26" s="706"/>
      <c r="X26" s="3455"/>
      <c r="Y26" s="3773"/>
      <c r="Z26" s="3456"/>
      <c r="AA26" s="3454">
        <v>1</v>
      </c>
      <c r="AB26" s="3454">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80"/>
      <c r="Q27" s="3453" t="str">
        <f t="shared" ref="Q27:Q47" si="11">B27</f>
        <v>楼层</v>
      </c>
      <c r="R27" s="705" t="s">
        <v>14</v>
      </c>
      <c r="S27" s="706">
        <f>F27</f>
        <v>100</v>
      </c>
      <c r="T27" s="705" t="s">
        <v>14</v>
      </c>
      <c r="U27" s="706">
        <f>H27</f>
        <v>100</v>
      </c>
      <c r="V27" s="705" t="s">
        <v>14</v>
      </c>
      <c r="W27" s="706">
        <f>J27</f>
        <v>100</v>
      </c>
      <c r="X27" s="3455"/>
      <c r="Y27" s="3773"/>
      <c r="Z27" s="3456" t="str">
        <f>Q27</f>
        <v>楼层</v>
      </c>
      <c r="AA27" s="3454">
        <f t="shared" si="3"/>
        <v>1</v>
      </c>
      <c r="AB27" s="3454">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80"/>
      <c r="Q28" s="3451" t="str">
        <f t="shared" si="11"/>
        <v>朝向</v>
      </c>
      <c r="R28" s="701" t="s">
        <v>14</v>
      </c>
      <c r="S28" s="702">
        <f>F28</f>
        <v>100</v>
      </c>
      <c r="T28" s="701" t="s">
        <v>14</v>
      </c>
      <c r="U28" s="702">
        <f>H28</f>
        <v>100</v>
      </c>
      <c r="V28" s="701" t="s">
        <v>14</v>
      </c>
      <c r="W28" s="702">
        <f>J28</f>
        <v>100</v>
      </c>
      <c r="X28" s="703"/>
      <c r="Y28" s="3773"/>
      <c r="Z28" s="3450" t="str">
        <f>Q28</f>
        <v>朝向</v>
      </c>
      <c r="AA28" s="3454">
        <f>D28/F28</f>
        <v>1</v>
      </c>
      <c r="AB28" s="3454">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80"/>
      <c r="Q29" s="3453">
        <f t="shared" si="11"/>
        <v>111</v>
      </c>
      <c r="R29" s="705" t="s">
        <v>14</v>
      </c>
      <c r="S29" s="706">
        <f t="shared" ref="S29:S47" si="12">F29</f>
        <v>100</v>
      </c>
      <c r="T29" s="705" t="s">
        <v>14</v>
      </c>
      <c r="U29" s="706">
        <f t="shared" ref="U29:U47" si="13">H29</f>
        <v>100</v>
      </c>
      <c r="V29" s="705" t="s">
        <v>14</v>
      </c>
      <c r="W29" s="706">
        <f t="shared" ref="W29:W47" si="14">J29</f>
        <v>100</v>
      </c>
      <c r="X29" s="3455"/>
      <c r="Y29" s="3773"/>
      <c r="Z29" s="3456">
        <f t="shared" ref="Z29:Z47" si="15">Q29</f>
        <v>111</v>
      </c>
      <c r="AA29" s="3454">
        <f t="shared" si="3"/>
        <v>1</v>
      </c>
      <c r="AB29" s="3454">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80"/>
      <c r="Q30" s="3453">
        <f t="shared" si="11"/>
        <v>111</v>
      </c>
      <c r="R30" s="705" t="s">
        <v>14</v>
      </c>
      <c r="S30" s="706">
        <f t="shared" si="12"/>
        <v>100</v>
      </c>
      <c r="T30" s="705" t="s">
        <v>14</v>
      </c>
      <c r="U30" s="706">
        <f t="shared" si="13"/>
        <v>100</v>
      </c>
      <c r="V30" s="705" t="s">
        <v>14</v>
      </c>
      <c r="W30" s="706">
        <f t="shared" si="14"/>
        <v>100</v>
      </c>
      <c r="X30" s="3455"/>
      <c r="Y30" s="3773"/>
      <c r="Z30" s="3456">
        <f t="shared" si="15"/>
        <v>111</v>
      </c>
      <c r="AA30" s="3454">
        <f t="shared" si="3"/>
        <v>1</v>
      </c>
      <c r="AB30" s="3454">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80"/>
      <c r="Q31" s="3453">
        <f t="shared" si="11"/>
        <v>111</v>
      </c>
      <c r="R31" s="705" t="s">
        <v>14</v>
      </c>
      <c r="S31" s="706">
        <f t="shared" si="12"/>
        <v>100</v>
      </c>
      <c r="T31" s="705" t="s">
        <v>14</v>
      </c>
      <c r="U31" s="706">
        <f t="shared" si="13"/>
        <v>100</v>
      </c>
      <c r="V31" s="705" t="s">
        <v>14</v>
      </c>
      <c r="W31" s="706">
        <f t="shared" si="14"/>
        <v>100</v>
      </c>
      <c r="X31" s="3455"/>
      <c r="Y31" s="3773"/>
      <c r="Z31" s="3456">
        <f t="shared" si="15"/>
        <v>111</v>
      </c>
      <c r="AA31" s="3454">
        <f t="shared" si="3"/>
        <v>1</v>
      </c>
      <c r="AB31" s="3454">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80"/>
      <c r="Q32" s="3453">
        <f t="shared" si="11"/>
        <v>111</v>
      </c>
      <c r="R32" s="705" t="s">
        <v>14</v>
      </c>
      <c r="S32" s="706">
        <f t="shared" si="12"/>
        <v>100</v>
      </c>
      <c r="T32" s="705" t="s">
        <v>14</v>
      </c>
      <c r="U32" s="706">
        <f t="shared" si="13"/>
        <v>100</v>
      </c>
      <c r="V32" s="705" t="s">
        <v>14</v>
      </c>
      <c r="W32" s="706">
        <f t="shared" si="14"/>
        <v>100</v>
      </c>
      <c r="X32" s="3455"/>
      <c r="Y32" s="3773"/>
      <c r="Z32" s="3456">
        <f t="shared" si="15"/>
        <v>111</v>
      </c>
      <c r="AA32" s="3454">
        <f t="shared" si="3"/>
        <v>1</v>
      </c>
      <c r="AB32" s="3454">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74" t="s">
        <v>1696</v>
      </c>
      <c r="Q33" s="3453" t="str">
        <f t="shared" si="11"/>
        <v>建筑类型</v>
      </c>
      <c r="R33" s="705" t="s">
        <v>14</v>
      </c>
      <c r="S33" s="706">
        <f t="shared" si="12"/>
        <v>100</v>
      </c>
      <c r="T33" s="705" t="s">
        <v>14</v>
      </c>
      <c r="U33" s="706">
        <f t="shared" si="13"/>
        <v>100</v>
      </c>
      <c r="V33" s="705" t="s">
        <v>14</v>
      </c>
      <c r="W33" s="706">
        <f t="shared" si="14"/>
        <v>100</v>
      </c>
      <c r="X33" s="3455"/>
      <c r="Y33" s="3777" t="s">
        <v>1696</v>
      </c>
      <c r="Z33" s="3456" t="str">
        <f t="shared" si="15"/>
        <v>建筑类型</v>
      </c>
      <c r="AA33" s="3454">
        <f t="shared" si="3"/>
        <v>1</v>
      </c>
      <c r="AB33" s="3454">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75"/>
      <c r="Q34" s="707" t="str">
        <f t="shared" si="11"/>
        <v>项目建筑规模</v>
      </c>
      <c r="R34" s="708" t="s">
        <v>14</v>
      </c>
      <c r="S34" s="709" t="e">
        <f t="shared" si="12"/>
        <v>#N/A</v>
      </c>
      <c r="T34" s="708" t="s">
        <v>14</v>
      </c>
      <c r="U34" s="709" t="e">
        <f t="shared" si="13"/>
        <v>#N/A</v>
      </c>
      <c r="V34" s="708" t="s">
        <v>14</v>
      </c>
      <c r="W34" s="709" t="e">
        <f t="shared" si="14"/>
        <v>#N/A</v>
      </c>
      <c r="X34" s="710"/>
      <c r="Y34" s="3777"/>
      <c r="Z34" s="711" t="str">
        <f t="shared" si="15"/>
        <v>项目建筑规模</v>
      </c>
      <c r="AA34" s="3454" t="e">
        <f t="shared" si="3"/>
        <v>#N/A</v>
      </c>
      <c r="AB34" s="3454"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75"/>
      <c r="Q35" s="3453" t="str">
        <f t="shared" si="11"/>
        <v>建筑结构</v>
      </c>
      <c r="R35" s="705" t="s">
        <v>14</v>
      </c>
      <c r="S35" s="706">
        <f t="shared" si="12"/>
        <v>100</v>
      </c>
      <c r="T35" s="705" t="s">
        <v>14</v>
      </c>
      <c r="U35" s="706">
        <f t="shared" si="13"/>
        <v>100</v>
      </c>
      <c r="V35" s="705" t="s">
        <v>14</v>
      </c>
      <c r="W35" s="706">
        <f t="shared" si="14"/>
        <v>100</v>
      </c>
      <c r="X35" s="3455"/>
      <c r="Y35" s="3777"/>
      <c r="Z35" s="3456" t="str">
        <f t="shared" si="15"/>
        <v>建筑结构</v>
      </c>
      <c r="AA35" s="3454">
        <f t="shared" si="3"/>
        <v>1</v>
      </c>
      <c r="AB35" s="3454">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75"/>
      <c r="Q36" s="3453" t="str">
        <f t="shared" si="11"/>
        <v>公共部分装修</v>
      </c>
      <c r="R36" s="705" t="s">
        <v>14</v>
      </c>
      <c r="S36" s="706">
        <f t="shared" si="12"/>
        <v>100</v>
      </c>
      <c r="T36" s="705" t="s">
        <v>14</v>
      </c>
      <c r="U36" s="706">
        <f t="shared" si="13"/>
        <v>100</v>
      </c>
      <c r="V36" s="705" t="s">
        <v>14</v>
      </c>
      <c r="W36" s="706">
        <f t="shared" si="14"/>
        <v>100</v>
      </c>
      <c r="X36" s="3455"/>
      <c r="Y36" s="3777"/>
      <c r="Z36" s="3456" t="str">
        <f t="shared" si="15"/>
        <v>公共部分装修</v>
      </c>
      <c r="AA36" s="3454">
        <f t="shared" si="3"/>
        <v>1</v>
      </c>
      <c r="AB36" s="3454">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75"/>
      <c r="Q37" s="3453" t="str">
        <f t="shared" si="11"/>
        <v>成新度</v>
      </c>
      <c r="R37" s="705" t="s">
        <v>14</v>
      </c>
      <c r="S37" s="706" t="e">
        <f t="shared" si="12"/>
        <v>#N/A</v>
      </c>
      <c r="T37" s="705" t="s">
        <v>14</v>
      </c>
      <c r="U37" s="706" t="e">
        <f t="shared" si="13"/>
        <v>#N/A</v>
      </c>
      <c r="V37" s="705" t="s">
        <v>14</v>
      </c>
      <c r="W37" s="706" t="e">
        <f t="shared" si="14"/>
        <v>#N/A</v>
      </c>
      <c r="X37" s="3455"/>
      <c r="Y37" s="3777"/>
      <c r="Z37" s="3456" t="str">
        <f t="shared" si="15"/>
        <v>成新度</v>
      </c>
      <c r="AA37" s="3454" t="e">
        <f t="shared" si="3"/>
        <v>#N/A</v>
      </c>
      <c r="AB37" s="3454"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75"/>
      <c r="Q38" s="3451" t="str">
        <f t="shared" si="11"/>
        <v>写字楼等级</v>
      </c>
      <c r="R38" s="701" t="s">
        <v>14</v>
      </c>
      <c r="S38" s="702">
        <f t="shared" si="12"/>
        <v>100</v>
      </c>
      <c r="T38" s="701" t="s">
        <v>14</v>
      </c>
      <c r="U38" s="702">
        <f t="shared" si="13"/>
        <v>100</v>
      </c>
      <c r="V38" s="701" t="s">
        <v>14</v>
      </c>
      <c r="W38" s="702">
        <f t="shared" si="14"/>
        <v>100</v>
      </c>
      <c r="X38" s="703"/>
      <c r="Y38" s="3777"/>
      <c r="Z38" s="3450"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75" t="s">
        <v>1696</v>
      </c>
      <c r="Q39" s="3453" t="str">
        <f t="shared" si="11"/>
        <v>物业管理</v>
      </c>
      <c r="R39" s="705" t="s">
        <v>14</v>
      </c>
      <c r="S39" s="706">
        <f t="shared" si="12"/>
        <v>100</v>
      </c>
      <c r="T39" s="705" t="s">
        <v>14</v>
      </c>
      <c r="U39" s="706">
        <f t="shared" si="13"/>
        <v>100</v>
      </c>
      <c r="V39" s="705" t="s">
        <v>14</v>
      </c>
      <c r="W39" s="706">
        <f t="shared" si="14"/>
        <v>100</v>
      </c>
      <c r="X39" s="3455"/>
      <c r="Y39" s="3777" t="s">
        <v>1696</v>
      </c>
      <c r="Z39" s="3456" t="str">
        <f t="shared" si="15"/>
        <v>物业管理</v>
      </c>
      <c r="AA39" s="3454">
        <f t="shared" si="3"/>
        <v>1</v>
      </c>
      <c r="AB39" s="3454">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75"/>
      <c r="Q40" s="3453" t="str">
        <f t="shared" si="11"/>
        <v>市政基础设施</v>
      </c>
      <c r="R40" s="705" t="s">
        <v>14</v>
      </c>
      <c r="S40" s="706">
        <f t="shared" si="12"/>
        <v>100</v>
      </c>
      <c r="T40" s="705" t="s">
        <v>14</v>
      </c>
      <c r="U40" s="706">
        <f t="shared" si="13"/>
        <v>100</v>
      </c>
      <c r="V40" s="705" t="s">
        <v>14</v>
      </c>
      <c r="W40" s="706">
        <f t="shared" si="14"/>
        <v>100</v>
      </c>
      <c r="X40" s="3455"/>
      <c r="Y40" s="3777"/>
      <c r="Z40" s="3456" t="str">
        <f t="shared" si="15"/>
        <v>市政基础设施</v>
      </c>
      <c r="AA40" s="3454">
        <f t="shared" si="3"/>
        <v>1</v>
      </c>
      <c r="AB40" s="3454">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75"/>
      <c r="Q41" s="3453" t="str">
        <f t="shared" si="11"/>
        <v>层高</v>
      </c>
      <c r="R41" s="705" t="s">
        <v>14</v>
      </c>
      <c r="S41" s="706">
        <f t="shared" si="12"/>
        <v>100</v>
      </c>
      <c r="T41" s="705" t="s">
        <v>14</v>
      </c>
      <c r="U41" s="706">
        <f t="shared" si="13"/>
        <v>100</v>
      </c>
      <c r="V41" s="705" t="s">
        <v>14</v>
      </c>
      <c r="W41" s="706">
        <f t="shared" si="14"/>
        <v>100</v>
      </c>
      <c r="X41" s="3455"/>
      <c r="Y41" s="3777"/>
      <c r="Z41" s="3456" t="str">
        <f t="shared" si="15"/>
        <v>层高</v>
      </c>
      <c r="AA41" s="3454">
        <f t="shared" si="3"/>
        <v>1</v>
      </c>
      <c r="AB41" s="3454">
        <f t="shared" si="4"/>
        <v>1</v>
      </c>
      <c r="AC41" s="1962">
        <f t="shared" si="5"/>
        <v>1</v>
      </c>
    </row>
    <row r="42" spans="1:29" s="422" customFormat="1" ht="15">
      <c r="A42" s="419"/>
      <c r="B42" s="34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75"/>
      <c r="Q42" s="707" t="str">
        <f t="shared" si="11"/>
        <v>单套建筑面积</v>
      </c>
      <c r="R42" s="708" t="s">
        <v>14</v>
      </c>
      <c r="S42" s="709">
        <f t="shared" si="12"/>
        <v>100</v>
      </c>
      <c r="T42" s="708" t="s">
        <v>14</v>
      </c>
      <c r="U42" s="709">
        <f t="shared" si="13"/>
        <v>100</v>
      </c>
      <c r="V42" s="708" t="s">
        <v>14</v>
      </c>
      <c r="W42" s="709">
        <f t="shared" si="14"/>
        <v>100</v>
      </c>
      <c r="X42" s="710"/>
      <c r="Y42" s="3777"/>
      <c r="Z42" s="711" t="str">
        <f t="shared" si="15"/>
        <v>单套建筑面积</v>
      </c>
      <c r="AA42" s="3454">
        <f t="shared" si="3"/>
        <v>1</v>
      </c>
      <c r="AB42" s="3454">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75"/>
      <c r="Q43" s="3453" t="str">
        <f t="shared" si="11"/>
        <v>内部装修</v>
      </c>
      <c r="R43" s="705" t="s">
        <v>14</v>
      </c>
      <c r="S43" s="706">
        <f t="shared" si="12"/>
        <v>100</v>
      </c>
      <c r="T43" s="705" t="s">
        <v>14</v>
      </c>
      <c r="U43" s="706">
        <f t="shared" si="13"/>
        <v>100</v>
      </c>
      <c r="V43" s="705" t="s">
        <v>14</v>
      </c>
      <c r="W43" s="706">
        <f t="shared" si="14"/>
        <v>100</v>
      </c>
      <c r="X43" s="3455"/>
      <c r="Y43" s="3777"/>
      <c r="Z43" s="3456" t="str">
        <f t="shared" si="15"/>
        <v>内部装修</v>
      </c>
      <c r="AA43" s="3454">
        <f t="shared" si="3"/>
        <v>1</v>
      </c>
      <c r="AB43" s="3454">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75"/>
      <c r="Q44" s="3453" t="str">
        <f t="shared" si="11"/>
        <v>内部装修维护情况</v>
      </c>
      <c r="R44" s="705" t="s">
        <v>14</v>
      </c>
      <c r="S44" s="706">
        <f t="shared" si="12"/>
        <v>100</v>
      </c>
      <c r="T44" s="705" t="s">
        <v>14</v>
      </c>
      <c r="U44" s="706">
        <f t="shared" si="13"/>
        <v>100</v>
      </c>
      <c r="V44" s="705" t="s">
        <v>14</v>
      </c>
      <c r="W44" s="706">
        <f t="shared" si="14"/>
        <v>100</v>
      </c>
      <c r="X44" s="3455"/>
      <c r="Y44" s="3777"/>
      <c r="Z44" s="3456" t="str">
        <f t="shared" si="15"/>
        <v>内部装修维护情况</v>
      </c>
      <c r="AA44" s="3454">
        <f t="shared" si="3"/>
        <v>1</v>
      </c>
      <c r="AB44" s="3454">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75"/>
      <c r="Q45" s="3451">
        <f t="shared" si="11"/>
        <v>111</v>
      </c>
      <c r="R45" s="701" t="s">
        <v>14</v>
      </c>
      <c r="S45" s="702">
        <f t="shared" si="12"/>
        <v>100</v>
      </c>
      <c r="T45" s="701" t="s">
        <v>14</v>
      </c>
      <c r="U45" s="702">
        <f t="shared" si="13"/>
        <v>100</v>
      </c>
      <c r="V45" s="701" t="s">
        <v>14</v>
      </c>
      <c r="W45" s="702">
        <f t="shared" si="14"/>
        <v>100</v>
      </c>
      <c r="X45" s="703"/>
      <c r="Y45" s="3777"/>
      <c r="Z45" s="3450">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75"/>
      <c r="Q46" s="3453">
        <f t="shared" si="11"/>
        <v>111</v>
      </c>
      <c r="R46" s="705" t="s">
        <v>14</v>
      </c>
      <c r="S46" s="706">
        <f t="shared" si="12"/>
        <v>100</v>
      </c>
      <c r="T46" s="705" t="s">
        <v>14</v>
      </c>
      <c r="U46" s="706">
        <f t="shared" si="13"/>
        <v>100</v>
      </c>
      <c r="V46" s="705" t="s">
        <v>14</v>
      </c>
      <c r="W46" s="706">
        <f t="shared" si="14"/>
        <v>100</v>
      </c>
      <c r="X46" s="3455"/>
      <c r="Y46" s="3777"/>
      <c r="Z46" s="3456">
        <f t="shared" si="15"/>
        <v>111</v>
      </c>
      <c r="AA46" s="3454">
        <f t="shared" si="3"/>
        <v>1</v>
      </c>
      <c r="AB46" s="3454">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76"/>
      <c r="Q47" s="3453">
        <f t="shared" si="11"/>
        <v>111</v>
      </c>
      <c r="R47" s="705" t="s">
        <v>14</v>
      </c>
      <c r="S47" s="706">
        <f t="shared" si="12"/>
        <v>100</v>
      </c>
      <c r="T47" s="705" t="s">
        <v>14</v>
      </c>
      <c r="U47" s="706">
        <f t="shared" si="13"/>
        <v>100</v>
      </c>
      <c r="V47" s="705" t="s">
        <v>14</v>
      </c>
      <c r="W47" s="706">
        <f t="shared" si="14"/>
        <v>100</v>
      </c>
      <c r="X47" s="3455"/>
      <c r="Y47" s="3778"/>
      <c r="Z47" s="3456">
        <f t="shared" si="15"/>
        <v>111</v>
      </c>
      <c r="AA47" s="3454">
        <f t="shared" si="3"/>
        <v>1</v>
      </c>
      <c r="AB47" s="3454">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52" t="str">
        <f>A48</f>
        <v>成交单价（元/平方米）</v>
      </c>
      <c r="Q48" s="3770"/>
      <c r="R48" s="3771">
        <f>E48</f>
        <v>0</v>
      </c>
      <c r="S48" s="3771"/>
      <c r="T48" s="3771">
        <f>G48</f>
        <v>0</v>
      </c>
      <c r="U48" s="3771"/>
      <c r="V48" s="3771">
        <f>I48</f>
        <v>0</v>
      </c>
      <c r="W48" s="3771"/>
      <c r="X48" s="397"/>
      <c r="Y48" s="712"/>
      <c r="Z48" s="397"/>
      <c r="AA48" s="397"/>
      <c r="AB48" s="397"/>
      <c r="AC48" s="578"/>
    </row>
    <row r="49" spans="1:29" ht="15.75" thickBot="1">
      <c r="A49" s="437" t="s">
        <v>1709</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52" t="str">
        <f>A49</f>
        <v>比较价值（元/平方米）</v>
      </c>
      <c r="Q49" s="3770"/>
      <c r="R49" s="3771" t="e">
        <f>IF(F1="售价",ROUND(PRODUCT(R48,AA7:AA47),0),ROUND(PRODUCT(R48,AA7:AA47),1))</f>
        <v>#DIV/0!</v>
      </c>
      <c r="S49" s="3771"/>
      <c r="T49" s="3771" t="e">
        <f>IF(F1="售价",ROUND(PRODUCT(T48,AB7:AB47),0),ROUND(PRODUCT(T48,AB7:AB47),1))</f>
        <v>#DIV/0!</v>
      </c>
      <c r="U49" s="3771"/>
      <c r="V49" s="3771" t="e">
        <f>IF(F1="售价",ROUND(PRODUCT(V48,AC7:AC47),0),ROUND(PRODUCT(V48,AC7:AC47),1))</f>
        <v>#DIV/0!</v>
      </c>
      <c r="W49" s="3771"/>
      <c r="X49" s="397"/>
      <c r="Y49" s="397"/>
      <c r="Z49" s="397"/>
      <c r="AA49" s="397"/>
      <c r="AB49" s="397"/>
      <c r="AC49" s="578"/>
    </row>
    <row r="50" spans="1:29" ht="15.75" thickBot="1">
      <c r="A50" s="441" t="s">
        <v>1710</v>
      </c>
      <c r="B50" s="442"/>
      <c r="C50" s="1163" t="e">
        <f>R50</f>
        <v>#DIV/0!</v>
      </c>
      <c r="D50" s="1163"/>
      <c r="E50" s="1163"/>
      <c r="F50" s="1163"/>
      <c r="G50" s="1163"/>
      <c r="H50" s="1163"/>
      <c r="I50" s="1163"/>
      <c r="J50" s="443"/>
      <c r="K50" s="715"/>
      <c r="L50" s="2724"/>
      <c r="M50" s="2716"/>
      <c r="N50" s="2716"/>
      <c r="O50" s="2716"/>
      <c r="P50" s="3838" t="str">
        <f>A50</f>
        <v>估价对象XX用房的比较价值（楼面单价，元/平方米）</v>
      </c>
      <c r="Q50" s="3839"/>
      <c r="R50" s="3840" t="e">
        <f>IF(F1="售价",ROUND(IF(D49="简单平均",AVERAGE(R49:V49),R49*F49+T49*H49+V49*J49),0),ROUND(IF(D49="简单平均",AVERAGE(R49:V49),R49*F49+T49*H49+V49*J49),1))</f>
        <v>#DIV/0!</v>
      </c>
      <c r="S50" s="3840"/>
      <c r="T50" s="3840"/>
      <c r="U50" s="3840"/>
      <c r="V50" s="3840"/>
      <c r="W50" s="38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E1" xr:uid="{00000000-0002-0000-1B00-000000000000}">
      <formula1>"项目模式,单套模式"</formula1>
    </dataValidation>
    <dataValidation type="list" allowBlank="1" showInputMessage="1" showErrorMessage="1" sqref="D49" xr:uid="{00000000-0002-0000-1B00-000001000000}">
      <formula1>"简单平均,加权平均"</formula1>
    </dataValidation>
    <dataValidation type="list" allowBlank="1" showInputMessage="1" showErrorMessage="1" sqref="F2" xr:uid="{00000000-0002-0000-1B00-000002000000}">
      <formula1>估价方法</formula1>
    </dataValidation>
    <dataValidation type="list" allowBlank="1" showInputMessage="1" showErrorMessage="1" sqref="C2" xr:uid="{00000000-0002-0000-1B00-000003000000}">
      <formula1>"需扣减承租人权益,——"</formula1>
    </dataValidation>
    <dataValidation type="list" allowBlank="1" showInputMessage="1" showErrorMessage="1" sqref="F1" xr:uid="{00000000-0002-0000-1B00-000004000000}">
      <formula1>"售价,租金"</formula1>
    </dataValidation>
    <dataValidation type="list" allowBlank="1" showInputMessage="1" showErrorMessage="1" sqref="C22 E22 G22 I22" xr:uid="{00000000-0002-0000-1B00-000005000000}">
      <formula1>基础设施水平</formula1>
    </dataValidation>
    <dataValidation type="list" allowBlank="1" showInputMessage="1" showErrorMessage="1" sqref="C8 E8 G8 I8" xr:uid="{00000000-0002-0000-1B00-000006000000}">
      <formula1>办公交易情况</formula1>
    </dataValidation>
    <dataValidation type="list" allowBlank="1" showInputMessage="1" showErrorMessage="1" sqref="C43 E43 G43 I43" xr:uid="{00000000-0002-0000-1B00-000007000000}">
      <formula1>办公内部装修</formula1>
    </dataValidation>
    <dataValidation type="list" allowBlank="1" showInputMessage="1" showErrorMessage="1" sqref="C41 E41 G41 I41" xr:uid="{00000000-0002-0000-1B00-000008000000}">
      <formula1>办公层高</formula1>
    </dataValidation>
    <dataValidation type="list" allowBlank="1" showInputMessage="1" showErrorMessage="1" sqref="C40 E40 G40 I40" xr:uid="{00000000-0002-0000-1B00-000009000000}">
      <formula1>办公基础设施水平</formula1>
    </dataValidation>
    <dataValidation type="list" allowBlank="1" showInputMessage="1" showErrorMessage="1" sqref="C39 E39 G39 I39" xr:uid="{00000000-0002-0000-1B00-00000A000000}">
      <formula1>办公物业管理</formula1>
    </dataValidation>
    <dataValidation type="list" allowBlank="1" showInputMessage="1" showErrorMessage="1" sqref="C38 E38 G38 I38" xr:uid="{00000000-0002-0000-1B00-00000B000000}">
      <formula1>写字楼等级</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3 E33 G33 I33" xr:uid="{00000000-0002-0000-1B00-00000D000000}">
      <formula1>办公建筑类型</formula1>
    </dataValidation>
    <dataValidation type="list" allowBlank="1" showInputMessage="1" showErrorMessage="1" sqref="C27 E27 G27 I27" xr:uid="{00000000-0002-0000-1B00-00000E000000}">
      <formula1>办公楼层</formula1>
    </dataValidation>
    <dataValidation type="list" allowBlank="1" showInputMessage="1" showErrorMessage="1" sqref="C28 E28 G28 I28" xr:uid="{00000000-0002-0000-1B00-00000F000000}">
      <formula1>办公朝向</formula1>
    </dataValidation>
    <dataValidation type="list" allowBlank="1" showInputMessage="1" showErrorMessage="1" sqref="G26 C26 E26 I26" xr:uid="{00000000-0002-0000-1B00-000010000000}">
      <formula1>办公道路级别</formula1>
    </dataValidation>
    <dataValidation type="list" allowBlank="1" showInputMessage="1" showErrorMessage="1" sqref="C16 E16 G16 I16" xr:uid="{00000000-0002-0000-1B00-000011000000}">
      <formula1>办公集聚程度</formula1>
    </dataValidation>
    <dataValidation type="list" allowBlank="1" showInputMessage="1" showErrorMessage="1" sqref="E9 G9 I9" xr:uid="{00000000-0002-0000-1B00-000012000000}">
      <formula1>办公用途</formula1>
    </dataValidation>
    <dataValidation type="list" allowBlank="1" showInputMessage="1" showErrorMessage="1" sqref="D1" xr:uid="{00000000-0002-0000-1B00-000013000000}">
      <formula1>项目类型</formula1>
    </dataValidation>
    <dataValidation type="list" allowBlank="1" showInputMessage="1" showErrorMessage="1" sqref="C44 E44 G44 I44" xr:uid="{00000000-0002-0000-1B00-000014000000}">
      <formula1>内部装修维护情况</formula1>
    </dataValidation>
    <dataValidation type="list" allowBlank="1" showInputMessage="1" showErrorMessage="1" sqref="E20 I20 G20 C20" xr:uid="{00000000-0002-0000-1B00-000015000000}">
      <formula1>公共配套设施</formula1>
    </dataValidation>
    <dataValidation type="list" allowBlank="1" showInputMessage="1" showErrorMessage="1" sqref="E18 G18 I18 C18" xr:uid="{00000000-0002-0000-1B00-000016000000}">
      <formula1>交通便捷度</formula1>
    </dataValidation>
    <dataValidation type="list" allowBlank="1" showInputMessage="1" showErrorMessage="1" sqref="E24 G24 I24 C24" xr:uid="{00000000-0002-0000-1B00-000017000000}">
      <formula1>环境</formula1>
    </dataValidation>
    <dataValidation type="list" allowBlank="1" showInputMessage="1" showErrorMessage="1" sqref="C35 E35 G35 I35" xr:uid="{00000000-0002-0000-1B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25" zoomScale="80" zoomScaleNormal="70" zoomScaleSheetLayoutView="80" workbookViewId="0">
      <selection activeCell="C36" sqref="C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3506</v>
      </c>
      <c r="E1" s="3433" t="s">
        <v>3524</v>
      </c>
      <c r="F1" s="1879" t="s">
        <v>3525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0.21029999999999999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4.0999999999999996</v>
      </c>
      <c r="C3" s="354" t="s">
        <v>1768</v>
      </c>
      <c r="D3" s="353">
        <f>IF(D1="",'数据-汇总表'!E3,SUMIF('数据-汇总表'!$C19:$C33,D1,'数据-汇总表'!$E19:$E33))</f>
        <v>512.87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829" t="s">
        <v>1775</v>
      </c>
      <c r="Q4" s="3830"/>
      <c r="R4" s="3833" t="s">
        <v>1771</v>
      </c>
      <c r="S4" s="3834"/>
      <c r="T4" s="3833" t="s">
        <v>1772</v>
      </c>
      <c r="U4" s="3834"/>
      <c r="V4" s="3835" t="s">
        <v>1773</v>
      </c>
      <c r="W4" s="3835"/>
      <c r="X4" s="1958"/>
      <c r="Y4" s="3833" t="s">
        <v>1775</v>
      </c>
      <c r="Z4" s="3834"/>
      <c r="AA4" s="3836" t="s">
        <v>1771</v>
      </c>
      <c r="AB4" s="3836" t="s">
        <v>1772</v>
      </c>
      <c r="AC4" s="3826" t="s">
        <v>1773</v>
      </c>
    </row>
    <row r="5" spans="1:29" ht="15">
      <c r="A5" s="358"/>
      <c r="B5" s="359"/>
      <c r="C5" s="3746" t="s">
        <v>1673</v>
      </c>
      <c r="D5" s="3747"/>
      <c r="E5" s="3841" t="s">
        <v>3530</v>
      </c>
      <c r="F5" s="3745"/>
      <c r="G5" s="3842" t="s">
        <v>3531</v>
      </c>
      <c r="H5" s="3747"/>
      <c r="I5" s="3842" t="s">
        <v>3532</v>
      </c>
      <c r="J5" s="3747"/>
      <c r="K5" s="559"/>
      <c r="L5" s="2715"/>
      <c r="M5" s="2716"/>
      <c r="N5" s="2716"/>
      <c r="O5" s="2716"/>
      <c r="P5" s="3831"/>
      <c r="Q5" s="3760"/>
      <c r="R5" s="3742"/>
      <c r="S5" s="3743"/>
      <c r="T5" s="3742"/>
      <c r="U5" s="3743"/>
      <c r="V5" s="3765"/>
      <c r="W5" s="3765"/>
      <c r="X5" s="1355"/>
      <c r="Y5" s="3742"/>
      <c r="Z5" s="3743"/>
      <c r="AA5" s="3736"/>
      <c r="AB5" s="3736"/>
      <c r="AC5" s="3827"/>
    </row>
    <row r="6" spans="1:29" ht="15.75" thickBot="1">
      <c r="A6" s="360"/>
      <c r="B6" s="361"/>
      <c r="C6" s="3748" t="s">
        <v>1677</v>
      </c>
      <c r="D6" s="3749"/>
      <c r="E6" s="3750" t="s">
        <v>1677</v>
      </c>
      <c r="F6" s="3751"/>
      <c r="G6" s="3748" t="s">
        <v>1677</v>
      </c>
      <c r="H6" s="3749"/>
      <c r="I6" s="3748" t="s">
        <v>1677</v>
      </c>
      <c r="J6" s="3749"/>
      <c r="K6" s="559" t="s">
        <v>1678</v>
      </c>
      <c r="L6" s="2715"/>
      <c r="M6" s="2716"/>
      <c r="N6" s="2716"/>
      <c r="O6" s="2716"/>
      <c r="P6" s="3832"/>
      <c r="Q6" s="3762"/>
      <c r="R6" s="3742"/>
      <c r="S6" s="3743"/>
      <c r="T6" s="3763"/>
      <c r="U6" s="3764"/>
      <c r="V6" s="3765"/>
      <c r="W6" s="3765"/>
      <c r="X6" s="1355"/>
      <c r="Y6" s="3763"/>
      <c r="Z6" s="3764"/>
      <c r="AA6" s="3737"/>
      <c r="AB6" s="3737"/>
      <c r="AC6" s="3828"/>
    </row>
    <row r="7" spans="1:29" s="108" customFormat="1" ht="15.75" thickBot="1">
      <c r="A7" s="362" t="s">
        <v>1679</v>
      </c>
      <c r="B7" s="363"/>
      <c r="C7" s="364">
        <f>'数据-取费表'!B2</f>
        <v>44991</v>
      </c>
      <c r="D7" s="365">
        <v>100</v>
      </c>
      <c r="E7" s="366">
        <v>44986</v>
      </c>
      <c r="F7" s="367">
        <f>SUMIF(59:59,YEAR(E7)&amp;"-"&amp;MONTH(E7),60:60)</f>
        <v>100</v>
      </c>
      <c r="G7" s="366">
        <v>44986</v>
      </c>
      <c r="H7" s="365">
        <f>SUMIF(59:59,YEAR(G7)&amp;"-"&amp;MONTH(G7),60:60)</f>
        <v>100</v>
      </c>
      <c r="I7" s="366">
        <v>44986</v>
      </c>
      <c r="J7" s="365">
        <f>SUMIF(59:59,YEAR(I7)&amp;"-"&amp;MONTH(I7),60:60)</f>
        <v>100</v>
      </c>
      <c r="K7" s="560"/>
      <c r="L7" s="2717"/>
      <c r="M7" s="2718"/>
      <c r="N7" s="2718"/>
      <c r="O7" s="2718"/>
      <c r="P7" s="3837" t="s">
        <v>1680</v>
      </c>
      <c r="Q7" s="3766"/>
      <c r="R7" s="701" t="s">
        <v>14</v>
      </c>
      <c r="S7" s="702">
        <f t="shared" ref="S7:S15" si="0">F7</f>
        <v>100</v>
      </c>
      <c r="T7" s="701" t="s">
        <v>14</v>
      </c>
      <c r="U7" s="702">
        <f t="shared" ref="U7:U15" si="1">H7</f>
        <v>100</v>
      </c>
      <c r="V7" s="701" t="s">
        <v>14</v>
      </c>
      <c r="W7" s="702">
        <f t="shared" ref="W7:W15" si="2">J7</f>
        <v>100</v>
      </c>
      <c r="X7" s="703"/>
      <c r="Y7" s="3738" t="s">
        <v>1680</v>
      </c>
      <c r="Z7" s="3739"/>
      <c r="AA7" s="704">
        <f>D7/F7</f>
        <v>1</v>
      </c>
      <c r="AB7" s="704">
        <f>D7/H7</f>
        <v>1</v>
      </c>
      <c r="AC7" s="1959">
        <f>D7/J7</f>
        <v>1</v>
      </c>
    </row>
    <row r="8" spans="1:29" s="108" customFormat="1" ht="15.75" thickBot="1">
      <c r="A8" s="362" t="s">
        <v>1681</v>
      </c>
      <c r="B8" s="363"/>
      <c r="C8" s="368" t="s">
        <v>3526</v>
      </c>
      <c r="D8" s="365">
        <v>100</v>
      </c>
      <c r="E8" s="368" t="s">
        <v>3526</v>
      </c>
      <c r="F8" s="367">
        <f>SUMIF(62:62,E8,63:63)-SUMIF(62:62,C8,63:63)+100</f>
        <v>100</v>
      </c>
      <c r="G8" s="368" t="s">
        <v>3526</v>
      </c>
      <c r="H8" s="365">
        <f>SUMIF(62:62,G8,63:63)-SUMIF(62:62,C8,63:63)+100</f>
        <v>100</v>
      </c>
      <c r="I8" s="368" t="s">
        <v>3526</v>
      </c>
      <c r="J8" s="365">
        <f>SUMIF(62:62,I8,63:63)-SUMIF(62:62,C8,63:63)+100</f>
        <v>100</v>
      </c>
      <c r="K8" s="560"/>
      <c r="L8" s="2717"/>
      <c r="M8" s="2718"/>
      <c r="N8" s="2718"/>
      <c r="O8" s="2718"/>
      <c r="P8" s="3837" t="s">
        <v>1683</v>
      </c>
      <c r="Q8" s="3739"/>
      <c r="R8" s="701" t="s">
        <v>14</v>
      </c>
      <c r="S8" s="702">
        <f t="shared" si="0"/>
        <v>100</v>
      </c>
      <c r="T8" s="701" t="s">
        <v>14</v>
      </c>
      <c r="U8" s="702">
        <f t="shared" si="1"/>
        <v>100</v>
      </c>
      <c r="V8" s="701" t="s">
        <v>14</v>
      </c>
      <c r="W8" s="702">
        <f t="shared" si="2"/>
        <v>100</v>
      </c>
      <c r="X8" s="703"/>
      <c r="Y8" s="3738" t="s">
        <v>1683</v>
      </c>
      <c r="Z8" s="3739"/>
      <c r="AA8" s="704">
        <f t="shared" ref="AA8:AA47" si="3">D8/F8</f>
        <v>1</v>
      </c>
      <c r="AB8" s="704">
        <f t="shared" ref="AB8:AB47" si="4">D8/H8</f>
        <v>1</v>
      </c>
      <c r="AC8" s="1959">
        <f t="shared" ref="AC8:AC47" si="5">D8/J8</f>
        <v>1</v>
      </c>
    </row>
    <row r="9" spans="1:29" s="108" customFormat="1" ht="15">
      <c r="A9" s="369" t="s">
        <v>1684</v>
      </c>
      <c r="B9" s="63" t="s">
        <v>1685</v>
      </c>
      <c r="C9" s="3519" t="s">
        <v>3527</v>
      </c>
      <c r="D9" s="126">
        <v>100</v>
      </c>
      <c r="E9" s="373" t="s">
        <v>21</v>
      </c>
      <c r="F9" s="126">
        <f>SUMIF(64:64,E9,65:65)-SUMIF(64:64,C9,65:65)+100</f>
        <v>105</v>
      </c>
      <c r="G9" s="373" t="s">
        <v>21</v>
      </c>
      <c r="H9" s="126">
        <f>SUMIF(64:64,G9,65:65)-SUMIF(64:64,C9,65:65)+100</f>
        <v>105</v>
      </c>
      <c r="I9" s="373" t="s">
        <v>21</v>
      </c>
      <c r="J9" s="126">
        <f>SUMIF(64:64,I9,65:65)-SUMIF(64:64,C9,65:65)+100</f>
        <v>105</v>
      </c>
      <c r="K9" s="560"/>
      <c r="L9" s="2717"/>
      <c r="M9" s="2718"/>
      <c r="N9" s="2718"/>
      <c r="O9" s="2718"/>
      <c r="P9" s="3752" t="s">
        <v>1686</v>
      </c>
      <c r="Q9" s="1343" t="str">
        <f t="shared" ref="Q9:Q15" si="6">B9</f>
        <v>用途</v>
      </c>
      <c r="R9" s="701" t="s">
        <v>14</v>
      </c>
      <c r="S9" s="702">
        <f t="shared" si="0"/>
        <v>105</v>
      </c>
      <c r="T9" s="701" t="s">
        <v>14</v>
      </c>
      <c r="U9" s="702">
        <f t="shared" si="1"/>
        <v>105</v>
      </c>
      <c r="V9" s="701" t="s">
        <v>14</v>
      </c>
      <c r="W9" s="702">
        <f t="shared" si="2"/>
        <v>105</v>
      </c>
      <c r="X9" s="703"/>
      <c r="Y9" s="3682" t="s">
        <v>1687</v>
      </c>
      <c r="Z9" s="52" t="str">
        <f t="shared" ref="Z9:Z15" si="7">Q9</f>
        <v>用途</v>
      </c>
      <c r="AA9" s="704">
        <f t="shared" si="3"/>
        <v>0.95238095238095233</v>
      </c>
      <c r="AB9" s="704">
        <f t="shared" si="4"/>
        <v>0.95238095238095233</v>
      </c>
      <c r="AC9" s="1959">
        <f t="shared" si="5"/>
        <v>0.95238095238095233</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52"/>
      <c r="Q10" s="1343" t="str">
        <f t="shared" si="6"/>
        <v>土地使用年限（年）</v>
      </c>
      <c r="R10" s="701" t="s">
        <v>14</v>
      </c>
      <c r="S10" s="702">
        <f t="shared" si="0"/>
        <v>100</v>
      </c>
      <c r="T10" s="701" t="s">
        <v>14</v>
      </c>
      <c r="U10" s="702">
        <f t="shared" si="1"/>
        <v>100</v>
      </c>
      <c r="V10" s="701" t="s">
        <v>14</v>
      </c>
      <c r="W10" s="702">
        <f t="shared" si="2"/>
        <v>100</v>
      </c>
      <c r="X10" s="703"/>
      <c r="Y10" s="368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2"/>
      <c r="Q11" s="1343" t="str">
        <f t="shared" si="6"/>
        <v>容积率</v>
      </c>
      <c r="R11" s="701" t="s">
        <v>14</v>
      </c>
      <c r="S11" s="702">
        <f t="shared" si="0"/>
        <v>100</v>
      </c>
      <c r="T11" s="701" t="s">
        <v>14</v>
      </c>
      <c r="U11" s="702">
        <f t="shared" si="1"/>
        <v>100</v>
      </c>
      <c r="V11" s="701" t="s">
        <v>14</v>
      </c>
      <c r="W11" s="702">
        <f t="shared" si="2"/>
        <v>100</v>
      </c>
      <c r="X11" s="703"/>
      <c r="Y11" s="368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2"/>
      <c r="Q12" s="1343">
        <f t="shared" si="6"/>
        <v>111</v>
      </c>
      <c r="R12" s="701" t="s">
        <v>14</v>
      </c>
      <c r="S12" s="702">
        <f t="shared" si="0"/>
        <v>100</v>
      </c>
      <c r="T12" s="701" t="s">
        <v>14</v>
      </c>
      <c r="U12" s="702">
        <f t="shared" si="1"/>
        <v>100</v>
      </c>
      <c r="V12" s="701" t="s">
        <v>14</v>
      </c>
      <c r="W12" s="702">
        <f t="shared" si="2"/>
        <v>100</v>
      </c>
      <c r="X12" s="703"/>
      <c r="Y12" s="368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2"/>
      <c r="Q13" s="1343">
        <f t="shared" si="6"/>
        <v>111</v>
      </c>
      <c r="R13" s="701" t="s">
        <v>14</v>
      </c>
      <c r="S13" s="702">
        <f t="shared" si="0"/>
        <v>100</v>
      </c>
      <c r="T13" s="701" t="s">
        <v>14</v>
      </c>
      <c r="U13" s="702">
        <f t="shared" si="1"/>
        <v>100</v>
      </c>
      <c r="V13" s="701" t="s">
        <v>14</v>
      </c>
      <c r="W13" s="702">
        <f t="shared" si="2"/>
        <v>100</v>
      </c>
      <c r="X13" s="703"/>
      <c r="Y13" s="368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2"/>
      <c r="Q14" s="1343">
        <f t="shared" si="6"/>
        <v>111</v>
      </c>
      <c r="R14" s="701" t="s">
        <v>14</v>
      </c>
      <c r="S14" s="702">
        <f t="shared" si="0"/>
        <v>100</v>
      </c>
      <c r="T14" s="701" t="s">
        <v>14</v>
      </c>
      <c r="U14" s="702">
        <f t="shared" si="1"/>
        <v>100</v>
      </c>
      <c r="V14" s="701" t="s">
        <v>14</v>
      </c>
      <c r="W14" s="702">
        <f t="shared" si="2"/>
        <v>100</v>
      </c>
      <c r="X14" s="703"/>
      <c r="Y14" s="368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79" t="s">
        <v>1691</v>
      </c>
      <c r="Q15" s="1352" t="str">
        <f t="shared" si="6"/>
        <v>办公集聚程度</v>
      </c>
      <c r="R15" s="705" t="s">
        <v>14</v>
      </c>
      <c r="S15" s="706">
        <f t="shared" si="0"/>
        <v>100</v>
      </c>
      <c r="T15" s="705" t="s">
        <v>14</v>
      </c>
      <c r="U15" s="706">
        <f t="shared" si="1"/>
        <v>100</v>
      </c>
      <c r="V15" s="705" t="s">
        <v>14</v>
      </c>
      <c r="W15" s="706">
        <f t="shared" si="2"/>
        <v>100</v>
      </c>
      <c r="X15" s="1355"/>
      <c r="Y15" s="3772" t="s">
        <v>1691</v>
      </c>
      <c r="Z15" s="1356" t="str">
        <f t="shared" si="7"/>
        <v>办公集聚程度</v>
      </c>
      <c r="AA15" s="1353">
        <f t="shared" si="3"/>
        <v>1</v>
      </c>
      <c r="AB15" s="1353">
        <f t="shared" si="4"/>
        <v>1</v>
      </c>
      <c r="AC15" s="1962">
        <f t="shared" si="5"/>
        <v>1</v>
      </c>
    </row>
    <row r="16" spans="1:29" ht="15">
      <c r="A16" s="379"/>
      <c r="B16" s="578"/>
      <c r="C16" s="1904" t="str">
        <f>基准地价修正!C93</f>
        <v>一般</v>
      </c>
      <c r="D16" s="399"/>
      <c r="E16" s="1904" t="s">
        <v>3519</v>
      </c>
      <c r="F16" s="399"/>
      <c r="G16" s="1904" t="s">
        <v>3519</v>
      </c>
      <c r="H16" s="401"/>
      <c r="I16" s="1904" t="s">
        <v>3519</v>
      </c>
      <c r="J16" s="399"/>
      <c r="K16" s="564"/>
      <c r="L16" s="2722"/>
      <c r="M16" s="2716"/>
      <c r="N16" s="2716"/>
      <c r="O16" s="2716"/>
      <c r="P16" s="3780"/>
      <c r="Q16" s="1352"/>
      <c r="R16" s="705"/>
      <c r="S16" s="706"/>
      <c r="T16" s="705"/>
      <c r="U16" s="706"/>
      <c r="V16" s="705"/>
      <c r="W16" s="706"/>
      <c r="X16" s="1355"/>
      <c r="Y16" s="377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80"/>
      <c r="Q17" s="1352" t="str">
        <f>B17</f>
        <v>交通便捷度</v>
      </c>
      <c r="R17" s="705" t="s">
        <v>14</v>
      </c>
      <c r="S17" s="706">
        <f>F17</f>
        <v>100</v>
      </c>
      <c r="T17" s="705" t="s">
        <v>14</v>
      </c>
      <c r="U17" s="706">
        <f>H17</f>
        <v>100</v>
      </c>
      <c r="V17" s="705" t="s">
        <v>14</v>
      </c>
      <c r="W17" s="706">
        <f>J17</f>
        <v>100</v>
      </c>
      <c r="X17" s="1355"/>
      <c r="Y17" s="3773"/>
      <c r="Z17" s="1356" t="str">
        <f>Q17</f>
        <v>交通便捷度</v>
      </c>
      <c r="AA17" s="1353">
        <f t="shared" si="3"/>
        <v>1</v>
      </c>
      <c r="AB17" s="1353">
        <f t="shared" si="4"/>
        <v>1</v>
      </c>
      <c r="AC17" s="1962">
        <f t="shared" si="5"/>
        <v>1</v>
      </c>
    </row>
    <row r="18" spans="1:29" ht="15">
      <c r="A18" s="379"/>
      <c r="B18" s="580"/>
      <c r="C18" s="1964" t="str">
        <f>基准地价修正!C94</f>
        <v>较好</v>
      </c>
      <c r="D18" s="401"/>
      <c r="E18" s="1964" t="s">
        <v>3520</v>
      </c>
      <c r="F18" s="401"/>
      <c r="G18" s="1964" t="s">
        <v>3520</v>
      </c>
      <c r="H18" s="399"/>
      <c r="I18" s="1964" t="s">
        <v>3520</v>
      </c>
      <c r="J18" s="399"/>
      <c r="K18" s="564"/>
      <c r="L18" s="2722"/>
      <c r="M18" s="2716"/>
      <c r="N18" s="2716"/>
      <c r="O18" s="2716"/>
      <c r="P18" s="3780"/>
      <c r="Q18" s="1352"/>
      <c r="R18" s="705"/>
      <c r="S18" s="706"/>
      <c r="T18" s="705"/>
      <c r="U18" s="706"/>
      <c r="V18" s="705"/>
      <c r="W18" s="706"/>
      <c r="X18" s="1355"/>
      <c r="Y18" s="377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80"/>
      <c r="Q19" s="1352" t="str">
        <f>B19</f>
        <v>公共配套设施</v>
      </c>
      <c r="R19" s="705" t="s">
        <v>14</v>
      </c>
      <c r="S19" s="706">
        <f>F19</f>
        <v>100</v>
      </c>
      <c r="T19" s="705" t="s">
        <v>14</v>
      </c>
      <c r="U19" s="706">
        <f>H19</f>
        <v>100</v>
      </c>
      <c r="V19" s="705" t="s">
        <v>14</v>
      </c>
      <c r="W19" s="706">
        <f>J19</f>
        <v>100</v>
      </c>
      <c r="X19" s="1355"/>
      <c r="Y19" s="3773"/>
      <c r="Z19" s="1356" t="str">
        <f>Q19</f>
        <v>公共配套设施</v>
      </c>
      <c r="AA19" s="1353">
        <f t="shared" si="3"/>
        <v>1</v>
      </c>
      <c r="AB19" s="1353">
        <f t="shared" si="4"/>
        <v>1</v>
      </c>
      <c r="AC19" s="1962">
        <f t="shared" si="5"/>
        <v>1</v>
      </c>
    </row>
    <row r="20" spans="1:29" ht="15">
      <c r="A20" s="379"/>
      <c r="B20" s="580"/>
      <c r="C20" s="1904" t="str">
        <f>基准地价修正!C99</f>
        <v>较好</v>
      </c>
      <c r="D20" s="399"/>
      <c r="E20" s="1897" t="s">
        <v>3520</v>
      </c>
      <c r="F20" s="399"/>
      <c r="G20" s="1898" t="s">
        <v>3520</v>
      </c>
      <c r="H20" s="399"/>
      <c r="I20" s="1898" t="s">
        <v>3520</v>
      </c>
      <c r="J20" s="399"/>
      <c r="K20" s="564"/>
      <c r="L20" s="2722"/>
      <c r="M20" s="2716"/>
      <c r="N20" s="2716"/>
      <c r="O20" s="2716"/>
      <c r="P20" s="3780"/>
      <c r="Q20" s="1352"/>
      <c r="R20" s="705"/>
      <c r="S20" s="706"/>
      <c r="T20" s="705"/>
      <c r="U20" s="706"/>
      <c r="V20" s="705"/>
      <c r="W20" s="706"/>
      <c r="X20" s="1355"/>
      <c r="Y20" s="377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80"/>
      <c r="Q21" s="1352" t="str">
        <f>B21</f>
        <v>基础设施水平</v>
      </c>
      <c r="R21" s="705" t="s">
        <v>14</v>
      </c>
      <c r="S21" s="706">
        <f>F21</f>
        <v>100</v>
      </c>
      <c r="T21" s="705" t="s">
        <v>14</v>
      </c>
      <c r="U21" s="706">
        <f>H21</f>
        <v>100</v>
      </c>
      <c r="V21" s="705" t="s">
        <v>14</v>
      </c>
      <c r="W21" s="706">
        <f>J21</f>
        <v>100</v>
      </c>
      <c r="X21" s="1355"/>
      <c r="Y21" s="3773"/>
      <c r="Z21" s="1356" t="str">
        <f>Q21</f>
        <v>基础设施水平</v>
      </c>
      <c r="AA21" s="1353">
        <f t="shared" ref="AA21" si="8">D21/F21</f>
        <v>1</v>
      </c>
      <c r="AB21" s="1353">
        <f t="shared" ref="AB21" si="9">D21/H21</f>
        <v>1</v>
      </c>
      <c r="AC21" s="1962">
        <f t="shared" ref="AC21" si="10">D21/J21</f>
        <v>1</v>
      </c>
    </row>
    <row r="22" spans="1:29" ht="15">
      <c r="A22" s="379"/>
      <c r="B22" s="581"/>
      <c r="C22" s="1964" t="s">
        <v>3529</v>
      </c>
      <c r="D22" s="399"/>
      <c r="E22" s="398" t="s">
        <v>3529</v>
      </c>
      <c r="F22" s="399"/>
      <c r="G22" s="398" t="s">
        <v>3529</v>
      </c>
      <c r="H22" s="399"/>
      <c r="I22" s="398" t="s">
        <v>3529</v>
      </c>
      <c r="J22" s="399"/>
      <c r="K22" s="1130"/>
      <c r="L22" s="2722"/>
      <c r="M22" s="2716"/>
      <c r="N22" s="2716"/>
      <c r="O22" s="2716"/>
      <c r="P22" s="3780"/>
      <c r="Q22" s="1352"/>
      <c r="R22" s="705"/>
      <c r="S22" s="706"/>
      <c r="T22" s="705"/>
      <c r="U22" s="706"/>
      <c r="V22" s="705"/>
      <c r="W22" s="706"/>
      <c r="X22" s="1355"/>
      <c r="Y22" s="377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80"/>
      <c r="Q23" s="1352" t="str">
        <f>B23</f>
        <v>环境质量</v>
      </c>
      <c r="R23" s="705" t="s">
        <v>14</v>
      </c>
      <c r="S23" s="706">
        <f>F23</f>
        <v>100</v>
      </c>
      <c r="T23" s="705" t="s">
        <v>14</v>
      </c>
      <c r="U23" s="706">
        <f>H23</f>
        <v>100</v>
      </c>
      <c r="V23" s="705" t="s">
        <v>14</v>
      </c>
      <c r="W23" s="706">
        <f>J23</f>
        <v>100</v>
      </c>
      <c r="X23" s="1355"/>
      <c r="Y23" s="3773"/>
      <c r="Z23" s="1356" t="str">
        <f>Q23</f>
        <v>环境质量</v>
      </c>
      <c r="AA23" s="1353">
        <f t="shared" si="3"/>
        <v>1</v>
      </c>
      <c r="AB23" s="1353">
        <f t="shared" si="4"/>
        <v>1</v>
      </c>
      <c r="AC23" s="1962">
        <f t="shared" si="5"/>
        <v>1</v>
      </c>
    </row>
    <row r="24" spans="1:29" ht="15">
      <c r="A24" s="379"/>
      <c r="B24" s="581"/>
      <c r="C24" s="1904" t="str">
        <f>基准地价修正!C101</f>
        <v>较好</v>
      </c>
      <c r="D24" s="399"/>
      <c r="E24" s="1897" t="s">
        <v>3520</v>
      </c>
      <c r="F24" s="399"/>
      <c r="G24" s="1897" t="s">
        <v>3520</v>
      </c>
      <c r="H24" s="399"/>
      <c r="I24" s="1897" t="s">
        <v>3520</v>
      </c>
      <c r="J24" s="399"/>
      <c r="K24" s="564"/>
      <c r="L24" s="2722"/>
      <c r="M24" s="2716"/>
      <c r="N24" s="2716"/>
      <c r="O24" s="2716"/>
      <c r="P24" s="3780"/>
      <c r="Q24" s="1352"/>
      <c r="R24" s="705"/>
      <c r="S24" s="706"/>
      <c r="T24" s="705"/>
      <c r="U24" s="706"/>
      <c r="V24" s="705"/>
      <c r="W24" s="706"/>
      <c r="X24" s="1355"/>
      <c r="Y24" s="377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80"/>
      <c r="Q25" s="1352" t="str">
        <f>B25</f>
        <v>毗邻道路的类型与等级</v>
      </c>
      <c r="R25" s="705" t="s">
        <v>14</v>
      </c>
      <c r="S25" s="706">
        <f>F25</f>
        <v>100</v>
      </c>
      <c r="T25" s="705" t="s">
        <v>14</v>
      </c>
      <c r="U25" s="706">
        <f>H25</f>
        <v>100</v>
      </c>
      <c r="V25" s="705" t="s">
        <v>14</v>
      </c>
      <c r="W25" s="706">
        <f>J25</f>
        <v>100</v>
      </c>
      <c r="X25" s="1355"/>
      <c r="Y25" s="37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80"/>
      <c r="Q26" s="1352"/>
      <c r="R26" s="705"/>
      <c r="S26" s="706"/>
      <c r="T26" s="705"/>
      <c r="U26" s="706"/>
      <c r="V26" s="705"/>
      <c r="W26" s="706"/>
      <c r="X26" s="1355"/>
      <c r="Y26" s="3773"/>
      <c r="Z26" s="1356"/>
      <c r="AA26" s="1353">
        <v>1</v>
      </c>
      <c r="AB26" s="1353">
        <v>1</v>
      </c>
      <c r="AC26" s="1962">
        <v>1</v>
      </c>
    </row>
    <row r="27" spans="1:29" ht="15">
      <c r="A27" s="379"/>
      <c r="B27" s="580" t="s">
        <v>1783</v>
      </c>
      <c r="C27" s="582" t="s">
        <v>3535</v>
      </c>
      <c r="D27" s="386">
        <v>100</v>
      </c>
      <c r="E27" s="565" t="s">
        <v>3535</v>
      </c>
      <c r="F27" s="386">
        <f>SUMIF(89:89,E27,90:90)-SUMIF(89:89,C27,90:90)+100</f>
        <v>100</v>
      </c>
      <c r="G27" s="582" t="s">
        <v>3533</v>
      </c>
      <c r="H27" s="386">
        <f>SUMIF(89:89,G27,90:90)-SUMIF(89:89,C27,90:90)+100</f>
        <v>101</v>
      </c>
      <c r="I27" s="565" t="s">
        <v>3535</v>
      </c>
      <c r="J27" s="386">
        <f>SUMIF(89:89,I27,90:90)-SUMIF(89:89,C27,90:90)+100</f>
        <v>100</v>
      </c>
      <c r="K27" s="561">
        <v>1</v>
      </c>
      <c r="L27" s="2722"/>
      <c r="M27" s="2716"/>
      <c r="N27" s="2716"/>
      <c r="O27" s="2716"/>
      <c r="P27" s="3780"/>
      <c r="Q27" s="1352" t="str">
        <f t="shared" ref="Q27:Q47" si="11">B27</f>
        <v>楼层</v>
      </c>
      <c r="R27" s="705" t="s">
        <v>14</v>
      </c>
      <c r="S27" s="706">
        <f>F27</f>
        <v>100</v>
      </c>
      <c r="T27" s="705" t="s">
        <v>14</v>
      </c>
      <c r="U27" s="706">
        <f>H27</f>
        <v>101</v>
      </c>
      <c r="V27" s="705" t="s">
        <v>14</v>
      </c>
      <c r="W27" s="706">
        <f>J27</f>
        <v>100</v>
      </c>
      <c r="X27" s="1355"/>
      <c r="Y27" s="3773"/>
      <c r="Z27" s="1356" t="str">
        <f>Q27</f>
        <v>楼层</v>
      </c>
      <c r="AA27" s="1353">
        <f t="shared" si="3"/>
        <v>1</v>
      </c>
      <c r="AB27" s="1353">
        <f t="shared" si="4"/>
        <v>0.99009900990099009</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80"/>
      <c r="Q28" s="1343" t="str">
        <f t="shared" si="11"/>
        <v>朝向</v>
      </c>
      <c r="R28" s="701" t="s">
        <v>14</v>
      </c>
      <c r="S28" s="702">
        <f>F28</f>
        <v>100</v>
      </c>
      <c r="T28" s="701" t="s">
        <v>14</v>
      </c>
      <c r="U28" s="702">
        <f>H28</f>
        <v>100</v>
      </c>
      <c r="V28" s="701" t="s">
        <v>14</v>
      </c>
      <c r="W28" s="702">
        <f>J28</f>
        <v>100</v>
      </c>
      <c r="X28" s="703"/>
      <c r="Y28" s="37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80"/>
      <c r="Q29" s="1352">
        <f t="shared" si="11"/>
        <v>111</v>
      </c>
      <c r="R29" s="705" t="s">
        <v>14</v>
      </c>
      <c r="S29" s="706">
        <f t="shared" ref="S29:S47" si="12">F29</f>
        <v>100</v>
      </c>
      <c r="T29" s="705" t="s">
        <v>14</v>
      </c>
      <c r="U29" s="706">
        <f t="shared" ref="U29:U47" si="13">H29</f>
        <v>100</v>
      </c>
      <c r="V29" s="705" t="s">
        <v>14</v>
      </c>
      <c r="W29" s="706">
        <f t="shared" ref="W29:W47" si="14">J29</f>
        <v>100</v>
      </c>
      <c r="X29" s="1355"/>
      <c r="Y29" s="37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80"/>
      <c r="Q30" s="1352">
        <f t="shared" si="11"/>
        <v>111</v>
      </c>
      <c r="R30" s="705" t="s">
        <v>14</v>
      </c>
      <c r="S30" s="706">
        <f t="shared" si="12"/>
        <v>100</v>
      </c>
      <c r="T30" s="705" t="s">
        <v>14</v>
      </c>
      <c r="U30" s="706">
        <f t="shared" si="13"/>
        <v>100</v>
      </c>
      <c r="V30" s="705" t="s">
        <v>14</v>
      </c>
      <c r="W30" s="706">
        <f t="shared" si="14"/>
        <v>100</v>
      </c>
      <c r="X30" s="1355"/>
      <c r="Y30" s="37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80"/>
      <c r="Q31" s="1352">
        <f t="shared" si="11"/>
        <v>111</v>
      </c>
      <c r="R31" s="705" t="s">
        <v>14</v>
      </c>
      <c r="S31" s="706">
        <f t="shared" si="12"/>
        <v>100</v>
      </c>
      <c r="T31" s="705" t="s">
        <v>14</v>
      </c>
      <c r="U31" s="706">
        <f t="shared" si="13"/>
        <v>100</v>
      </c>
      <c r="V31" s="705" t="s">
        <v>14</v>
      </c>
      <c r="W31" s="706">
        <f t="shared" si="14"/>
        <v>100</v>
      </c>
      <c r="X31" s="1355"/>
      <c r="Y31" s="377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80"/>
      <c r="Q32" s="1352">
        <f t="shared" si="11"/>
        <v>111</v>
      </c>
      <c r="R32" s="705" t="s">
        <v>14</v>
      </c>
      <c r="S32" s="706">
        <f t="shared" si="12"/>
        <v>100</v>
      </c>
      <c r="T32" s="705" t="s">
        <v>14</v>
      </c>
      <c r="U32" s="706">
        <f t="shared" si="13"/>
        <v>100</v>
      </c>
      <c r="V32" s="705" t="s">
        <v>14</v>
      </c>
      <c r="W32" s="706">
        <f t="shared" si="14"/>
        <v>100</v>
      </c>
      <c r="X32" s="1355"/>
      <c r="Y32" s="3773"/>
      <c r="Z32" s="1356">
        <f t="shared" si="15"/>
        <v>111</v>
      </c>
      <c r="AA32" s="1353">
        <f t="shared" si="3"/>
        <v>1</v>
      </c>
      <c r="AB32" s="1353">
        <f t="shared" si="4"/>
        <v>1</v>
      </c>
      <c r="AC32" s="1962">
        <f t="shared" si="5"/>
        <v>1</v>
      </c>
    </row>
    <row r="33" spans="1:29" ht="15">
      <c r="A33" s="391" t="s">
        <v>1694</v>
      </c>
      <c r="B33" s="63" t="s">
        <v>1817</v>
      </c>
      <c r="C33" s="1967" t="s">
        <v>3554</v>
      </c>
      <c r="D33" s="418">
        <v>100</v>
      </c>
      <c r="E33" s="1967" t="s">
        <v>3557</v>
      </c>
      <c r="F33" s="412">
        <f>SUMIF(101:101,E33,102:102)-SUMIF(101:101,C33,102:102)+100</f>
        <v>98</v>
      </c>
      <c r="G33" s="1967" t="s">
        <v>3557</v>
      </c>
      <c r="H33" s="386">
        <f>SUMIF(101:101,G33,102:102)-SUMIF(101:101,C33,102:102)+100</f>
        <v>98</v>
      </c>
      <c r="I33" s="1967" t="s">
        <v>3557</v>
      </c>
      <c r="J33" s="418">
        <f>SUMIF(101:101,I33,102:102)-SUMIF(101:101,C33,102:102)+100</f>
        <v>98</v>
      </c>
      <c r="K33" s="561">
        <v>1</v>
      </c>
      <c r="L33" s="2722"/>
      <c r="M33" s="2716"/>
      <c r="N33" s="2716"/>
      <c r="O33" s="2716"/>
      <c r="P33" s="3774" t="s">
        <v>1696</v>
      </c>
      <c r="Q33" s="1352" t="str">
        <f t="shared" si="11"/>
        <v>建筑类型</v>
      </c>
      <c r="R33" s="705" t="s">
        <v>14</v>
      </c>
      <c r="S33" s="706">
        <f t="shared" si="12"/>
        <v>98</v>
      </c>
      <c r="T33" s="705" t="s">
        <v>14</v>
      </c>
      <c r="U33" s="706">
        <f t="shared" si="13"/>
        <v>98</v>
      </c>
      <c r="V33" s="705" t="s">
        <v>14</v>
      </c>
      <c r="W33" s="706">
        <f t="shared" si="14"/>
        <v>98</v>
      </c>
      <c r="X33" s="1355"/>
      <c r="Y33" s="3777" t="s">
        <v>1696</v>
      </c>
      <c r="Z33" s="1356" t="str">
        <f t="shared" si="15"/>
        <v>建筑类型</v>
      </c>
      <c r="AA33" s="1353">
        <f t="shared" si="3"/>
        <v>1.0204081632653061</v>
      </c>
      <c r="AB33" s="1353">
        <f t="shared" si="4"/>
        <v>1.0204081632653061</v>
      </c>
      <c r="AC33" s="1962">
        <f t="shared" si="5"/>
        <v>1.0204081632653061</v>
      </c>
    </row>
    <row r="34" spans="1:29" s="422" customFormat="1" ht="15">
      <c r="A34" s="419"/>
      <c r="B34" s="375" t="s">
        <v>1697</v>
      </c>
      <c r="C34" s="420">
        <f>'数据-汇总表'!F19</f>
        <v>512.87</v>
      </c>
      <c r="D34" s="127">
        <v>100</v>
      </c>
      <c r="E34" s="381">
        <v>800</v>
      </c>
      <c r="F34" s="376">
        <f>LOOKUP(E34,104:104,105:105)-LOOKUP(C34,104:104,105:105)+100</f>
        <v>98</v>
      </c>
      <c r="G34" s="380">
        <v>300</v>
      </c>
      <c r="H34" s="127">
        <f>LOOKUP(G34,104:104,105:105)-LOOKUP(C34,104:104,105:105)+100</f>
        <v>102</v>
      </c>
      <c r="I34" s="380">
        <v>220</v>
      </c>
      <c r="J34" s="127">
        <f>LOOKUP(I34,104:104,105:105)-LOOKUP(C34,104:104,105:105)+100</f>
        <v>102</v>
      </c>
      <c r="K34" s="562"/>
      <c r="L34" s="2721"/>
      <c r="M34" s="2723"/>
      <c r="N34" s="2723"/>
      <c r="O34" s="2723"/>
      <c r="P34" s="3775"/>
      <c r="Q34" s="707" t="str">
        <f t="shared" si="11"/>
        <v>项目建筑规模</v>
      </c>
      <c r="R34" s="708" t="s">
        <v>14</v>
      </c>
      <c r="S34" s="709">
        <f t="shared" si="12"/>
        <v>98</v>
      </c>
      <c r="T34" s="708" t="s">
        <v>14</v>
      </c>
      <c r="U34" s="709">
        <f t="shared" si="13"/>
        <v>102</v>
      </c>
      <c r="V34" s="708" t="s">
        <v>14</v>
      </c>
      <c r="W34" s="709">
        <f t="shared" si="14"/>
        <v>102</v>
      </c>
      <c r="X34" s="710"/>
      <c r="Y34" s="3777"/>
      <c r="Z34" s="711" t="str">
        <f t="shared" si="15"/>
        <v>项目建筑规模</v>
      </c>
      <c r="AA34" s="1353">
        <f t="shared" si="3"/>
        <v>1.0204081632653061</v>
      </c>
      <c r="AB34" s="1353">
        <f t="shared" si="4"/>
        <v>0.98039215686274506</v>
      </c>
      <c r="AC34" s="1962">
        <f t="shared" si="5"/>
        <v>0.98039215686274506</v>
      </c>
    </row>
    <row r="35" spans="1:29" ht="15">
      <c r="A35" s="423"/>
      <c r="B35" s="375" t="s">
        <v>1698</v>
      </c>
      <c r="C35" s="411" t="s">
        <v>3538</v>
      </c>
      <c r="D35" s="386">
        <v>100</v>
      </c>
      <c r="E35" s="411" t="s">
        <v>3538</v>
      </c>
      <c r="F35" s="412">
        <f>SUMIF(106:106,E35,107:107)-SUMIF(106:106,C35,107:107)+100</f>
        <v>100</v>
      </c>
      <c r="G35" s="411" t="s">
        <v>3538</v>
      </c>
      <c r="H35" s="386">
        <f>SUMIF(106:106,G35,107:107)-SUMIF(106:106,C35,107:107)+100</f>
        <v>100</v>
      </c>
      <c r="I35" s="411" t="s">
        <v>3538</v>
      </c>
      <c r="J35" s="386">
        <f>SUMIF(106:106,I35,107:107)-SUMIF(106:106,C35,107:107)+100</f>
        <v>100</v>
      </c>
      <c r="K35" s="561"/>
      <c r="L35" s="2722"/>
      <c r="M35" s="2716"/>
      <c r="N35" s="2716"/>
      <c r="O35" s="2716"/>
      <c r="P35" s="3775"/>
      <c r="Q35" s="1352" t="str">
        <f t="shared" si="11"/>
        <v>建筑结构</v>
      </c>
      <c r="R35" s="705" t="s">
        <v>14</v>
      </c>
      <c r="S35" s="706">
        <f t="shared" si="12"/>
        <v>100</v>
      </c>
      <c r="T35" s="705" t="s">
        <v>14</v>
      </c>
      <c r="U35" s="706">
        <f t="shared" si="13"/>
        <v>100</v>
      </c>
      <c r="V35" s="705" t="s">
        <v>14</v>
      </c>
      <c r="W35" s="706">
        <f t="shared" si="14"/>
        <v>100</v>
      </c>
      <c r="X35" s="1355"/>
      <c r="Y35" s="3777"/>
      <c r="Z35" s="1356" t="str">
        <f t="shared" si="15"/>
        <v>建筑结构</v>
      </c>
      <c r="AA35" s="1353">
        <f t="shared" si="3"/>
        <v>1</v>
      </c>
      <c r="AB35" s="1353">
        <f t="shared" si="4"/>
        <v>1</v>
      </c>
      <c r="AC35" s="1962">
        <f t="shared" si="5"/>
        <v>1</v>
      </c>
    </row>
    <row r="36" spans="1:29" ht="15">
      <c r="A36" s="423"/>
      <c r="B36" s="375" t="s">
        <v>1785</v>
      </c>
      <c r="C36" s="411" t="s">
        <v>3541</v>
      </c>
      <c r="D36" s="386">
        <v>100</v>
      </c>
      <c r="E36" s="3910" t="s">
        <v>3541</v>
      </c>
      <c r="F36" s="412">
        <f>SUMIF(108:108,E36,109:109)-SUMIF(108:108,C36,109:109)+100</f>
        <v>100</v>
      </c>
      <c r="G36" s="3910" t="s">
        <v>3541</v>
      </c>
      <c r="H36" s="386">
        <f>SUMIF(108:108,G36,109:109)-SUMIF(108:108,C36,109:109)+100</f>
        <v>100</v>
      </c>
      <c r="I36" s="3910" t="s">
        <v>3541</v>
      </c>
      <c r="J36" s="386">
        <f>SUMIF(108:108,I36,109:109)-SUMIF(108:108,C36,109:109)+100</f>
        <v>100</v>
      </c>
      <c r="K36" s="561">
        <v>1</v>
      </c>
      <c r="L36" s="2722"/>
      <c r="M36" s="2716"/>
      <c r="N36" s="2716"/>
      <c r="O36" s="2716"/>
      <c r="P36" s="3775"/>
      <c r="Q36" s="1352" t="str">
        <f t="shared" si="11"/>
        <v>公共部分装修</v>
      </c>
      <c r="R36" s="705" t="s">
        <v>14</v>
      </c>
      <c r="S36" s="706">
        <f t="shared" si="12"/>
        <v>100</v>
      </c>
      <c r="T36" s="705" t="s">
        <v>14</v>
      </c>
      <c r="U36" s="706">
        <f t="shared" si="13"/>
        <v>100</v>
      </c>
      <c r="V36" s="705" t="s">
        <v>14</v>
      </c>
      <c r="W36" s="706">
        <f t="shared" si="14"/>
        <v>100</v>
      </c>
      <c r="X36" s="1355"/>
      <c r="Y36" s="3777"/>
      <c r="Z36" s="1356" t="str">
        <f t="shared" si="15"/>
        <v>公共部分装修</v>
      </c>
      <c r="AA36" s="1353">
        <f t="shared" si="3"/>
        <v>1</v>
      </c>
      <c r="AB36" s="1353">
        <f t="shared" si="4"/>
        <v>1</v>
      </c>
      <c r="AC36" s="1962">
        <f t="shared" si="5"/>
        <v>1</v>
      </c>
    </row>
    <row r="37" spans="1:29" ht="15">
      <c r="A37" s="423"/>
      <c r="B37" s="375" t="s">
        <v>1786</v>
      </c>
      <c r="C37" s="425">
        <f>'数据-取费表'!N6</f>
        <v>0.68333333333333335</v>
      </c>
      <c r="D37" s="386">
        <v>100</v>
      </c>
      <c r="E37" s="425">
        <v>0.7</v>
      </c>
      <c r="F37" s="412">
        <f>LOOKUP(E37,111:111,112:112)-LOOKUP(C37,111:111,112:112)+100</f>
        <v>101</v>
      </c>
      <c r="G37" s="425">
        <v>0.8</v>
      </c>
      <c r="H37" s="412">
        <f>LOOKUP(G37,111:111,112:112)-LOOKUP(C37,111:111,112:112)+100</f>
        <v>102</v>
      </c>
      <c r="I37" s="425">
        <v>0.7</v>
      </c>
      <c r="J37" s="386">
        <f>LOOKUP(I37,111:111,112:112)-LOOKUP(C37,111:111,112:112)+100</f>
        <v>101</v>
      </c>
      <c r="K37" s="561">
        <v>1</v>
      </c>
      <c r="L37" s="2722"/>
      <c r="M37" s="2716"/>
      <c r="N37" s="2716"/>
      <c r="O37" s="2716"/>
      <c r="P37" s="3775"/>
      <c r="Q37" s="1352" t="str">
        <f t="shared" si="11"/>
        <v>成新度</v>
      </c>
      <c r="R37" s="705" t="s">
        <v>14</v>
      </c>
      <c r="S37" s="706">
        <f t="shared" si="12"/>
        <v>101</v>
      </c>
      <c r="T37" s="705" t="s">
        <v>14</v>
      </c>
      <c r="U37" s="706">
        <f t="shared" si="13"/>
        <v>102</v>
      </c>
      <c r="V37" s="705" t="s">
        <v>14</v>
      </c>
      <c r="W37" s="706">
        <f t="shared" si="14"/>
        <v>101</v>
      </c>
      <c r="X37" s="1355"/>
      <c r="Y37" s="3777"/>
      <c r="Z37" s="1356" t="str">
        <f t="shared" si="15"/>
        <v>成新度</v>
      </c>
      <c r="AA37" s="1353">
        <f t="shared" si="3"/>
        <v>0.99009900990099009</v>
      </c>
      <c r="AB37" s="1353">
        <f t="shared" si="4"/>
        <v>0.98039215686274506</v>
      </c>
      <c r="AC37" s="1962">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75"/>
      <c r="Q38" s="1343" t="str">
        <f t="shared" si="11"/>
        <v>写字楼等级</v>
      </c>
      <c r="R38" s="701" t="s">
        <v>14</v>
      </c>
      <c r="S38" s="702">
        <f t="shared" si="12"/>
        <v>100</v>
      </c>
      <c r="T38" s="701" t="s">
        <v>14</v>
      </c>
      <c r="U38" s="702">
        <f t="shared" si="13"/>
        <v>100</v>
      </c>
      <c r="V38" s="701" t="s">
        <v>14</v>
      </c>
      <c r="W38" s="702">
        <f t="shared" si="14"/>
        <v>100</v>
      </c>
      <c r="X38" s="703"/>
      <c r="Y38" s="3777"/>
      <c r="Z38" s="52" t="str">
        <f t="shared" si="15"/>
        <v>写字楼等级</v>
      </c>
      <c r="AA38" s="704">
        <f t="shared" si="3"/>
        <v>1</v>
      </c>
      <c r="AB38" s="704">
        <f t="shared" si="4"/>
        <v>1</v>
      </c>
      <c r="AC38" s="1959">
        <f t="shared" si="5"/>
        <v>1</v>
      </c>
    </row>
    <row r="39" spans="1:29" ht="15">
      <c r="A39" s="423"/>
      <c r="B39" s="375" t="s">
        <v>1819</v>
      </c>
      <c r="C39" s="411" t="s">
        <v>3561</v>
      </c>
      <c r="D39" s="386">
        <v>100</v>
      </c>
      <c r="E39" s="411" t="s">
        <v>3552</v>
      </c>
      <c r="F39" s="412">
        <f>SUMIF(115:115,E39,116:116)-SUMIF(115:115,C39,116:116)+100</f>
        <v>101</v>
      </c>
      <c r="G39" s="411" t="s">
        <v>3552</v>
      </c>
      <c r="H39" s="386">
        <f>SUMIF(115:115,G39,116:116)-SUMIF(115:115,C39,116:116)+100</f>
        <v>101</v>
      </c>
      <c r="I39" s="411" t="s">
        <v>3552</v>
      </c>
      <c r="J39" s="386">
        <f>SUMIF(115:115,I39,116:116)-SUMIF(115:115,C39,116:116)+100</f>
        <v>101</v>
      </c>
      <c r="K39" s="561">
        <v>1</v>
      </c>
      <c r="L39" s="2722"/>
      <c r="M39" s="2716"/>
      <c r="N39" s="2716"/>
      <c r="O39" s="2716"/>
      <c r="P39" s="3775" t="s">
        <v>1696</v>
      </c>
      <c r="Q39" s="1352" t="str">
        <f t="shared" si="11"/>
        <v>物业管理</v>
      </c>
      <c r="R39" s="705" t="s">
        <v>14</v>
      </c>
      <c r="S39" s="706">
        <f t="shared" si="12"/>
        <v>101</v>
      </c>
      <c r="T39" s="705" t="s">
        <v>14</v>
      </c>
      <c r="U39" s="706">
        <f t="shared" si="13"/>
        <v>101</v>
      </c>
      <c r="V39" s="705" t="s">
        <v>14</v>
      </c>
      <c r="W39" s="706">
        <f t="shared" si="14"/>
        <v>101</v>
      </c>
      <c r="X39" s="1355"/>
      <c r="Y39" s="3777" t="s">
        <v>1696</v>
      </c>
      <c r="Z39" s="1356" t="str">
        <f t="shared" si="15"/>
        <v>物业管理</v>
      </c>
      <c r="AA39" s="1353">
        <f t="shared" si="3"/>
        <v>0.99009900990099009</v>
      </c>
      <c r="AB39" s="1353">
        <f t="shared" si="4"/>
        <v>0.99009900990099009</v>
      </c>
      <c r="AC39" s="1962">
        <f t="shared" si="5"/>
        <v>0.99009900990099009</v>
      </c>
    </row>
    <row r="40" spans="1:29" ht="15">
      <c r="A40" s="423"/>
      <c r="B40" s="375" t="s">
        <v>1787</v>
      </c>
      <c r="C40" s="411" t="s">
        <v>3549</v>
      </c>
      <c r="D40" s="386">
        <v>100</v>
      </c>
      <c r="E40" s="3910" t="s">
        <v>3549</v>
      </c>
      <c r="F40" s="412">
        <f>SUMIF(117:117,E40,118:118)-SUMIF(117:117,C40,118:118)+100</f>
        <v>100</v>
      </c>
      <c r="G40" s="3910" t="s">
        <v>3549</v>
      </c>
      <c r="H40" s="386">
        <f>SUMIF(117:117,G40,118:118)-SUMIF(117:117,C40,118:118)+100</f>
        <v>100</v>
      </c>
      <c r="I40" s="3910" t="s">
        <v>3549</v>
      </c>
      <c r="J40" s="386">
        <f>SUMIF(117:117,I40,118:118)-SUMIF(117:117,C40,118:118)+100</f>
        <v>100</v>
      </c>
      <c r="K40" s="561">
        <v>1</v>
      </c>
      <c r="L40" s="2722"/>
      <c r="M40" s="2716"/>
      <c r="N40" s="2716"/>
      <c r="O40" s="2716"/>
      <c r="P40" s="3775"/>
      <c r="Q40" s="1352" t="str">
        <f t="shared" si="11"/>
        <v>市政基础设施</v>
      </c>
      <c r="R40" s="705" t="s">
        <v>14</v>
      </c>
      <c r="S40" s="706">
        <f t="shared" si="12"/>
        <v>100</v>
      </c>
      <c r="T40" s="705" t="s">
        <v>14</v>
      </c>
      <c r="U40" s="706">
        <f t="shared" si="13"/>
        <v>100</v>
      </c>
      <c r="V40" s="705" t="s">
        <v>14</v>
      </c>
      <c r="W40" s="706">
        <f t="shared" si="14"/>
        <v>100</v>
      </c>
      <c r="X40" s="1355"/>
      <c r="Y40" s="377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75"/>
      <c r="Q41" s="1352" t="str">
        <f t="shared" si="11"/>
        <v>层高</v>
      </c>
      <c r="R41" s="705" t="s">
        <v>14</v>
      </c>
      <c r="S41" s="706">
        <f t="shared" si="12"/>
        <v>100</v>
      </c>
      <c r="T41" s="705" t="s">
        <v>14</v>
      </c>
      <c r="U41" s="706">
        <f t="shared" si="13"/>
        <v>100</v>
      </c>
      <c r="V41" s="705" t="s">
        <v>14</v>
      </c>
      <c r="W41" s="706">
        <f t="shared" si="14"/>
        <v>100</v>
      </c>
      <c r="X41" s="1355"/>
      <c r="Y41" s="377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75"/>
      <c r="Q42" s="707" t="str">
        <f t="shared" si="11"/>
        <v>单套建筑面积</v>
      </c>
      <c r="R42" s="708" t="s">
        <v>14</v>
      </c>
      <c r="S42" s="709">
        <f t="shared" si="12"/>
        <v>100</v>
      </c>
      <c r="T42" s="708" t="s">
        <v>14</v>
      </c>
      <c r="U42" s="709">
        <f t="shared" si="13"/>
        <v>100</v>
      </c>
      <c r="V42" s="708" t="s">
        <v>14</v>
      </c>
      <c r="W42" s="709">
        <f t="shared" si="14"/>
        <v>100</v>
      </c>
      <c r="X42" s="710"/>
      <c r="Y42" s="3777"/>
      <c r="Z42" s="711" t="str">
        <f t="shared" si="15"/>
        <v>单套建筑面积</v>
      </c>
      <c r="AA42" s="1353">
        <f t="shared" si="3"/>
        <v>1</v>
      </c>
      <c r="AB42" s="1353">
        <f t="shared" si="4"/>
        <v>1</v>
      </c>
      <c r="AC42" s="1962">
        <f t="shared" si="5"/>
        <v>1</v>
      </c>
    </row>
    <row r="43" spans="1:29" ht="15">
      <c r="A43" s="423"/>
      <c r="B43" s="375" t="s">
        <v>1792</v>
      </c>
      <c r="C43" s="411" t="s">
        <v>3541</v>
      </c>
      <c r="D43" s="386">
        <v>100</v>
      </c>
      <c r="E43" s="411" t="s">
        <v>3541</v>
      </c>
      <c r="F43" s="412">
        <f>SUMIF(123:123,E43,124:124)-SUMIF(123:123,C43,124:124)+100</f>
        <v>100</v>
      </c>
      <c r="G43" s="411" t="s">
        <v>3541</v>
      </c>
      <c r="H43" s="386">
        <f>SUMIF(123:123,G43,124:124)-SUMIF(123:123,C43,124:124)+100</f>
        <v>100</v>
      </c>
      <c r="I43" s="411" t="s">
        <v>3541</v>
      </c>
      <c r="J43" s="386">
        <f>SUMIF(123:123,I43,124:124)-SUMIF(123:123,C43,124:124)+100</f>
        <v>100</v>
      </c>
      <c r="K43" s="561">
        <v>1</v>
      </c>
      <c r="L43" s="2722"/>
      <c r="M43" s="2716"/>
      <c r="N43" s="2716"/>
      <c r="O43" s="2716"/>
      <c r="P43" s="3775"/>
      <c r="Q43" s="1352" t="str">
        <f t="shared" si="11"/>
        <v>内部装修</v>
      </c>
      <c r="R43" s="705" t="s">
        <v>14</v>
      </c>
      <c r="S43" s="706">
        <f t="shared" si="12"/>
        <v>100</v>
      </c>
      <c r="T43" s="705" t="s">
        <v>14</v>
      </c>
      <c r="U43" s="706">
        <f t="shared" si="13"/>
        <v>100</v>
      </c>
      <c r="V43" s="705" t="s">
        <v>14</v>
      </c>
      <c r="W43" s="706">
        <f t="shared" si="14"/>
        <v>100</v>
      </c>
      <c r="X43" s="1355"/>
      <c r="Y43" s="3777"/>
      <c r="Z43" s="1356" t="str">
        <f t="shared" si="15"/>
        <v>内部装修</v>
      </c>
      <c r="AA43" s="1353">
        <f t="shared" si="3"/>
        <v>1</v>
      </c>
      <c r="AB43" s="1353">
        <f t="shared" si="4"/>
        <v>1</v>
      </c>
      <c r="AC43" s="1962">
        <f t="shared" si="5"/>
        <v>1</v>
      </c>
    </row>
    <row r="44" spans="1:29" ht="15">
      <c r="A44" s="423"/>
      <c r="B44" s="375" t="s">
        <v>1707</v>
      </c>
      <c r="C44" s="411" t="s">
        <v>3519</v>
      </c>
      <c r="D44" s="386">
        <v>100</v>
      </c>
      <c r="E44" s="3909" t="s">
        <v>3519</v>
      </c>
      <c r="F44" s="412">
        <f>SUMIF(125:125,E44,126:126)-SUMIF(125:125,C44,126:126)+100</f>
        <v>100</v>
      </c>
      <c r="G44" s="3909" t="s">
        <v>3519</v>
      </c>
      <c r="H44" s="386">
        <f>SUMIF(125:125,G44,126:126)-SUMIF(125:125,C44,126:126)+100</f>
        <v>100</v>
      </c>
      <c r="I44" s="3909" t="s">
        <v>3519</v>
      </c>
      <c r="J44" s="386">
        <f>SUMIF(125:125,I44,126:126)-SUMIF(125:125,C44,126:126)+100</f>
        <v>100</v>
      </c>
      <c r="K44" s="561">
        <v>1</v>
      </c>
      <c r="L44" s="2722"/>
      <c r="M44" s="2716"/>
      <c r="N44" s="2716"/>
      <c r="O44" s="2716"/>
      <c r="P44" s="3775"/>
      <c r="Q44" s="1352" t="str">
        <f t="shared" si="11"/>
        <v>内部装修维护情况</v>
      </c>
      <c r="R44" s="705" t="s">
        <v>14</v>
      </c>
      <c r="S44" s="706">
        <f t="shared" si="12"/>
        <v>100</v>
      </c>
      <c r="T44" s="705" t="s">
        <v>14</v>
      </c>
      <c r="U44" s="706">
        <f t="shared" si="13"/>
        <v>100</v>
      </c>
      <c r="V44" s="705" t="s">
        <v>14</v>
      </c>
      <c r="W44" s="706">
        <f t="shared" si="14"/>
        <v>100</v>
      </c>
      <c r="X44" s="1355"/>
      <c r="Y44" s="37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75"/>
      <c r="Q45" s="1343">
        <f t="shared" si="11"/>
        <v>111</v>
      </c>
      <c r="R45" s="701" t="s">
        <v>14</v>
      </c>
      <c r="S45" s="702">
        <f t="shared" si="12"/>
        <v>100</v>
      </c>
      <c r="T45" s="701" t="s">
        <v>14</v>
      </c>
      <c r="U45" s="702">
        <f t="shared" si="13"/>
        <v>100</v>
      </c>
      <c r="V45" s="701" t="s">
        <v>14</v>
      </c>
      <c r="W45" s="702">
        <f t="shared" si="14"/>
        <v>100</v>
      </c>
      <c r="X45" s="703"/>
      <c r="Y45" s="37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75"/>
      <c r="Q46" s="1352">
        <f t="shared" si="11"/>
        <v>111</v>
      </c>
      <c r="R46" s="705" t="s">
        <v>14</v>
      </c>
      <c r="S46" s="706">
        <f t="shared" si="12"/>
        <v>100</v>
      </c>
      <c r="T46" s="705" t="s">
        <v>14</v>
      </c>
      <c r="U46" s="706">
        <f t="shared" si="13"/>
        <v>100</v>
      </c>
      <c r="V46" s="705" t="s">
        <v>14</v>
      </c>
      <c r="W46" s="706">
        <f t="shared" si="14"/>
        <v>100</v>
      </c>
      <c r="X46" s="1355"/>
      <c r="Y46" s="377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76"/>
      <c r="Q47" s="1352">
        <f t="shared" si="11"/>
        <v>111</v>
      </c>
      <c r="R47" s="705" t="s">
        <v>14</v>
      </c>
      <c r="S47" s="706">
        <f t="shared" si="12"/>
        <v>100</v>
      </c>
      <c r="T47" s="705" t="s">
        <v>14</v>
      </c>
      <c r="U47" s="706">
        <f t="shared" si="13"/>
        <v>100</v>
      </c>
      <c r="V47" s="705" t="s">
        <v>14</v>
      </c>
      <c r="W47" s="706">
        <f t="shared" si="14"/>
        <v>100</v>
      </c>
      <c r="X47" s="1355"/>
      <c r="Y47" s="3778"/>
      <c r="Z47" s="1356">
        <f t="shared" si="15"/>
        <v>111</v>
      </c>
      <c r="AA47" s="1353">
        <f t="shared" si="3"/>
        <v>1</v>
      </c>
      <c r="AB47" s="1353">
        <f t="shared" si="4"/>
        <v>1</v>
      </c>
      <c r="AC47" s="1962">
        <f t="shared" si="5"/>
        <v>1</v>
      </c>
    </row>
    <row r="48" spans="1:29" ht="15">
      <c r="A48" s="430" t="s">
        <v>1708</v>
      </c>
      <c r="B48" s="431"/>
      <c r="C48" s="1154" t="s">
        <v>0</v>
      </c>
      <c r="D48" s="1155"/>
      <c r="E48" s="1156">
        <v>4</v>
      </c>
      <c r="F48" s="1157"/>
      <c r="G48" s="1158">
        <v>4.5</v>
      </c>
      <c r="H48" s="1159"/>
      <c r="I48" s="1156">
        <v>4.5</v>
      </c>
      <c r="J48" s="436"/>
      <c r="K48" s="714"/>
      <c r="L48" s="2724"/>
      <c r="M48" s="2716"/>
      <c r="N48" s="2716"/>
      <c r="O48" s="2716"/>
      <c r="P48" s="3752" t="str">
        <f>A48</f>
        <v>成交单价（元/平方米）</v>
      </c>
      <c r="Q48" s="3770"/>
      <c r="R48" s="3771">
        <f>E48</f>
        <v>4</v>
      </c>
      <c r="S48" s="3771"/>
      <c r="T48" s="3771">
        <f>G48</f>
        <v>4.5</v>
      </c>
      <c r="U48" s="3771"/>
      <c r="V48" s="3771">
        <f>I48</f>
        <v>4.5</v>
      </c>
      <c r="W48" s="3771"/>
      <c r="X48" s="397"/>
      <c r="Y48" s="712"/>
      <c r="Z48" s="397"/>
      <c r="AA48" s="397"/>
      <c r="AB48" s="397"/>
      <c r="AC48" s="578"/>
    </row>
    <row r="49" spans="1:29" ht="15.75" thickBot="1">
      <c r="A49" s="437" t="s">
        <v>1793</v>
      </c>
      <c r="B49" s="438"/>
      <c r="C49" s="1160">
        <f>R50</f>
        <v>4.0999999999999996</v>
      </c>
      <c r="D49" s="2317" t="s">
        <v>2138</v>
      </c>
      <c r="E49" s="1161">
        <f>R49</f>
        <v>3.9</v>
      </c>
      <c r="F49" s="2318"/>
      <c r="G49" s="1160">
        <f>T49</f>
        <v>4.0999999999999996</v>
      </c>
      <c r="H49" s="2318"/>
      <c r="I49" s="1161">
        <f>V49</f>
        <v>4.2</v>
      </c>
      <c r="J49" s="2318"/>
      <c r="K49" s="2320">
        <f>F49+H49+J49</f>
        <v>0</v>
      </c>
      <c r="L49" s="2724"/>
      <c r="M49" s="2716"/>
      <c r="N49" s="2716"/>
      <c r="O49" s="2716"/>
      <c r="P49" s="3752" t="str">
        <f>A49</f>
        <v>比较价值（元/平方米）</v>
      </c>
      <c r="Q49" s="3770"/>
      <c r="R49" s="3771">
        <f>IF(F1="售价",ROUND(PRODUCT(R48,AA7:AA47),0),ROUND(PRODUCT(R48,AA7:AA47),1))</f>
        <v>3.9</v>
      </c>
      <c r="S49" s="3771"/>
      <c r="T49" s="3771">
        <f>IF(F1="售价",ROUND(PRODUCT(T48,AB7:AB47),0),ROUND(PRODUCT(T48,AB7:AB47),1))</f>
        <v>4.0999999999999996</v>
      </c>
      <c r="U49" s="3771"/>
      <c r="V49" s="3771">
        <f>IF(F1="售价",ROUND(PRODUCT(V48,AC7:AC47),0),ROUND(PRODUCT(V48,AC7:AC47),1))</f>
        <v>4.2</v>
      </c>
      <c r="W49" s="3771"/>
      <c r="X49" s="397"/>
      <c r="Y49" s="397"/>
      <c r="Z49" s="397"/>
      <c r="AA49" s="397"/>
      <c r="AB49" s="397"/>
      <c r="AC49" s="578"/>
    </row>
    <row r="50" spans="1:29" ht="15.75" thickBot="1">
      <c r="A50" s="441" t="s">
        <v>1794</v>
      </c>
      <c r="B50" s="442"/>
      <c r="C50" s="1163">
        <f>R50</f>
        <v>4.0999999999999996</v>
      </c>
      <c r="D50" s="1163"/>
      <c r="E50" s="1163"/>
      <c r="F50" s="1163"/>
      <c r="G50" s="1163"/>
      <c r="H50" s="1163"/>
      <c r="I50" s="1163"/>
      <c r="J50" s="443"/>
      <c r="K50" s="715"/>
      <c r="L50" s="2724"/>
      <c r="M50" s="2716"/>
      <c r="N50" s="2716"/>
      <c r="O50" s="2716"/>
      <c r="P50" s="3838" t="str">
        <f>A50</f>
        <v>估价对象XX用房的比较价值（楼面单价，元/平方米）</v>
      </c>
      <c r="Q50" s="3839"/>
      <c r="R50" s="3840">
        <f>IF(F1="售价",ROUND(IF(D49="简单平均",AVERAGE(R49:V49),R49*F49+T49*H49+V49*J49),0),ROUND(IF(D49="简单平均",AVERAGE(R49:V49),R49*F49+T49*H49+V49*J49),1))</f>
        <v>4.0999999999999996</v>
      </c>
      <c r="S50" s="3840"/>
      <c r="T50" s="3840"/>
      <c r="U50" s="3840"/>
      <c r="V50" s="3840"/>
      <c r="W50" s="38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2.5641025641025772E-2</v>
      </c>
      <c r="F53" s="449" t="str">
        <f>IF(OR(E53&gt;=0.3,E53&lt;=-0.3),"超过30%","")</f>
        <v/>
      </c>
      <c r="G53" s="448">
        <f>IF(G48&lt;G49,G49/G48-1,G48/G49-1)</f>
        <v>9.7560975609756184E-2</v>
      </c>
      <c r="H53" s="449" t="str">
        <f>IF(OR(G53&gt;=0.3,G53&lt;=-0.3),"超过30%","")</f>
        <v/>
      </c>
      <c r="I53" s="448">
        <f>IF(I48&lt;I49,I49/I48-1,I48/I49-1)</f>
        <v>7.1428571428571397E-2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5.1282051282051322E-2</v>
      </c>
      <c r="F54" s="449" t="str">
        <f>IF(OR(E54&gt;=0.2,E54&lt;=-0.2),"超过20%","")</f>
        <v/>
      </c>
      <c r="G54" s="448">
        <f>IF(G49&lt;I49,I49/G49-1,G49/I49-1)</f>
        <v>2.4390243902439046E-2</v>
      </c>
      <c r="H54" s="449" t="str">
        <f>IF(OR(G54&gt;=0.2,G54&lt;=-0.2),"超过20%","")</f>
        <v/>
      </c>
      <c r="I54" s="448">
        <f>IF(I49&lt;E49,E49/I49-1,I49/E49-1)</f>
        <v>7.6923076923077094E-2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0.125</v>
      </c>
      <c r="F55" s="449" t="str">
        <f>IF(OR(E55&gt;=0.3,E55&lt;=-0.3),"超过30%","")</f>
        <v/>
      </c>
      <c r="G55" s="448">
        <f>IF(G48&lt;I48,I48/G48-1,G48/I48-1)</f>
        <v>0</v>
      </c>
      <c r="H55" s="449" t="str">
        <f>IF(OR(G55&gt;=0.3,G55&lt;=-0.3),"超过30%","")</f>
        <v/>
      </c>
      <c r="I55" s="448">
        <f>IF(I48&lt;E48,E48/I48-1,I48/E48-1)</f>
        <v>0.125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公共服务</v>
      </c>
      <c r="D64" s="3520" t="s">
        <v>3528</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105</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521" t="s">
        <v>3534</v>
      </c>
      <c r="D89" s="3521" t="s">
        <v>3536</v>
      </c>
      <c r="E89" s="3521" t="s">
        <v>3537</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520" t="s">
        <v>3555</v>
      </c>
      <c r="D101" s="3520" t="s">
        <v>3556</v>
      </c>
      <c r="E101" s="3520" t="s">
        <v>3558</v>
      </c>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0(含)-200</v>
      </c>
      <c r="D103" s="527" t="str">
        <f t="shared" ref="D103:L103" si="23">D104&amp;"(含)"&amp;"-"&amp;E104</f>
        <v>200(含)-500</v>
      </c>
      <c r="E103" s="527" t="str">
        <f t="shared" si="23"/>
        <v>500(含)-800</v>
      </c>
      <c r="F103" s="527" t="str">
        <f t="shared" si="23"/>
        <v>800(含)-1500</v>
      </c>
      <c r="G103" s="527" t="str">
        <f t="shared" si="23"/>
        <v>1500(含)-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v>
      </c>
      <c r="E104" s="544">
        <v>500</v>
      </c>
      <c r="F104" s="544">
        <v>800</v>
      </c>
      <c r="G104" s="544">
        <v>1500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H105" si="24">D105-2</f>
        <v>96</v>
      </c>
      <c r="F105" s="485">
        <f t="shared" si="24"/>
        <v>94</v>
      </c>
      <c r="G105" s="485">
        <f t="shared" si="24"/>
        <v>92</v>
      </c>
      <c r="H105" s="485">
        <f t="shared" si="24"/>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521" t="s">
        <v>3539</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521" t="s">
        <v>3540</v>
      </c>
      <c r="D108" s="3521" t="s">
        <v>3542</v>
      </c>
      <c r="E108" s="3521" t="s">
        <v>3543</v>
      </c>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521" t="s">
        <v>3553</v>
      </c>
      <c r="D115" s="3521" t="s">
        <v>3562</v>
      </c>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521" t="s">
        <v>3548</v>
      </c>
      <c r="D117" s="3521" t="s">
        <v>3550</v>
      </c>
      <c r="E117" s="3521" t="s">
        <v>3551</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521" t="s">
        <v>3544</v>
      </c>
      <c r="D123" s="3521" t="s">
        <v>3545</v>
      </c>
      <c r="E123" s="3521" t="s">
        <v>3546</v>
      </c>
      <c r="F123" s="3522" t="s">
        <v>3547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估价对象为北京市房地产，为所有。根据《国有土地使用证》[]，估价对象（分摊）出让国有建设用地使用权面积为0平方米，建筑面积为512.87平方米。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估价对象为北京市房地产,属开发建设的，该项目尚在开发建设中。根据《国有土地使用证》[]，估价对象（分摊）出让国有建设用地使用权面积为0平方米，规划建筑面积为512.87平方米。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512.87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913"/>
      <c r="M4" s="914"/>
      <c r="N4" s="914"/>
      <c r="O4" s="914"/>
      <c r="P4" s="3757" t="s">
        <v>1775</v>
      </c>
      <c r="Q4" s="3758"/>
      <c r="R4" s="3740" t="s">
        <v>1771</v>
      </c>
      <c r="S4" s="3741"/>
      <c r="T4" s="3740" t="s">
        <v>1772</v>
      </c>
      <c r="U4" s="3741"/>
      <c r="V4" s="3765" t="s">
        <v>1773</v>
      </c>
      <c r="W4" s="3765"/>
      <c r="X4" s="1355"/>
      <c r="Y4" s="3740" t="s">
        <v>1775</v>
      </c>
      <c r="Z4" s="3741"/>
      <c r="AA4" s="3735" t="s">
        <v>1771</v>
      </c>
      <c r="AB4" s="3736" t="s">
        <v>1772</v>
      </c>
      <c r="AC4" s="3735" t="s">
        <v>1773</v>
      </c>
    </row>
    <row r="5" spans="1:29" ht="15">
      <c r="A5" s="358"/>
      <c r="B5" s="359"/>
      <c r="C5" s="3746" t="s">
        <v>1673</v>
      </c>
      <c r="D5" s="3747"/>
      <c r="E5" s="3744" t="s">
        <v>1674</v>
      </c>
      <c r="F5" s="3745"/>
      <c r="G5" s="3746" t="s">
        <v>1675</v>
      </c>
      <c r="H5" s="3747"/>
      <c r="I5" s="3746" t="s">
        <v>1676</v>
      </c>
      <c r="J5" s="3747"/>
      <c r="K5" s="559"/>
      <c r="L5" s="913"/>
      <c r="M5" s="914"/>
      <c r="N5" s="914"/>
      <c r="O5" s="914"/>
      <c r="P5" s="3759"/>
      <c r="Q5" s="3760"/>
      <c r="R5" s="3742"/>
      <c r="S5" s="3743"/>
      <c r="T5" s="3742"/>
      <c r="U5" s="3743"/>
      <c r="V5" s="3765"/>
      <c r="W5" s="3765"/>
      <c r="X5" s="1355"/>
      <c r="Y5" s="3742"/>
      <c r="Z5" s="3743"/>
      <c r="AA5" s="3736"/>
      <c r="AB5" s="3736"/>
      <c r="AC5" s="3736"/>
    </row>
    <row r="6" spans="1:29" ht="15.75" thickBot="1">
      <c r="A6" s="360"/>
      <c r="B6" s="361"/>
      <c r="C6" s="3748" t="s">
        <v>1677</v>
      </c>
      <c r="D6" s="3749"/>
      <c r="E6" s="3750" t="s">
        <v>1677</v>
      </c>
      <c r="F6" s="3751"/>
      <c r="G6" s="3748" t="s">
        <v>1677</v>
      </c>
      <c r="H6" s="3749"/>
      <c r="I6" s="3748" t="s">
        <v>1677</v>
      </c>
      <c r="J6" s="3749"/>
      <c r="K6" s="559" t="s">
        <v>1678</v>
      </c>
      <c r="L6" s="913"/>
      <c r="M6" s="914"/>
      <c r="N6" s="914"/>
      <c r="O6" s="914"/>
      <c r="P6" s="3761"/>
      <c r="Q6" s="3762"/>
      <c r="R6" s="3742"/>
      <c r="S6" s="3743"/>
      <c r="T6" s="3763"/>
      <c r="U6" s="3764"/>
      <c r="V6" s="3765"/>
      <c r="W6" s="3765"/>
      <c r="X6" s="1355"/>
      <c r="Y6" s="3763"/>
      <c r="Z6" s="3764"/>
      <c r="AA6" s="3737"/>
      <c r="AB6" s="3737"/>
      <c r="AC6" s="3737"/>
    </row>
    <row r="7" spans="1:29" s="108" customFormat="1" ht="15.75" thickBot="1">
      <c r="A7" s="362" t="s">
        <v>1679</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5"/>
      <c r="M7" s="916"/>
      <c r="N7" s="916"/>
      <c r="O7" s="916"/>
      <c r="P7" s="3738" t="s">
        <v>1680</v>
      </c>
      <c r="Q7" s="3766"/>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8" t="s">
        <v>1683</v>
      </c>
      <c r="Q8" s="3739"/>
      <c r="R8" s="701" t="s">
        <v>14</v>
      </c>
      <c r="S8" s="702">
        <f t="shared" si="0"/>
        <v>100</v>
      </c>
      <c r="T8" s="701" t="s">
        <v>14</v>
      </c>
      <c r="U8" s="702">
        <f t="shared" si="1"/>
        <v>100</v>
      </c>
      <c r="V8" s="701" t="s">
        <v>14</v>
      </c>
      <c r="W8" s="702">
        <f t="shared" si="2"/>
        <v>100</v>
      </c>
      <c r="X8" s="703"/>
      <c r="Y8" s="3738" t="s">
        <v>1683</v>
      </c>
      <c r="Z8" s="373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0" t="s">
        <v>1686</v>
      </c>
      <c r="Q9" s="1343" t="str">
        <f t="shared" ref="Q9:Q15" si="6">B9</f>
        <v>用途</v>
      </c>
      <c r="R9" s="701" t="s">
        <v>14</v>
      </c>
      <c r="S9" s="702">
        <f t="shared" si="0"/>
        <v>100</v>
      </c>
      <c r="T9" s="701" t="s">
        <v>14</v>
      </c>
      <c r="U9" s="702">
        <f t="shared" si="1"/>
        <v>100</v>
      </c>
      <c r="V9" s="701" t="s">
        <v>14</v>
      </c>
      <c r="W9" s="702">
        <f t="shared" si="2"/>
        <v>100</v>
      </c>
      <c r="X9" s="703"/>
      <c r="Y9" s="368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70"/>
      <c r="Q10" s="1343" t="str">
        <f t="shared" si="6"/>
        <v>土地使用年限（年）</v>
      </c>
      <c r="R10" s="701" t="s">
        <v>14</v>
      </c>
      <c r="S10" s="702">
        <f t="shared" si="0"/>
        <v>100</v>
      </c>
      <c r="T10" s="701" t="s">
        <v>14</v>
      </c>
      <c r="U10" s="702">
        <f t="shared" si="1"/>
        <v>100</v>
      </c>
      <c r="V10" s="701" t="s">
        <v>14</v>
      </c>
      <c r="W10" s="702">
        <f t="shared" si="2"/>
        <v>100</v>
      </c>
      <c r="X10" s="703"/>
      <c r="Y10" s="368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0"/>
      <c r="Q11" s="1343" t="str">
        <f t="shared" si="6"/>
        <v>容积率</v>
      </c>
      <c r="R11" s="701" t="s">
        <v>14</v>
      </c>
      <c r="S11" s="702">
        <f t="shared" si="0"/>
        <v>100</v>
      </c>
      <c r="T11" s="701" t="s">
        <v>14</v>
      </c>
      <c r="U11" s="702">
        <f t="shared" si="1"/>
        <v>100</v>
      </c>
      <c r="V11" s="701" t="s">
        <v>14</v>
      </c>
      <c r="W11" s="702">
        <f t="shared" si="2"/>
        <v>100</v>
      </c>
      <c r="X11" s="703"/>
      <c r="Y11" s="368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0"/>
      <c r="Q12" s="1343">
        <f t="shared" si="6"/>
        <v>111</v>
      </c>
      <c r="R12" s="701" t="s">
        <v>14</v>
      </c>
      <c r="S12" s="702">
        <f t="shared" si="0"/>
        <v>100</v>
      </c>
      <c r="T12" s="701" t="s">
        <v>14</v>
      </c>
      <c r="U12" s="702">
        <f t="shared" si="1"/>
        <v>100</v>
      </c>
      <c r="V12" s="701" t="s">
        <v>14</v>
      </c>
      <c r="W12" s="702">
        <f t="shared" si="2"/>
        <v>100</v>
      </c>
      <c r="X12" s="703"/>
      <c r="Y12" s="368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0"/>
      <c r="Q13" s="1343">
        <f t="shared" si="6"/>
        <v>111</v>
      </c>
      <c r="R13" s="701" t="s">
        <v>14</v>
      </c>
      <c r="S13" s="702">
        <f t="shared" si="0"/>
        <v>100</v>
      </c>
      <c r="T13" s="701" t="s">
        <v>14</v>
      </c>
      <c r="U13" s="702">
        <f t="shared" si="1"/>
        <v>100</v>
      </c>
      <c r="V13" s="701" t="s">
        <v>14</v>
      </c>
      <c r="W13" s="702">
        <f t="shared" si="2"/>
        <v>100</v>
      </c>
      <c r="X13" s="703"/>
      <c r="Y13" s="368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0"/>
      <c r="Q14" s="1343">
        <f t="shared" si="6"/>
        <v>111</v>
      </c>
      <c r="R14" s="701" t="s">
        <v>14</v>
      </c>
      <c r="S14" s="702">
        <f t="shared" si="0"/>
        <v>100</v>
      </c>
      <c r="T14" s="701" t="s">
        <v>14</v>
      </c>
      <c r="U14" s="702">
        <f t="shared" si="1"/>
        <v>100</v>
      </c>
      <c r="V14" s="701" t="s">
        <v>14</v>
      </c>
      <c r="W14" s="702">
        <f t="shared" si="2"/>
        <v>100</v>
      </c>
      <c r="X14" s="703"/>
      <c r="Y14" s="368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2" t="s">
        <v>1691</v>
      </c>
      <c r="Q15" s="1352" t="str">
        <f t="shared" si="6"/>
        <v>产业集聚程度</v>
      </c>
      <c r="R15" s="705" t="s">
        <v>14</v>
      </c>
      <c r="S15" s="706">
        <f t="shared" si="0"/>
        <v>100</v>
      </c>
      <c r="T15" s="705" t="s">
        <v>14</v>
      </c>
      <c r="U15" s="706">
        <f t="shared" si="1"/>
        <v>100</v>
      </c>
      <c r="V15" s="705" t="s">
        <v>14</v>
      </c>
      <c r="W15" s="706">
        <f t="shared" si="2"/>
        <v>100</v>
      </c>
      <c r="X15" s="1355"/>
      <c r="Y15" s="377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3"/>
      <c r="Q16" s="1352"/>
      <c r="R16" s="705"/>
      <c r="S16" s="706"/>
      <c r="T16" s="705"/>
      <c r="U16" s="706"/>
      <c r="V16" s="705"/>
      <c r="W16" s="706"/>
      <c r="X16" s="1355"/>
      <c r="Y16" s="377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3"/>
      <c r="Q17" s="1352" t="str">
        <f>B17</f>
        <v>交通便捷度</v>
      </c>
      <c r="R17" s="705" t="s">
        <v>14</v>
      </c>
      <c r="S17" s="706">
        <f>F17</f>
        <v>100</v>
      </c>
      <c r="T17" s="705" t="s">
        <v>14</v>
      </c>
      <c r="U17" s="706">
        <f>H17</f>
        <v>100</v>
      </c>
      <c r="V17" s="705" t="s">
        <v>14</v>
      </c>
      <c r="W17" s="706">
        <f>J17</f>
        <v>100</v>
      </c>
      <c r="X17" s="1355"/>
      <c r="Y17" s="37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73"/>
      <c r="Q18" s="1352"/>
      <c r="R18" s="705"/>
      <c r="S18" s="706"/>
      <c r="T18" s="705"/>
      <c r="U18" s="706"/>
      <c r="V18" s="705"/>
      <c r="W18" s="706"/>
      <c r="X18" s="1355"/>
      <c r="Y18" s="377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3"/>
      <c r="Q19" s="1352" t="str">
        <f>B19</f>
        <v>公共配套设施</v>
      </c>
      <c r="R19" s="705" t="s">
        <v>14</v>
      </c>
      <c r="S19" s="706">
        <f>F19</f>
        <v>100</v>
      </c>
      <c r="T19" s="705" t="s">
        <v>14</v>
      </c>
      <c r="U19" s="706">
        <f>H19</f>
        <v>100</v>
      </c>
      <c r="V19" s="705" t="s">
        <v>14</v>
      </c>
      <c r="W19" s="706">
        <f>J19</f>
        <v>100</v>
      </c>
      <c r="X19" s="1355"/>
      <c r="Y19" s="37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73"/>
      <c r="Q20" s="1352"/>
      <c r="R20" s="705"/>
      <c r="S20" s="706"/>
      <c r="T20" s="705"/>
      <c r="U20" s="706"/>
      <c r="V20" s="705"/>
      <c r="W20" s="706"/>
      <c r="X20" s="1355"/>
      <c r="Y20" s="377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3"/>
      <c r="Q21" s="1352" t="str">
        <f>B21</f>
        <v>基础设施水平</v>
      </c>
      <c r="R21" s="705" t="s">
        <v>14</v>
      </c>
      <c r="S21" s="706">
        <f>F21</f>
        <v>100</v>
      </c>
      <c r="T21" s="705" t="s">
        <v>14</v>
      </c>
      <c r="U21" s="706">
        <f>H21</f>
        <v>100</v>
      </c>
      <c r="V21" s="705" t="s">
        <v>14</v>
      </c>
      <c r="W21" s="706">
        <f>J21</f>
        <v>100</v>
      </c>
      <c r="X21" s="1355"/>
      <c r="Y21" s="37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73"/>
      <c r="Q22" s="1352"/>
      <c r="R22" s="705"/>
      <c r="S22" s="706"/>
      <c r="T22" s="705"/>
      <c r="U22" s="706"/>
      <c r="V22" s="705"/>
      <c r="W22" s="706"/>
      <c r="X22" s="1355"/>
      <c r="Y22" s="377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3"/>
      <c r="Q23" s="1352" t="str">
        <f>B23</f>
        <v>环境质量</v>
      </c>
      <c r="R23" s="705" t="s">
        <v>14</v>
      </c>
      <c r="S23" s="706">
        <f>F23</f>
        <v>100</v>
      </c>
      <c r="T23" s="705" t="s">
        <v>14</v>
      </c>
      <c r="U23" s="706">
        <f>H23</f>
        <v>100</v>
      </c>
      <c r="V23" s="705" t="s">
        <v>14</v>
      </c>
      <c r="W23" s="706">
        <f>J23</f>
        <v>100</v>
      </c>
      <c r="X23" s="1355"/>
      <c r="Y23" s="37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73"/>
      <c r="Q24" s="1352"/>
      <c r="R24" s="705"/>
      <c r="S24" s="706"/>
      <c r="T24" s="705"/>
      <c r="U24" s="706"/>
      <c r="V24" s="705"/>
      <c r="W24" s="706"/>
      <c r="X24" s="1355"/>
      <c r="Y24" s="37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3"/>
      <c r="Q25" s="1352">
        <f>B25</f>
        <v>111</v>
      </c>
      <c r="R25" s="705" t="s">
        <v>14</v>
      </c>
      <c r="S25" s="706">
        <f>F25</f>
        <v>100</v>
      </c>
      <c r="T25" s="705" t="s">
        <v>14</v>
      </c>
      <c r="U25" s="706">
        <f>H25</f>
        <v>100</v>
      </c>
      <c r="V25" s="705" t="s">
        <v>14</v>
      </c>
      <c r="W25" s="706">
        <f>J25</f>
        <v>100</v>
      </c>
      <c r="X25" s="1355"/>
      <c r="Y25" s="37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3"/>
      <c r="Q26" s="1352">
        <f t="shared" ref="Q26:Q40" si="11">B26</f>
        <v>111</v>
      </c>
      <c r="R26" s="705" t="s">
        <v>14</v>
      </c>
      <c r="S26" s="706">
        <f>F26</f>
        <v>100</v>
      </c>
      <c r="T26" s="705" t="s">
        <v>14</v>
      </c>
      <c r="U26" s="706">
        <f>H26</f>
        <v>100</v>
      </c>
      <c r="V26" s="705" t="s">
        <v>14</v>
      </c>
      <c r="W26" s="706">
        <f>J26</f>
        <v>100</v>
      </c>
      <c r="X26" s="1355"/>
      <c r="Y26" s="37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3"/>
      <c r="Q27" s="1343">
        <f t="shared" si="11"/>
        <v>111</v>
      </c>
      <c r="R27" s="701" t="s">
        <v>14</v>
      </c>
      <c r="S27" s="702">
        <f>F27</f>
        <v>100</v>
      </c>
      <c r="T27" s="701" t="s">
        <v>14</v>
      </c>
      <c r="U27" s="702">
        <f>H27</f>
        <v>100</v>
      </c>
      <c r="V27" s="701" t="s">
        <v>14</v>
      </c>
      <c r="W27" s="702">
        <f>J27</f>
        <v>100</v>
      </c>
      <c r="X27" s="703"/>
      <c r="Y27" s="377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3"/>
      <c r="Q28" s="1352">
        <f t="shared" si="11"/>
        <v>111</v>
      </c>
      <c r="R28" s="705" t="s">
        <v>14</v>
      </c>
      <c r="S28" s="706">
        <f t="shared" ref="S28:S40" si="12">F28</f>
        <v>100</v>
      </c>
      <c r="T28" s="705" t="s">
        <v>14</v>
      </c>
      <c r="U28" s="706">
        <f t="shared" ref="U28:U40" si="13">H28</f>
        <v>100</v>
      </c>
      <c r="V28" s="705" t="s">
        <v>14</v>
      </c>
      <c r="W28" s="706">
        <f t="shared" ref="W28:W40" si="14">J28</f>
        <v>100</v>
      </c>
      <c r="X28" s="1355"/>
      <c r="Y28" s="3773"/>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43" t="s">
        <v>1696</v>
      </c>
      <c r="Q29" s="1352" t="str">
        <f t="shared" si="11"/>
        <v>建筑类型</v>
      </c>
      <c r="R29" s="705" t="s">
        <v>14</v>
      </c>
      <c r="S29" s="706">
        <f t="shared" si="12"/>
        <v>100</v>
      </c>
      <c r="T29" s="705" t="s">
        <v>14</v>
      </c>
      <c r="U29" s="706">
        <f t="shared" si="13"/>
        <v>100</v>
      </c>
      <c r="V29" s="705" t="s">
        <v>14</v>
      </c>
      <c r="W29" s="706">
        <f t="shared" si="14"/>
        <v>100</v>
      </c>
      <c r="X29" s="1355"/>
      <c r="Y29" s="377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7"/>
      <c r="Q30" s="707" t="str">
        <f t="shared" si="11"/>
        <v>项目建筑规模</v>
      </c>
      <c r="R30" s="708" t="s">
        <v>14</v>
      </c>
      <c r="S30" s="709" t="e">
        <f t="shared" si="12"/>
        <v>#N/A</v>
      </c>
      <c r="T30" s="708" t="s">
        <v>14</v>
      </c>
      <c r="U30" s="709" t="e">
        <f t="shared" si="13"/>
        <v>#N/A</v>
      </c>
      <c r="V30" s="708" t="s">
        <v>14</v>
      </c>
      <c r="W30" s="709" t="e">
        <f t="shared" si="14"/>
        <v>#N/A</v>
      </c>
      <c r="X30" s="710"/>
      <c r="Y30" s="377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7"/>
      <c r="Q31" s="1352" t="str">
        <f t="shared" si="11"/>
        <v>建筑结构</v>
      </c>
      <c r="R31" s="705" t="s">
        <v>14</v>
      </c>
      <c r="S31" s="706">
        <f t="shared" si="12"/>
        <v>100</v>
      </c>
      <c r="T31" s="705" t="s">
        <v>14</v>
      </c>
      <c r="U31" s="706">
        <f t="shared" si="13"/>
        <v>100</v>
      </c>
      <c r="V31" s="705" t="s">
        <v>14</v>
      </c>
      <c r="W31" s="706">
        <f t="shared" si="14"/>
        <v>100</v>
      </c>
      <c r="X31" s="1355"/>
      <c r="Y31" s="377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7"/>
      <c r="Q32" s="1352" t="str">
        <f t="shared" si="11"/>
        <v>公共部分装修</v>
      </c>
      <c r="R32" s="705" t="s">
        <v>14</v>
      </c>
      <c r="S32" s="706">
        <f t="shared" si="12"/>
        <v>100</v>
      </c>
      <c r="T32" s="705" t="s">
        <v>14</v>
      </c>
      <c r="U32" s="706">
        <f t="shared" si="13"/>
        <v>100</v>
      </c>
      <c r="V32" s="705" t="s">
        <v>14</v>
      </c>
      <c r="W32" s="706">
        <f t="shared" si="14"/>
        <v>100</v>
      </c>
      <c r="X32" s="1355"/>
      <c r="Y32" s="377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7"/>
      <c r="Q33" s="1352" t="str">
        <f t="shared" si="11"/>
        <v>成新度</v>
      </c>
      <c r="R33" s="705" t="s">
        <v>14</v>
      </c>
      <c r="S33" s="706" t="e">
        <f t="shared" si="12"/>
        <v>#N/A</v>
      </c>
      <c r="T33" s="705" t="s">
        <v>14</v>
      </c>
      <c r="U33" s="706" t="e">
        <f t="shared" si="13"/>
        <v>#N/A</v>
      </c>
      <c r="V33" s="705" t="s">
        <v>14</v>
      </c>
      <c r="W33" s="706" t="e">
        <f t="shared" si="14"/>
        <v>#N/A</v>
      </c>
      <c r="X33" s="1355"/>
      <c r="Y33" s="377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7"/>
      <c r="Q34" s="1343" t="str">
        <f t="shared" si="11"/>
        <v>物业管理</v>
      </c>
      <c r="R34" s="701" t="s">
        <v>14</v>
      </c>
      <c r="S34" s="702">
        <f t="shared" si="12"/>
        <v>100</v>
      </c>
      <c r="T34" s="701" t="s">
        <v>14</v>
      </c>
      <c r="U34" s="702">
        <f t="shared" si="13"/>
        <v>100</v>
      </c>
      <c r="V34" s="701" t="s">
        <v>14</v>
      </c>
      <c r="W34" s="702">
        <f t="shared" si="14"/>
        <v>100</v>
      </c>
      <c r="X34" s="703"/>
      <c r="Y34" s="377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7" t="s">
        <v>1696</v>
      </c>
      <c r="Q35" s="1352" t="str">
        <f t="shared" si="11"/>
        <v>市政基础设施</v>
      </c>
      <c r="R35" s="705" t="s">
        <v>14</v>
      </c>
      <c r="S35" s="706">
        <f t="shared" si="12"/>
        <v>100</v>
      </c>
      <c r="T35" s="705" t="s">
        <v>14</v>
      </c>
      <c r="U35" s="706">
        <f t="shared" si="13"/>
        <v>100</v>
      </c>
      <c r="V35" s="705" t="s">
        <v>14</v>
      </c>
      <c r="W35" s="706">
        <f t="shared" si="14"/>
        <v>100</v>
      </c>
      <c r="X35" s="1355"/>
      <c r="Y35" s="377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7"/>
      <c r="Q36" s="1352" t="str">
        <f t="shared" si="11"/>
        <v>内部装修</v>
      </c>
      <c r="R36" s="705" t="s">
        <v>14</v>
      </c>
      <c r="S36" s="706">
        <f t="shared" si="12"/>
        <v>100</v>
      </c>
      <c r="T36" s="705" t="s">
        <v>14</v>
      </c>
      <c r="U36" s="706">
        <f t="shared" si="13"/>
        <v>100</v>
      </c>
      <c r="V36" s="705" t="s">
        <v>14</v>
      </c>
      <c r="W36" s="706">
        <f t="shared" si="14"/>
        <v>100</v>
      </c>
      <c r="X36" s="1355"/>
      <c r="Y36" s="377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7"/>
      <c r="Q37" s="1352" t="str">
        <f t="shared" si="11"/>
        <v>内部装修状况</v>
      </c>
      <c r="R37" s="705" t="s">
        <v>14</v>
      </c>
      <c r="S37" s="706">
        <f t="shared" si="12"/>
        <v>100</v>
      </c>
      <c r="T37" s="705" t="s">
        <v>14</v>
      </c>
      <c r="U37" s="706">
        <f t="shared" si="13"/>
        <v>100</v>
      </c>
      <c r="V37" s="705" t="s">
        <v>14</v>
      </c>
      <c r="W37" s="706">
        <f t="shared" si="14"/>
        <v>100</v>
      </c>
      <c r="X37" s="1355"/>
      <c r="Y37" s="37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7"/>
      <c r="Q38" s="707">
        <f t="shared" si="11"/>
        <v>111</v>
      </c>
      <c r="R38" s="708" t="s">
        <v>14</v>
      </c>
      <c r="S38" s="709">
        <f t="shared" si="12"/>
        <v>100</v>
      </c>
      <c r="T38" s="708" t="s">
        <v>14</v>
      </c>
      <c r="U38" s="709">
        <f t="shared" si="13"/>
        <v>100</v>
      </c>
      <c r="V38" s="708" t="s">
        <v>14</v>
      </c>
      <c r="W38" s="709">
        <f t="shared" si="14"/>
        <v>100</v>
      </c>
      <c r="X38" s="710"/>
      <c r="Y38" s="37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7"/>
      <c r="Q39" s="1352">
        <f t="shared" si="11"/>
        <v>111</v>
      </c>
      <c r="R39" s="705" t="s">
        <v>14</v>
      </c>
      <c r="S39" s="706">
        <f t="shared" si="12"/>
        <v>100</v>
      </c>
      <c r="T39" s="705" t="s">
        <v>14</v>
      </c>
      <c r="U39" s="706">
        <f t="shared" si="13"/>
        <v>100</v>
      </c>
      <c r="V39" s="705" t="s">
        <v>14</v>
      </c>
      <c r="W39" s="706">
        <f t="shared" si="14"/>
        <v>100</v>
      </c>
      <c r="X39" s="1355"/>
      <c r="Y39" s="377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8"/>
      <c r="Q40" s="1352">
        <f t="shared" si="11"/>
        <v>111</v>
      </c>
      <c r="R40" s="705" t="s">
        <v>14</v>
      </c>
      <c r="S40" s="706">
        <f t="shared" si="12"/>
        <v>100</v>
      </c>
      <c r="T40" s="705" t="s">
        <v>14</v>
      </c>
      <c r="U40" s="706">
        <f t="shared" si="13"/>
        <v>100</v>
      </c>
      <c r="V40" s="705" t="s">
        <v>14</v>
      </c>
      <c r="W40" s="706">
        <f t="shared" si="14"/>
        <v>100</v>
      </c>
      <c r="X40" s="1355"/>
      <c r="Y40" s="377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70" t="str">
        <f>A41</f>
        <v>成交单价（元/平方米）</v>
      </c>
      <c r="Q41" s="3770"/>
      <c r="R41" s="3771">
        <f>E41</f>
        <v>0</v>
      </c>
      <c r="S41" s="3771"/>
      <c r="T41" s="3771">
        <f>G41</f>
        <v>0</v>
      </c>
      <c r="U41" s="3771"/>
      <c r="V41" s="3771">
        <f>I41</f>
        <v>0</v>
      </c>
      <c r="W41" s="377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70" t="str">
        <f>A42</f>
        <v>比较价值（元/平方米）</v>
      </c>
      <c r="Q42" s="3770"/>
      <c r="R42" s="3771" t="e">
        <f>IF(F1="售价",ROUND(PRODUCT(R41,AA7:AA40),0),ROUND(PRODUCT(R41,AA7:AA40),1))</f>
        <v>#DIV/0!</v>
      </c>
      <c r="S42" s="3771"/>
      <c r="T42" s="3771" t="e">
        <f>IF(F1="售价",ROUND(PRODUCT(T41,AB7:AB40),0),ROUND(PRODUCT(T41,AB7:AB40),1))</f>
        <v>#DIV/0!</v>
      </c>
      <c r="U42" s="3771"/>
      <c r="V42" s="3771" t="e">
        <f>IF(F1="售价",ROUND(PRODUCT(V41,AC7:AC40),0),ROUND(PRODUCT(V41,AC7:AC40),1))</f>
        <v>#DIV/0!</v>
      </c>
      <c r="W42" s="377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67" t="str">
        <f>A43</f>
        <v>估价对象XX用房的比较价值（楼面单价，元/平方米）</v>
      </c>
      <c r="Q43" s="3768"/>
      <c r="R43" s="3769" t="e">
        <f>IF(F1="售价",ROUND(IF(D42="简单平均",AVERAGE(R42:V42),R42*F42+T42*H42+V42*J42),0),ROUND(IF(D42="简单平均",AVERAGE(R42:V42),R42*F42+T42*H42+V42*J42),1))</f>
        <v>#DIV/0!</v>
      </c>
      <c r="S43" s="3769"/>
      <c r="T43" s="3769"/>
      <c r="U43" s="3769"/>
      <c r="V43" s="3769"/>
      <c r="W43" s="376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40" t="s">
        <v>1771</v>
      </c>
      <c r="S4" s="3741"/>
      <c r="T4" s="3740" t="s">
        <v>1772</v>
      </c>
      <c r="U4" s="3741"/>
      <c r="V4" s="3765" t="s">
        <v>1773</v>
      </c>
      <c r="W4" s="3765"/>
      <c r="X4" s="1355"/>
      <c r="Y4" s="3740" t="s">
        <v>1775</v>
      </c>
      <c r="Z4" s="3741"/>
      <c r="AA4" s="3735" t="s">
        <v>1771</v>
      </c>
      <c r="AB4" s="3736" t="s">
        <v>1772</v>
      </c>
      <c r="AC4" s="3735" t="s">
        <v>1773</v>
      </c>
    </row>
    <row r="5" spans="1:29" ht="15">
      <c r="A5" s="358"/>
      <c r="B5" s="359"/>
      <c r="C5" s="3746" t="s">
        <v>1673</v>
      </c>
      <c r="D5" s="3747"/>
      <c r="E5" s="3744" t="s">
        <v>1674</v>
      </c>
      <c r="F5" s="3745"/>
      <c r="G5" s="3746" t="s">
        <v>1675</v>
      </c>
      <c r="H5" s="3747"/>
      <c r="I5" s="3746" t="s">
        <v>1676</v>
      </c>
      <c r="J5" s="3747"/>
      <c r="K5" s="559"/>
      <c r="L5" s="2715"/>
      <c r="M5" s="2716"/>
      <c r="N5" s="2716"/>
      <c r="O5" s="2716"/>
      <c r="P5" s="3759"/>
      <c r="Q5" s="3760"/>
      <c r="R5" s="3742"/>
      <c r="S5" s="3743"/>
      <c r="T5" s="3742"/>
      <c r="U5" s="3743"/>
      <c r="V5" s="3765"/>
      <c r="W5" s="3765"/>
      <c r="X5" s="1355"/>
      <c r="Y5" s="3742"/>
      <c r="Z5" s="3743"/>
      <c r="AA5" s="3736"/>
      <c r="AB5" s="3736"/>
      <c r="AC5" s="3736"/>
    </row>
    <row r="6" spans="1:29" ht="15.75" thickBot="1">
      <c r="A6" s="360"/>
      <c r="B6" s="361"/>
      <c r="C6" s="3748" t="s">
        <v>1677</v>
      </c>
      <c r="D6" s="3749"/>
      <c r="E6" s="3750" t="s">
        <v>1677</v>
      </c>
      <c r="F6" s="3751"/>
      <c r="G6" s="3748" t="s">
        <v>1677</v>
      </c>
      <c r="H6" s="3749"/>
      <c r="I6" s="3748" t="s">
        <v>1677</v>
      </c>
      <c r="J6" s="3749"/>
      <c r="K6" s="559" t="s">
        <v>1678</v>
      </c>
      <c r="L6" s="2715"/>
      <c r="M6" s="2716"/>
      <c r="N6" s="2716"/>
      <c r="O6" s="2716"/>
      <c r="P6" s="3761"/>
      <c r="Q6" s="3762"/>
      <c r="R6" s="3742"/>
      <c r="S6" s="3743"/>
      <c r="T6" s="3763"/>
      <c r="U6" s="3764"/>
      <c r="V6" s="3765"/>
      <c r="W6" s="3765"/>
      <c r="X6" s="1355"/>
      <c r="Y6" s="3763"/>
      <c r="Z6" s="3764"/>
      <c r="AA6" s="3737"/>
      <c r="AB6" s="3737"/>
      <c r="AC6" s="3737"/>
    </row>
    <row r="7" spans="1:29" s="108" customFormat="1" ht="15.75" thickBot="1">
      <c r="A7" s="362" t="s">
        <v>1679</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8" t="s">
        <v>1680</v>
      </c>
      <c r="Q7" s="3766"/>
      <c r="R7" s="701" t="s">
        <v>14</v>
      </c>
      <c r="S7" s="702">
        <f t="shared" ref="S7:S14" si="0">F7</f>
        <v>0</v>
      </c>
      <c r="T7" s="701" t="s">
        <v>14</v>
      </c>
      <c r="U7" s="702">
        <f t="shared" ref="U7:U14" si="1">H7</f>
        <v>0</v>
      </c>
      <c r="V7" s="701" t="s">
        <v>14</v>
      </c>
      <c r="W7" s="702">
        <f t="shared" ref="W7:W14"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8" t="s">
        <v>1683</v>
      </c>
      <c r="Q8" s="3739"/>
      <c r="R8" s="701" t="s">
        <v>14</v>
      </c>
      <c r="S8" s="702">
        <f t="shared" si="0"/>
        <v>100</v>
      </c>
      <c r="T8" s="701" t="s">
        <v>14</v>
      </c>
      <c r="U8" s="702">
        <f t="shared" si="1"/>
        <v>100</v>
      </c>
      <c r="V8" s="701" t="s">
        <v>14</v>
      </c>
      <c r="W8" s="702">
        <f t="shared" si="2"/>
        <v>100</v>
      </c>
      <c r="X8" s="703"/>
      <c r="Y8" s="3738" t="s">
        <v>1683</v>
      </c>
      <c r="Z8" s="373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70" t="s">
        <v>1686</v>
      </c>
      <c r="Q9" s="1343" t="str">
        <f t="shared" ref="Q9:Q14" si="6">B9</f>
        <v>用途</v>
      </c>
      <c r="R9" s="701" t="s">
        <v>14</v>
      </c>
      <c r="S9" s="702">
        <f t="shared" si="0"/>
        <v>100</v>
      </c>
      <c r="T9" s="701" t="s">
        <v>14</v>
      </c>
      <c r="U9" s="702">
        <f t="shared" si="1"/>
        <v>100</v>
      </c>
      <c r="V9" s="701" t="s">
        <v>14</v>
      </c>
      <c r="W9" s="702">
        <f t="shared" si="2"/>
        <v>100</v>
      </c>
      <c r="X9" s="703"/>
      <c r="Y9" s="368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70"/>
      <c r="Q10" s="1343" t="str">
        <f t="shared" si="6"/>
        <v>土地使用年限（年）</v>
      </c>
      <c r="R10" s="701" t="s">
        <v>14</v>
      </c>
      <c r="S10" s="702">
        <f t="shared" si="0"/>
        <v>100</v>
      </c>
      <c r="T10" s="701" t="s">
        <v>14</v>
      </c>
      <c r="U10" s="702">
        <f t="shared" si="1"/>
        <v>100</v>
      </c>
      <c r="V10" s="701" t="s">
        <v>14</v>
      </c>
      <c r="W10" s="702">
        <f t="shared" si="2"/>
        <v>100</v>
      </c>
      <c r="X10" s="703"/>
      <c r="Y10" s="368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70"/>
      <c r="Q11" s="1343">
        <f t="shared" si="6"/>
        <v>111</v>
      </c>
      <c r="R11" s="701" t="s">
        <v>14</v>
      </c>
      <c r="S11" s="702">
        <f t="shared" si="0"/>
        <v>100</v>
      </c>
      <c r="T11" s="701" t="s">
        <v>14</v>
      </c>
      <c r="U11" s="702">
        <f t="shared" si="1"/>
        <v>100</v>
      </c>
      <c r="V11" s="701" t="s">
        <v>14</v>
      </c>
      <c r="W11" s="702">
        <f t="shared" si="2"/>
        <v>100</v>
      </c>
      <c r="X11" s="703"/>
      <c r="Y11" s="368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70"/>
      <c r="Q12" s="1343">
        <f t="shared" si="6"/>
        <v>111</v>
      </c>
      <c r="R12" s="701" t="s">
        <v>14</v>
      </c>
      <c r="S12" s="702">
        <f t="shared" si="0"/>
        <v>100</v>
      </c>
      <c r="T12" s="701" t="s">
        <v>14</v>
      </c>
      <c r="U12" s="702">
        <f t="shared" si="1"/>
        <v>100</v>
      </c>
      <c r="V12" s="701" t="s">
        <v>14</v>
      </c>
      <c r="W12" s="702">
        <f t="shared" si="2"/>
        <v>100</v>
      </c>
      <c r="X12" s="703"/>
      <c r="Y12" s="368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70"/>
      <c r="Q13" s="1343">
        <f t="shared" si="6"/>
        <v>111</v>
      </c>
      <c r="R13" s="701" t="s">
        <v>14</v>
      </c>
      <c r="S13" s="702">
        <f t="shared" si="0"/>
        <v>100</v>
      </c>
      <c r="T13" s="701" t="s">
        <v>14</v>
      </c>
      <c r="U13" s="702">
        <f t="shared" si="1"/>
        <v>100</v>
      </c>
      <c r="V13" s="701" t="s">
        <v>14</v>
      </c>
      <c r="W13" s="702">
        <f t="shared" si="2"/>
        <v>100</v>
      </c>
      <c r="X13" s="703"/>
      <c r="Y13" s="368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72" t="s">
        <v>1691</v>
      </c>
      <c r="Q14" s="1352" t="str">
        <f t="shared" si="6"/>
        <v>交通便捷度</v>
      </c>
      <c r="R14" s="705" t="s">
        <v>14</v>
      </c>
      <c r="S14" s="706">
        <f t="shared" si="0"/>
        <v>100</v>
      </c>
      <c r="T14" s="705" t="s">
        <v>14</v>
      </c>
      <c r="U14" s="706">
        <f t="shared" si="1"/>
        <v>100</v>
      </c>
      <c r="V14" s="705" t="s">
        <v>14</v>
      </c>
      <c r="W14" s="706">
        <f t="shared" si="2"/>
        <v>100</v>
      </c>
      <c r="X14" s="1355"/>
      <c r="Y14" s="37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73"/>
      <c r="Q15" s="1352"/>
      <c r="R15" s="705"/>
      <c r="S15" s="706"/>
      <c r="T15" s="705"/>
      <c r="U15" s="706"/>
      <c r="V15" s="705"/>
      <c r="W15" s="706"/>
      <c r="X15" s="1355"/>
      <c r="Y15" s="377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73"/>
      <c r="Q16" s="1352" t="str">
        <f>B16</f>
        <v>公共配套设施</v>
      </c>
      <c r="R16" s="705" t="s">
        <v>14</v>
      </c>
      <c r="S16" s="706">
        <f>F16</f>
        <v>100</v>
      </c>
      <c r="T16" s="705" t="s">
        <v>14</v>
      </c>
      <c r="U16" s="706">
        <f>H16</f>
        <v>100</v>
      </c>
      <c r="V16" s="705" t="s">
        <v>14</v>
      </c>
      <c r="W16" s="706">
        <f>J16</f>
        <v>100</v>
      </c>
      <c r="X16" s="1355"/>
      <c r="Y16" s="37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73"/>
      <c r="Q17" s="1352"/>
      <c r="R17" s="705"/>
      <c r="S17" s="706"/>
      <c r="T17" s="705"/>
      <c r="U17" s="706"/>
      <c r="V17" s="705"/>
      <c r="W17" s="706"/>
      <c r="X17" s="1355"/>
      <c r="Y17" s="377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73"/>
      <c r="Q18" s="1352" t="str">
        <f>B18</f>
        <v>基础设施水平</v>
      </c>
      <c r="R18" s="705" t="s">
        <v>14</v>
      </c>
      <c r="S18" s="706">
        <f>F18</f>
        <v>100</v>
      </c>
      <c r="T18" s="705" t="s">
        <v>14</v>
      </c>
      <c r="U18" s="706">
        <f>H18</f>
        <v>100</v>
      </c>
      <c r="V18" s="705" t="s">
        <v>14</v>
      </c>
      <c r="W18" s="706">
        <f>J18</f>
        <v>100</v>
      </c>
      <c r="X18" s="1355"/>
      <c r="Y18" s="37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73"/>
      <c r="Q19" s="1352"/>
      <c r="R19" s="705"/>
      <c r="S19" s="706"/>
      <c r="T19" s="705"/>
      <c r="U19" s="706"/>
      <c r="V19" s="705"/>
      <c r="W19" s="706"/>
      <c r="X19" s="1355"/>
      <c r="Y19" s="377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73"/>
      <c r="Q20" s="1352" t="str">
        <f>B20</f>
        <v>自然及人文环境</v>
      </c>
      <c r="R20" s="705" t="s">
        <v>14</v>
      </c>
      <c r="S20" s="706">
        <f>F20</f>
        <v>100</v>
      </c>
      <c r="T20" s="705" t="s">
        <v>14</v>
      </c>
      <c r="U20" s="706">
        <f>H20</f>
        <v>100</v>
      </c>
      <c r="V20" s="705" t="s">
        <v>14</v>
      </c>
      <c r="W20" s="706">
        <f>J20</f>
        <v>100</v>
      </c>
      <c r="X20" s="1355"/>
      <c r="Y20" s="37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73"/>
      <c r="Q21" s="1352"/>
      <c r="R21" s="705"/>
      <c r="S21" s="706"/>
      <c r="T21" s="705"/>
      <c r="U21" s="706"/>
      <c r="V21" s="705"/>
      <c r="W21" s="706"/>
      <c r="X21" s="1355"/>
      <c r="Y21" s="37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73"/>
      <c r="Q22" s="1352" t="str">
        <f>B22</f>
        <v>楼层</v>
      </c>
      <c r="R22" s="705" t="s">
        <v>14</v>
      </c>
      <c r="S22" s="706">
        <f>F22</f>
        <v>100</v>
      </c>
      <c r="T22" s="705" t="s">
        <v>14</v>
      </c>
      <c r="U22" s="706">
        <f>H22</f>
        <v>100</v>
      </c>
      <c r="V22" s="705" t="s">
        <v>14</v>
      </c>
      <c r="W22" s="706">
        <f>J22</f>
        <v>100</v>
      </c>
      <c r="X22" s="1355"/>
      <c r="Y22" s="37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73"/>
      <c r="Q23" s="1352">
        <f>B23</f>
        <v>111</v>
      </c>
      <c r="R23" s="705" t="s">
        <v>14</v>
      </c>
      <c r="S23" s="706">
        <f>F23</f>
        <v>100</v>
      </c>
      <c r="T23" s="705" t="s">
        <v>14</v>
      </c>
      <c r="U23" s="706">
        <f>H23</f>
        <v>100</v>
      </c>
      <c r="V23" s="705" t="s">
        <v>14</v>
      </c>
      <c r="W23" s="706">
        <f>J23</f>
        <v>100</v>
      </c>
      <c r="X23" s="1355"/>
      <c r="Y23" s="37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73"/>
      <c r="Q24" s="1352">
        <f t="shared" ref="Q24:Q36" si="11">B24</f>
        <v>111</v>
      </c>
      <c r="R24" s="705" t="s">
        <v>14</v>
      </c>
      <c r="S24" s="706">
        <f>F24</f>
        <v>100</v>
      </c>
      <c r="T24" s="705" t="s">
        <v>14</v>
      </c>
      <c r="U24" s="706">
        <f>H24</f>
        <v>100</v>
      </c>
      <c r="V24" s="705" t="s">
        <v>14</v>
      </c>
      <c r="W24" s="706">
        <f>J24</f>
        <v>100</v>
      </c>
      <c r="X24" s="1355"/>
      <c r="Y24" s="37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73"/>
      <c r="Q25" s="1343">
        <f t="shared" si="11"/>
        <v>111</v>
      </c>
      <c r="R25" s="701" t="s">
        <v>14</v>
      </c>
      <c r="S25" s="702">
        <f>F25</f>
        <v>100</v>
      </c>
      <c r="T25" s="701" t="s">
        <v>14</v>
      </c>
      <c r="U25" s="702">
        <f>H25</f>
        <v>100</v>
      </c>
      <c r="V25" s="701" t="s">
        <v>14</v>
      </c>
      <c r="W25" s="702">
        <f>J25</f>
        <v>100</v>
      </c>
      <c r="X25" s="703"/>
      <c r="Y25" s="3773"/>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77"/>
      <c r="Q27" s="707" t="str">
        <f t="shared" si="11"/>
        <v>项目停车位配比</v>
      </c>
      <c r="R27" s="708" t="s">
        <v>14</v>
      </c>
      <c r="S27" s="709">
        <f t="shared" si="12"/>
        <v>100</v>
      </c>
      <c r="T27" s="708" t="s">
        <v>14</v>
      </c>
      <c r="U27" s="709">
        <f t="shared" si="13"/>
        <v>100</v>
      </c>
      <c r="V27" s="708" t="s">
        <v>14</v>
      </c>
      <c r="W27" s="709">
        <f t="shared" si="14"/>
        <v>100</v>
      </c>
      <c r="X27" s="710"/>
      <c r="Y27" s="377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77"/>
      <c r="Q28" s="1352" t="str">
        <f t="shared" si="11"/>
        <v>公共部分装修</v>
      </c>
      <c r="R28" s="705" t="s">
        <v>14</v>
      </c>
      <c r="S28" s="706">
        <f t="shared" si="12"/>
        <v>100</v>
      </c>
      <c r="T28" s="705" t="s">
        <v>14</v>
      </c>
      <c r="U28" s="706">
        <f t="shared" si="13"/>
        <v>100</v>
      </c>
      <c r="V28" s="705" t="s">
        <v>14</v>
      </c>
      <c r="W28" s="706">
        <f t="shared" si="14"/>
        <v>100</v>
      </c>
      <c r="X28" s="1355"/>
      <c r="Y28" s="377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77"/>
      <c r="Q29" s="1352" t="str">
        <f t="shared" si="11"/>
        <v>成新率</v>
      </c>
      <c r="R29" s="705" t="s">
        <v>14</v>
      </c>
      <c r="S29" s="706" t="e">
        <f t="shared" si="12"/>
        <v>#N/A</v>
      </c>
      <c r="T29" s="705" t="s">
        <v>14</v>
      </c>
      <c r="U29" s="706" t="e">
        <f t="shared" si="13"/>
        <v>#N/A</v>
      </c>
      <c r="V29" s="705" t="s">
        <v>14</v>
      </c>
      <c r="W29" s="706" t="e">
        <f t="shared" si="14"/>
        <v>#N/A</v>
      </c>
      <c r="X29" s="1355"/>
      <c r="Y29" s="377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77"/>
      <c r="Q30" s="1352" t="str">
        <f t="shared" si="11"/>
        <v>物业等级</v>
      </c>
      <c r="R30" s="705" t="s">
        <v>14</v>
      </c>
      <c r="S30" s="706">
        <f t="shared" si="12"/>
        <v>100</v>
      </c>
      <c r="T30" s="705" t="s">
        <v>14</v>
      </c>
      <c r="U30" s="706">
        <f t="shared" si="13"/>
        <v>100</v>
      </c>
      <c r="V30" s="705" t="s">
        <v>14</v>
      </c>
      <c r="W30" s="706">
        <f t="shared" si="14"/>
        <v>100</v>
      </c>
      <c r="X30" s="1355"/>
      <c r="Y30" s="377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77"/>
      <c r="Q31" s="1343" t="str">
        <f t="shared" si="11"/>
        <v>停车位面积</v>
      </c>
      <c r="R31" s="701" t="s">
        <v>14</v>
      </c>
      <c r="S31" s="702" t="e">
        <f t="shared" si="12"/>
        <v>#N/A</v>
      </c>
      <c r="T31" s="701" t="s">
        <v>14</v>
      </c>
      <c r="U31" s="702" t="e">
        <f t="shared" si="13"/>
        <v>#N/A</v>
      </c>
      <c r="V31" s="701" t="s">
        <v>14</v>
      </c>
      <c r="W31" s="702" t="e">
        <f t="shared" si="14"/>
        <v>#N/A</v>
      </c>
      <c r="X31" s="703"/>
      <c r="Y31" s="37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77" t="s">
        <v>1696</v>
      </c>
      <c r="Q32" s="1352" t="str">
        <f t="shared" si="11"/>
        <v>车位类型</v>
      </c>
      <c r="R32" s="705" t="s">
        <v>14</v>
      </c>
      <c r="S32" s="706">
        <f t="shared" si="12"/>
        <v>100</v>
      </c>
      <c r="T32" s="705" t="s">
        <v>14</v>
      </c>
      <c r="U32" s="706">
        <f t="shared" si="13"/>
        <v>100</v>
      </c>
      <c r="V32" s="705" t="s">
        <v>14</v>
      </c>
      <c r="W32" s="706">
        <f t="shared" si="14"/>
        <v>100</v>
      </c>
      <c r="X32" s="1355"/>
      <c r="Y32" s="377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77"/>
      <c r="Q33" s="1352" t="str">
        <f t="shared" si="11"/>
        <v>是否直接入户</v>
      </c>
      <c r="R33" s="705" t="s">
        <v>14</v>
      </c>
      <c r="S33" s="706">
        <f t="shared" si="12"/>
        <v>100</v>
      </c>
      <c r="T33" s="705" t="s">
        <v>14</v>
      </c>
      <c r="U33" s="706">
        <f t="shared" si="13"/>
        <v>100</v>
      </c>
      <c r="V33" s="705" t="s">
        <v>14</v>
      </c>
      <c r="W33" s="706">
        <f t="shared" si="14"/>
        <v>100</v>
      </c>
      <c r="X33" s="1355"/>
      <c r="Y33" s="37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77"/>
      <c r="Q34" s="1352">
        <f t="shared" si="11"/>
        <v>111</v>
      </c>
      <c r="R34" s="705" t="s">
        <v>14</v>
      </c>
      <c r="S34" s="706">
        <f t="shared" si="12"/>
        <v>100</v>
      </c>
      <c r="T34" s="705" t="s">
        <v>14</v>
      </c>
      <c r="U34" s="706">
        <f t="shared" si="13"/>
        <v>100</v>
      </c>
      <c r="V34" s="705" t="s">
        <v>14</v>
      </c>
      <c r="W34" s="706">
        <f t="shared" si="14"/>
        <v>100</v>
      </c>
      <c r="X34" s="1355"/>
      <c r="Y34" s="37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77"/>
      <c r="Q35" s="707">
        <f t="shared" si="11"/>
        <v>111</v>
      </c>
      <c r="R35" s="708" t="s">
        <v>14</v>
      </c>
      <c r="S35" s="709">
        <f t="shared" si="12"/>
        <v>100</v>
      </c>
      <c r="T35" s="708" t="s">
        <v>14</v>
      </c>
      <c r="U35" s="709">
        <f t="shared" si="13"/>
        <v>100</v>
      </c>
      <c r="V35" s="708" t="s">
        <v>14</v>
      </c>
      <c r="W35" s="709">
        <f t="shared" si="14"/>
        <v>100</v>
      </c>
      <c r="X35" s="710"/>
      <c r="Y35" s="37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77"/>
      <c r="Q36" s="1352">
        <f t="shared" si="11"/>
        <v>111</v>
      </c>
      <c r="R36" s="705" t="s">
        <v>14</v>
      </c>
      <c r="S36" s="706">
        <f t="shared" si="12"/>
        <v>100</v>
      </c>
      <c r="T36" s="705" t="s">
        <v>14</v>
      </c>
      <c r="U36" s="706">
        <f t="shared" si="13"/>
        <v>100</v>
      </c>
      <c r="V36" s="705" t="s">
        <v>14</v>
      </c>
      <c r="W36" s="706">
        <f t="shared" si="14"/>
        <v>100</v>
      </c>
      <c r="X36" s="1355"/>
      <c r="Y36" s="3777"/>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70" t="str">
        <f>A37</f>
        <v>成交单价</v>
      </c>
      <c r="Q37" s="3770"/>
      <c r="R37" s="3771">
        <f>E37</f>
        <v>0</v>
      </c>
      <c r="S37" s="3771"/>
      <c r="T37" s="3771">
        <f>G37</f>
        <v>0</v>
      </c>
      <c r="U37" s="3771"/>
      <c r="V37" s="3771">
        <f>I37</f>
        <v>0</v>
      </c>
      <c r="W37" s="377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70" t="str">
        <f>A38</f>
        <v>比较价值（元/平方米）</v>
      </c>
      <c r="Q38" s="3770"/>
      <c r="R38" s="3771" t="e">
        <f>IF(F1="售价",ROUND(PRODUCT(R37,AA7:AA36),0),ROUND(PRODUCT(R37,AA7:AA36),1))</f>
        <v>#DIV/0!</v>
      </c>
      <c r="S38" s="3771"/>
      <c r="T38" s="3771" t="e">
        <f>IF(F1="售价",ROUND(PRODUCT(T37,AB7:AB36),0),ROUND(PRODUCT(T37,AB7:AB36),1))</f>
        <v>#DIV/0!</v>
      </c>
      <c r="U38" s="3771"/>
      <c r="V38" s="3771" t="e">
        <f>IF(F1="售价",ROUND(PRODUCT(V37,AC7:AC36),0),ROUND(PRODUCT(V37,AC7:AC36),1))</f>
        <v>#DIV/0!</v>
      </c>
      <c r="W38" s="377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67" t="str">
        <f>A39</f>
        <v>估价对象XX用房的比较价值（楼面单价，元/平方米）</v>
      </c>
      <c r="Q39" s="3768"/>
      <c r="R39" s="3844" t="e">
        <f>IF(F1="售价",ROUND(IF(D38="简单平均",AVERAGE(R38:W38),R38*F38+T38*H38+V38*J38),0),ROUND(IF(D38="简单平均",AVERAGE(R38:V38),R38*F38+T38*H38+V38*J38),1))</f>
        <v>#DIV/0!</v>
      </c>
      <c r="S39" s="3844"/>
      <c r="T39" s="3844"/>
      <c r="U39" s="3844"/>
      <c r="V39" s="3844"/>
      <c r="W39" s="38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40" t="s">
        <v>1771</v>
      </c>
      <c r="S4" s="3741"/>
      <c r="T4" s="3740" t="s">
        <v>1772</v>
      </c>
      <c r="U4" s="3741"/>
      <c r="V4" s="3765" t="s">
        <v>1773</v>
      </c>
      <c r="W4" s="3765"/>
      <c r="X4" s="1355"/>
      <c r="Y4" s="3740" t="s">
        <v>1775</v>
      </c>
      <c r="Z4" s="3741"/>
      <c r="AA4" s="3735" t="s">
        <v>1771</v>
      </c>
      <c r="AB4" s="3736" t="s">
        <v>1772</v>
      </c>
      <c r="AC4" s="3735" t="s">
        <v>1773</v>
      </c>
    </row>
    <row r="5" spans="1:29" ht="15">
      <c r="A5" s="358"/>
      <c r="B5" s="359"/>
      <c r="C5" s="3746" t="s">
        <v>1673</v>
      </c>
      <c r="D5" s="3747"/>
      <c r="E5" s="3744" t="s">
        <v>1674</v>
      </c>
      <c r="F5" s="3745"/>
      <c r="G5" s="3746" t="s">
        <v>1675</v>
      </c>
      <c r="H5" s="3747"/>
      <c r="I5" s="3746" t="s">
        <v>1676</v>
      </c>
      <c r="J5" s="3747"/>
      <c r="K5" s="559"/>
      <c r="L5" s="2715"/>
      <c r="M5" s="2716"/>
      <c r="N5" s="2716"/>
      <c r="O5" s="2716"/>
      <c r="P5" s="3759"/>
      <c r="Q5" s="3760"/>
      <c r="R5" s="3742"/>
      <c r="S5" s="3743"/>
      <c r="T5" s="3742"/>
      <c r="U5" s="3743"/>
      <c r="V5" s="3765"/>
      <c r="W5" s="3765"/>
      <c r="X5" s="1355"/>
      <c r="Y5" s="3742"/>
      <c r="Z5" s="3743"/>
      <c r="AA5" s="3736"/>
      <c r="AB5" s="3736"/>
      <c r="AC5" s="3736"/>
    </row>
    <row r="6" spans="1:29" ht="15.75" thickBot="1">
      <c r="A6" s="360"/>
      <c r="B6" s="361"/>
      <c r="C6" s="3748" t="s">
        <v>1677</v>
      </c>
      <c r="D6" s="3749"/>
      <c r="E6" s="3750" t="s">
        <v>1677</v>
      </c>
      <c r="F6" s="3751"/>
      <c r="G6" s="3748" t="s">
        <v>1677</v>
      </c>
      <c r="H6" s="3749"/>
      <c r="I6" s="3748" t="s">
        <v>1677</v>
      </c>
      <c r="J6" s="3749"/>
      <c r="K6" s="559" t="s">
        <v>1678</v>
      </c>
      <c r="L6" s="2715"/>
      <c r="M6" s="2716"/>
      <c r="N6" s="2716"/>
      <c r="O6" s="2716"/>
      <c r="P6" s="3761"/>
      <c r="Q6" s="3762"/>
      <c r="R6" s="3742"/>
      <c r="S6" s="3743"/>
      <c r="T6" s="3763"/>
      <c r="U6" s="3764"/>
      <c r="V6" s="3765"/>
      <c r="W6" s="3765"/>
      <c r="X6" s="1355"/>
      <c r="Y6" s="3763"/>
      <c r="Z6" s="3764"/>
      <c r="AA6" s="3737"/>
      <c r="AB6" s="3737"/>
      <c r="AC6" s="3737"/>
    </row>
    <row r="7" spans="1:29" s="108" customFormat="1" ht="15.75" thickBot="1">
      <c r="A7" s="362" t="s">
        <v>1679</v>
      </c>
      <c r="B7" s="363"/>
      <c r="C7" s="364">
        <f>'数据-取费表'!B2</f>
        <v>44991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8" t="s">
        <v>1680</v>
      </c>
      <c r="Q7" s="3766"/>
      <c r="R7" s="701" t="s">
        <v>14</v>
      </c>
      <c r="S7" s="702">
        <f t="shared" ref="S7:S14" si="0">F7</f>
        <v>0</v>
      </c>
      <c r="T7" s="701" t="s">
        <v>14</v>
      </c>
      <c r="U7" s="702">
        <f t="shared" ref="U7:U14" si="1">H7</f>
        <v>0</v>
      </c>
      <c r="V7" s="701" t="s">
        <v>14</v>
      </c>
      <c r="W7" s="702">
        <f t="shared" ref="W7:W14"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8" t="s">
        <v>1683</v>
      </c>
      <c r="Q8" s="3739"/>
      <c r="R8" s="701" t="s">
        <v>14</v>
      </c>
      <c r="S8" s="702">
        <f t="shared" si="0"/>
        <v>100</v>
      </c>
      <c r="T8" s="701" t="s">
        <v>14</v>
      </c>
      <c r="U8" s="702">
        <f t="shared" si="1"/>
        <v>100</v>
      </c>
      <c r="V8" s="701" t="s">
        <v>14</v>
      </c>
      <c r="W8" s="702">
        <f t="shared" si="2"/>
        <v>100</v>
      </c>
      <c r="X8" s="703"/>
      <c r="Y8" s="3738" t="s">
        <v>1683</v>
      </c>
      <c r="Z8" s="373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70" t="s">
        <v>1686</v>
      </c>
      <c r="Q9" s="1343" t="str">
        <f t="shared" ref="Q9:Q14" si="6">B9</f>
        <v>用途</v>
      </c>
      <c r="R9" s="701" t="s">
        <v>14</v>
      </c>
      <c r="S9" s="702">
        <f t="shared" si="0"/>
        <v>100</v>
      </c>
      <c r="T9" s="701" t="s">
        <v>14</v>
      </c>
      <c r="U9" s="702">
        <f t="shared" si="1"/>
        <v>100</v>
      </c>
      <c r="V9" s="701" t="s">
        <v>14</v>
      </c>
      <c r="W9" s="702">
        <f t="shared" si="2"/>
        <v>100</v>
      </c>
      <c r="X9" s="703"/>
      <c r="Y9" s="368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70"/>
      <c r="Q10" s="1343" t="str">
        <f t="shared" si="6"/>
        <v>土地使用年限（年）</v>
      </c>
      <c r="R10" s="701" t="s">
        <v>14</v>
      </c>
      <c r="S10" s="702">
        <f t="shared" si="0"/>
        <v>100</v>
      </c>
      <c r="T10" s="701" t="s">
        <v>14</v>
      </c>
      <c r="U10" s="702">
        <f t="shared" si="1"/>
        <v>100</v>
      </c>
      <c r="V10" s="701" t="s">
        <v>14</v>
      </c>
      <c r="W10" s="702">
        <f t="shared" si="2"/>
        <v>100</v>
      </c>
      <c r="X10" s="703"/>
      <c r="Y10" s="368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70"/>
      <c r="Q11" s="1343">
        <f t="shared" si="6"/>
        <v>111</v>
      </c>
      <c r="R11" s="701" t="s">
        <v>14</v>
      </c>
      <c r="S11" s="702">
        <f t="shared" si="0"/>
        <v>100</v>
      </c>
      <c r="T11" s="701" t="s">
        <v>14</v>
      </c>
      <c r="U11" s="702">
        <f t="shared" si="1"/>
        <v>100</v>
      </c>
      <c r="V11" s="701" t="s">
        <v>14</v>
      </c>
      <c r="W11" s="702">
        <f t="shared" si="2"/>
        <v>100</v>
      </c>
      <c r="X11" s="703"/>
      <c r="Y11" s="368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70"/>
      <c r="Q12" s="1343">
        <f t="shared" si="6"/>
        <v>111</v>
      </c>
      <c r="R12" s="701" t="s">
        <v>14</v>
      </c>
      <c r="S12" s="702">
        <f t="shared" si="0"/>
        <v>100</v>
      </c>
      <c r="T12" s="701" t="s">
        <v>14</v>
      </c>
      <c r="U12" s="702">
        <f t="shared" si="1"/>
        <v>100</v>
      </c>
      <c r="V12" s="701" t="s">
        <v>14</v>
      </c>
      <c r="W12" s="702">
        <f t="shared" si="2"/>
        <v>100</v>
      </c>
      <c r="X12" s="703"/>
      <c r="Y12" s="368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70"/>
      <c r="Q13" s="1343">
        <f t="shared" si="6"/>
        <v>111</v>
      </c>
      <c r="R13" s="701" t="s">
        <v>14</v>
      </c>
      <c r="S13" s="702">
        <f t="shared" si="0"/>
        <v>100</v>
      </c>
      <c r="T13" s="701" t="s">
        <v>14</v>
      </c>
      <c r="U13" s="702">
        <f t="shared" si="1"/>
        <v>100</v>
      </c>
      <c r="V13" s="701" t="s">
        <v>14</v>
      </c>
      <c r="W13" s="702">
        <f t="shared" si="2"/>
        <v>100</v>
      </c>
      <c r="X13" s="703"/>
      <c r="Y13" s="368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72" t="s">
        <v>1691</v>
      </c>
      <c r="Q14" s="1352" t="str">
        <f t="shared" si="6"/>
        <v>交通便捷度</v>
      </c>
      <c r="R14" s="705" t="s">
        <v>14</v>
      </c>
      <c r="S14" s="706">
        <f t="shared" si="0"/>
        <v>100</v>
      </c>
      <c r="T14" s="705" t="s">
        <v>14</v>
      </c>
      <c r="U14" s="706">
        <f t="shared" si="1"/>
        <v>100</v>
      </c>
      <c r="V14" s="705" t="s">
        <v>14</v>
      </c>
      <c r="W14" s="706">
        <f t="shared" si="2"/>
        <v>100</v>
      </c>
      <c r="X14" s="1355"/>
      <c r="Y14" s="37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73"/>
      <c r="Q15" s="1352"/>
      <c r="R15" s="705"/>
      <c r="S15" s="706"/>
      <c r="T15" s="705"/>
      <c r="U15" s="706"/>
      <c r="V15" s="705"/>
      <c r="W15" s="706"/>
      <c r="X15" s="1355"/>
      <c r="Y15" s="377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73"/>
      <c r="Q16" s="1352" t="str">
        <f>B16</f>
        <v>公共配套设施</v>
      </c>
      <c r="R16" s="705" t="s">
        <v>14</v>
      </c>
      <c r="S16" s="706">
        <f>F16</f>
        <v>100</v>
      </c>
      <c r="T16" s="705" t="s">
        <v>14</v>
      </c>
      <c r="U16" s="706">
        <f>H16</f>
        <v>100</v>
      </c>
      <c r="V16" s="705" t="s">
        <v>14</v>
      </c>
      <c r="W16" s="706">
        <f>J16</f>
        <v>100</v>
      </c>
      <c r="X16" s="1355"/>
      <c r="Y16" s="37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73"/>
      <c r="Q17" s="1352"/>
      <c r="R17" s="705"/>
      <c r="S17" s="706"/>
      <c r="T17" s="705"/>
      <c r="U17" s="706"/>
      <c r="V17" s="705"/>
      <c r="W17" s="706"/>
      <c r="X17" s="1355"/>
      <c r="Y17" s="377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73"/>
      <c r="Q18" s="1352" t="str">
        <f>B18</f>
        <v>基础设施水平</v>
      </c>
      <c r="R18" s="705" t="s">
        <v>14</v>
      </c>
      <c r="S18" s="706">
        <f>F18</f>
        <v>100</v>
      </c>
      <c r="T18" s="705" t="s">
        <v>14</v>
      </c>
      <c r="U18" s="706">
        <f>H18</f>
        <v>100</v>
      </c>
      <c r="V18" s="705" t="s">
        <v>14</v>
      </c>
      <c r="W18" s="706">
        <f>J18</f>
        <v>100</v>
      </c>
      <c r="X18" s="1355"/>
      <c r="Y18" s="37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73"/>
      <c r="Q19" s="1352"/>
      <c r="R19" s="705"/>
      <c r="S19" s="706"/>
      <c r="T19" s="705"/>
      <c r="U19" s="706"/>
      <c r="V19" s="705"/>
      <c r="W19" s="706"/>
      <c r="X19" s="1355"/>
      <c r="Y19" s="377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73"/>
      <c r="Q20" s="1352" t="str">
        <f>B20</f>
        <v>自然及人文环境</v>
      </c>
      <c r="R20" s="705" t="s">
        <v>14</v>
      </c>
      <c r="S20" s="706">
        <f>F20</f>
        <v>100</v>
      </c>
      <c r="T20" s="705" t="s">
        <v>14</v>
      </c>
      <c r="U20" s="706">
        <f>H20</f>
        <v>100</v>
      </c>
      <c r="V20" s="705" t="s">
        <v>14</v>
      </c>
      <c r="W20" s="706">
        <f>J20</f>
        <v>100</v>
      </c>
      <c r="X20" s="1355"/>
      <c r="Y20" s="37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73"/>
      <c r="Q21" s="1352"/>
      <c r="R21" s="705"/>
      <c r="S21" s="706"/>
      <c r="T21" s="705"/>
      <c r="U21" s="706"/>
      <c r="V21" s="705"/>
      <c r="W21" s="706"/>
      <c r="X21" s="1355"/>
      <c r="Y21" s="37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73"/>
      <c r="Q22" s="1352" t="str">
        <f>B22</f>
        <v>楼层</v>
      </c>
      <c r="R22" s="705" t="s">
        <v>14</v>
      </c>
      <c r="S22" s="706">
        <f>F22</f>
        <v>100</v>
      </c>
      <c r="T22" s="705" t="s">
        <v>14</v>
      </c>
      <c r="U22" s="706">
        <f>H22</f>
        <v>100</v>
      </c>
      <c r="V22" s="705" t="s">
        <v>14</v>
      </c>
      <c r="W22" s="706">
        <f>J22</f>
        <v>100</v>
      </c>
      <c r="X22" s="1355"/>
      <c r="Y22" s="37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73"/>
      <c r="Q23" s="1352">
        <f>B23</f>
        <v>111</v>
      </c>
      <c r="R23" s="705" t="s">
        <v>14</v>
      </c>
      <c r="S23" s="706">
        <f>F23</f>
        <v>100</v>
      </c>
      <c r="T23" s="705" t="s">
        <v>14</v>
      </c>
      <c r="U23" s="706">
        <f>H23</f>
        <v>100</v>
      </c>
      <c r="V23" s="705" t="s">
        <v>14</v>
      </c>
      <c r="W23" s="706">
        <f>J23</f>
        <v>100</v>
      </c>
      <c r="X23" s="1355"/>
      <c r="Y23" s="37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73"/>
      <c r="Q24" s="1352">
        <f t="shared" ref="Q24:Q34" si="11">B24</f>
        <v>111</v>
      </c>
      <c r="R24" s="705" t="s">
        <v>14</v>
      </c>
      <c r="S24" s="706">
        <f>F24</f>
        <v>100</v>
      </c>
      <c r="T24" s="705" t="s">
        <v>14</v>
      </c>
      <c r="U24" s="706">
        <f>H24</f>
        <v>100</v>
      </c>
      <c r="V24" s="705" t="s">
        <v>14</v>
      </c>
      <c r="W24" s="706">
        <f>J24</f>
        <v>100</v>
      </c>
      <c r="X24" s="1355"/>
      <c r="Y24" s="37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73"/>
      <c r="Q25" s="1343">
        <f t="shared" si="11"/>
        <v>111</v>
      </c>
      <c r="R25" s="701" t="s">
        <v>14</v>
      </c>
      <c r="S25" s="702">
        <f>F25</f>
        <v>100</v>
      </c>
      <c r="T25" s="701" t="s">
        <v>14</v>
      </c>
      <c r="U25" s="702">
        <f>H25</f>
        <v>100</v>
      </c>
      <c r="V25" s="701" t="s">
        <v>14</v>
      </c>
      <c r="W25" s="702">
        <f>J25</f>
        <v>100</v>
      </c>
      <c r="X25" s="703"/>
      <c r="Y25" s="3773"/>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77"/>
      <c r="Q27" s="707" t="str">
        <f t="shared" si="11"/>
        <v>成新率</v>
      </c>
      <c r="R27" s="708" t="s">
        <v>14</v>
      </c>
      <c r="S27" s="709" t="e">
        <f t="shared" si="12"/>
        <v>#N/A</v>
      </c>
      <c r="T27" s="708" t="s">
        <v>14</v>
      </c>
      <c r="U27" s="709" t="e">
        <f t="shared" si="13"/>
        <v>#N/A</v>
      </c>
      <c r="V27" s="708" t="s">
        <v>14</v>
      </c>
      <c r="W27" s="709" t="e">
        <f t="shared" si="14"/>
        <v>#N/A</v>
      </c>
      <c r="X27" s="710"/>
      <c r="Y27" s="377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77"/>
      <c r="Q28" s="1352" t="str">
        <f t="shared" si="11"/>
        <v>物业等级</v>
      </c>
      <c r="R28" s="705" t="s">
        <v>14</v>
      </c>
      <c r="S28" s="706">
        <f t="shared" si="12"/>
        <v>100</v>
      </c>
      <c r="T28" s="705" t="s">
        <v>14</v>
      </c>
      <c r="U28" s="706">
        <f t="shared" si="13"/>
        <v>100</v>
      </c>
      <c r="V28" s="705" t="s">
        <v>14</v>
      </c>
      <c r="W28" s="706">
        <f t="shared" si="14"/>
        <v>100</v>
      </c>
      <c r="X28" s="1355"/>
      <c r="Y28" s="377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77"/>
      <c r="Q29" s="1352" t="str">
        <f t="shared" si="11"/>
        <v>有无电梯</v>
      </c>
      <c r="R29" s="705" t="s">
        <v>14</v>
      </c>
      <c r="S29" s="706">
        <f t="shared" si="12"/>
        <v>100</v>
      </c>
      <c r="T29" s="705" t="s">
        <v>14</v>
      </c>
      <c r="U29" s="706">
        <f t="shared" si="13"/>
        <v>100</v>
      </c>
      <c r="V29" s="705" t="s">
        <v>14</v>
      </c>
      <c r="W29" s="706">
        <f t="shared" si="14"/>
        <v>100</v>
      </c>
      <c r="X29" s="1355"/>
      <c r="Y29" s="377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77"/>
      <c r="Q30" s="1352" t="str">
        <f t="shared" si="11"/>
        <v>建筑面积</v>
      </c>
      <c r="R30" s="705" t="s">
        <v>14</v>
      </c>
      <c r="S30" s="706" t="e">
        <f t="shared" si="12"/>
        <v>#N/A</v>
      </c>
      <c r="T30" s="705" t="s">
        <v>14</v>
      </c>
      <c r="U30" s="706" t="e">
        <f t="shared" si="13"/>
        <v>#N/A</v>
      </c>
      <c r="V30" s="705" t="s">
        <v>14</v>
      </c>
      <c r="W30" s="706" t="e">
        <f t="shared" si="14"/>
        <v>#N/A</v>
      </c>
      <c r="X30" s="1355"/>
      <c r="Y30" s="377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77"/>
      <c r="Q31" s="1343" t="str">
        <f t="shared" si="11"/>
        <v>是否封闭</v>
      </c>
      <c r="R31" s="701" t="s">
        <v>14</v>
      </c>
      <c r="S31" s="702">
        <f t="shared" si="12"/>
        <v>100</v>
      </c>
      <c r="T31" s="701" t="s">
        <v>14</v>
      </c>
      <c r="U31" s="702">
        <f t="shared" si="13"/>
        <v>100</v>
      </c>
      <c r="V31" s="701" t="s">
        <v>14</v>
      </c>
      <c r="W31" s="702">
        <f t="shared" si="14"/>
        <v>100</v>
      </c>
      <c r="X31" s="703"/>
      <c r="Y31" s="37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77" t="s">
        <v>1696</v>
      </c>
      <c r="Q32" s="1352">
        <f t="shared" si="11"/>
        <v>111</v>
      </c>
      <c r="R32" s="705" t="s">
        <v>14</v>
      </c>
      <c r="S32" s="706">
        <f t="shared" si="12"/>
        <v>100</v>
      </c>
      <c r="T32" s="705" t="s">
        <v>14</v>
      </c>
      <c r="U32" s="706">
        <f t="shared" si="13"/>
        <v>100</v>
      </c>
      <c r="V32" s="705" t="s">
        <v>14</v>
      </c>
      <c r="W32" s="706">
        <f t="shared" si="14"/>
        <v>100</v>
      </c>
      <c r="X32" s="1355"/>
      <c r="Y32" s="377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77"/>
      <c r="Q33" s="1352">
        <f t="shared" si="11"/>
        <v>111</v>
      </c>
      <c r="R33" s="705" t="s">
        <v>14</v>
      </c>
      <c r="S33" s="706">
        <f t="shared" si="12"/>
        <v>100</v>
      </c>
      <c r="T33" s="705" t="s">
        <v>14</v>
      </c>
      <c r="U33" s="706">
        <f t="shared" si="13"/>
        <v>100</v>
      </c>
      <c r="V33" s="705" t="s">
        <v>14</v>
      </c>
      <c r="W33" s="706">
        <f t="shared" si="14"/>
        <v>100</v>
      </c>
      <c r="X33" s="1355"/>
      <c r="Y33" s="377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77"/>
      <c r="Q34" s="1352">
        <f t="shared" si="11"/>
        <v>111</v>
      </c>
      <c r="R34" s="705" t="s">
        <v>14</v>
      </c>
      <c r="S34" s="706">
        <f t="shared" si="12"/>
        <v>100</v>
      </c>
      <c r="T34" s="705" t="s">
        <v>14</v>
      </c>
      <c r="U34" s="706">
        <f t="shared" si="13"/>
        <v>100</v>
      </c>
      <c r="V34" s="705" t="s">
        <v>14</v>
      </c>
      <c r="W34" s="706">
        <f t="shared" si="14"/>
        <v>100</v>
      </c>
      <c r="X34" s="1355"/>
      <c r="Y34" s="377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70" t="str">
        <f>A35</f>
        <v>成交单价（元/平方米）</v>
      </c>
      <c r="Q35" s="3770"/>
      <c r="R35" s="3771">
        <f>E35</f>
        <v>0</v>
      </c>
      <c r="S35" s="3771"/>
      <c r="T35" s="3771">
        <f>G35</f>
        <v>0</v>
      </c>
      <c r="U35" s="3771"/>
      <c r="V35" s="3771">
        <f>I35</f>
        <v>0</v>
      </c>
      <c r="W35" s="377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70" t="str">
        <f>A36</f>
        <v>比较价值（元/平方米）</v>
      </c>
      <c r="Q36" s="3770"/>
      <c r="R36" s="3771" t="e">
        <f>IF(F1="售价",ROUND(PRODUCT(R35,AA7:AA34),0),ROUND(PRODUCT(R35,AA7:AA34),1))</f>
        <v>#DIV/0!</v>
      </c>
      <c r="S36" s="3771"/>
      <c r="T36" s="3771" t="e">
        <f>IF(F1="售价",ROUND(PRODUCT(T35,AB7:AB34),0),ROUND(PRODUCT(T35,AB7:AB34),1))</f>
        <v>#DIV/0!</v>
      </c>
      <c r="U36" s="3771"/>
      <c r="V36" s="3771" t="e">
        <f>IF(F1="售价",ROUND(PRODUCT(V35,AC7:AC34),0),ROUND(PRODUCT(V35,AC7:AC34),1))</f>
        <v>#DIV/0!</v>
      </c>
      <c r="W36" s="377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67" t="str">
        <f>A37</f>
        <v>估价对象XX用房的比较价值（楼面单价，元/平方米）</v>
      </c>
      <c r="Q37" s="3768"/>
      <c r="R37" s="3844" t="e">
        <f>IF(F1="售价",ROUND(IF(D36="简单平均",AVERAGE(R36:W36),R36*F36+T36*H36+V36*J36),0),ROUND(IF(D36="简单平均",AVERAGE(R36:V36),R36*F36+T36*H36+V36*J36),1))</f>
        <v>#DIV/0!</v>
      </c>
      <c r="S37" s="3844"/>
      <c r="T37" s="3844"/>
      <c r="U37" s="3844"/>
      <c r="V37" s="3844"/>
      <c r="W37" s="38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40" t="s">
        <v>1771</v>
      </c>
      <c r="S4" s="3741"/>
      <c r="T4" s="3740" t="s">
        <v>1772</v>
      </c>
      <c r="U4" s="3741"/>
      <c r="V4" s="3765" t="s">
        <v>1773</v>
      </c>
      <c r="W4" s="3765"/>
      <c r="X4" s="1355"/>
      <c r="Y4" s="3740" t="s">
        <v>1775</v>
      </c>
      <c r="Z4" s="3741"/>
      <c r="AA4" s="3735" t="s">
        <v>1771</v>
      </c>
      <c r="AB4" s="3736" t="s">
        <v>1772</v>
      </c>
      <c r="AC4" s="3735" t="s">
        <v>1773</v>
      </c>
    </row>
    <row r="5" spans="1:30" ht="15">
      <c r="A5" s="358"/>
      <c r="B5" s="359"/>
      <c r="C5" s="3746" t="s">
        <v>1673</v>
      </c>
      <c r="D5" s="3747"/>
      <c r="E5" s="3744" t="s">
        <v>1674</v>
      </c>
      <c r="F5" s="3745"/>
      <c r="G5" s="3746" t="s">
        <v>1675</v>
      </c>
      <c r="H5" s="3747"/>
      <c r="I5" s="3746" t="s">
        <v>1676</v>
      </c>
      <c r="J5" s="3747"/>
      <c r="K5" s="559"/>
      <c r="L5" s="2715"/>
      <c r="M5" s="2716"/>
      <c r="N5" s="2716"/>
      <c r="O5" s="2716"/>
      <c r="P5" s="3759"/>
      <c r="Q5" s="3760"/>
      <c r="R5" s="3742"/>
      <c r="S5" s="3743"/>
      <c r="T5" s="3742"/>
      <c r="U5" s="3743"/>
      <c r="V5" s="3765"/>
      <c r="W5" s="3765"/>
      <c r="X5" s="1355"/>
      <c r="Y5" s="3742"/>
      <c r="Z5" s="3743"/>
      <c r="AA5" s="3736"/>
      <c r="AB5" s="3736"/>
      <c r="AC5" s="3736"/>
    </row>
    <row r="6" spans="1:30" ht="15.75" thickBot="1">
      <c r="A6" s="360"/>
      <c r="B6" s="361"/>
      <c r="C6" s="3748" t="s">
        <v>1677</v>
      </c>
      <c r="D6" s="3749"/>
      <c r="E6" s="3750" t="s">
        <v>1677</v>
      </c>
      <c r="F6" s="3751"/>
      <c r="G6" s="3748" t="s">
        <v>1677</v>
      </c>
      <c r="H6" s="3749"/>
      <c r="I6" s="3748" t="s">
        <v>1677</v>
      </c>
      <c r="J6" s="3749"/>
      <c r="K6" s="559" t="s">
        <v>1678</v>
      </c>
      <c r="L6" s="2715"/>
      <c r="M6" s="2716"/>
      <c r="N6" s="2716"/>
      <c r="O6" s="2716"/>
      <c r="P6" s="3761"/>
      <c r="Q6" s="3762"/>
      <c r="R6" s="3742"/>
      <c r="S6" s="3743"/>
      <c r="T6" s="3763"/>
      <c r="U6" s="3764"/>
      <c r="V6" s="3765"/>
      <c r="W6" s="3765"/>
      <c r="X6" s="1355"/>
      <c r="Y6" s="3763"/>
      <c r="Z6" s="3764"/>
      <c r="AA6" s="3737"/>
      <c r="AB6" s="3737"/>
      <c r="AC6" s="3737"/>
    </row>
    <row r="7" spans="1:30" s="108" customFormat="1" ht="15.75" thickBot="1">
      <c r="A7" s="362" t="s">
        <v>1679</v>
      </c>
      <c r="B7" s="363"/>
      <c r="C7" s="364">
        <f>'数据-取费表'!B2</f>
        <v>44991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8" t="s">
        <v>1680</v>
      </c>
      <c r="Q7" s="3766"/>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8" t="s">
        <v>1683</v>
      </c>
      <c r="Q8" s="3739"/>
      <c r="R8" s="701" t="s">
        <v>14</v>
      </c>
      <c r="S8" s="702">
        <f t="shared" si="0"/>
        <v>0</v>
      </c>
      <c r="T8" s="701" t="s">
        <v>14</v>
      </c>
      <c r="U8" s="702">
        <f t="shared" si="1"/>
        <v>0</v>
      </c>
      <c r="V8" s="701" t="s">
        <v>14</v>
      </c>
      <c r="W8" s="702">
        <f t="shared" si="2"/>
        <v>0</v>
      </c>
      <c r="X8" s="703"/>
      <c r="Y8" s="3738" t="s">
        <v>1683</v>
      </c>
      <c r="Z8" s="373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70" t="s">
        <v>1686</v>
      </c>
      <c r="Q9" s="1343" t="str">
        <f t="shared" ref="Q9:Q15" si="6">B9</f>
        <v>用途</v>
      </c>
      <c r="R9" s="701" t="s">
        <v>14</v>
      </c>
      <c r="S9" s="702">
        <f t="shared" si="0"/>
        <v>100</v>
      </c>
      <c r="T9" s="701" t="s">
        <v>14</v>
      </c>
      <c r="U9" s="702">
        <f t="shared" si="1"/>
        <v>100</v>
      </c>
      <c r="V9" s="701" t="s">
        <v>14</v>
      </c>
      <c r="W9" s="702">
        <f t="shared" si="2"/>
        <v>100</v>
      </c>
      <c r="X9" s="703"/>
      <c r="Y9" s="368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9"/>
      <c r="M10" s="2720"/>
      <c r="N10" s="2720"/>
      <c r="O10" s="2773"/>
      <c r="P10" s="3770"/>
      <c r="Q10" s="1343" t="str">
        <f t="shared" si="6"/>
        <v>土地使用年限（年）</v>
      </c>
      <c r="R10" s="701" t="s">
        <v>14</v>
      </c>
      <c r="S10" s="702">
        <f t="shared" si="0"/>
        <v>124</v>
      </c>
      <c r="T10" s="701" t="s">
        <v>14</v>
      </c>
      <c r="U10" s="702">
        <f t="shared" si="1"/>
        <v>124</v>
      </c>
      <c r="V10" s="701" t="s">
        <v>14</v>
      </c>
      <c r="W10" s="702">
        <f t="shared" si="2"/>
        <v>124</v>
      </c>
      <c r="X10" s="703"/>
      <c r="Y10" s="3682"/>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70"/>
      <c r="Q11" s="1343" t="str">
        <f t="shared" si="6"/>
        <v>容积率</v>
      </c>
      <c r="R11" s="701" t="s">
        <v>14</v>
      </c>
      <c r="S11" s="702" t="e">
        <f t="shared" si="0"/>
        <v>#N/A</v>
      </c>
      <c r="T11" s="701" t="s">
        <v>14</v>
      </c>
      <c r="U11" s="702" t="e">
        <f t="shared" si="1"/>
        <v>#N/A</v>
      </c>
      <c r="V11" s="701" t="s">
        <v>14</v>
      </c>
      <c r="W11" s="702" t="e">
        <f t="shared" si="2"/>
        <v>#N/A</v>
      </c>
      <c r="X11" s="703"/>
      <c r="Y11" s="368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70"/>
      <c r="Q12" s="1343" t="str">
        <f t="shared" si="6"/>
        <v>配建</v>
      </c>
      <c r="R12" s="701" t="s">
        <v>14</v>
      </c>
      <c r="S12" s="702">
        <f t="shared" si="0"/>
        <v>100</v>
      </c>
      <c r="T12" s="701" t="s">
        <v>14</v>
      </c>
      <c r="U12" s="702">
        <f t="shared" si="1"/>
        <v>100</v>
      </c>
      <c r="V12" s="701" t="s">
        <v>14</v>
      </c>
      <c r="W12" s="702">
        <f t="shared" si="2"/>
        <v>100</v>
      </c>
      <c r="X12" s="703"/>
      <c r="Y12" s="368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70"/>
      <c r="Q13" s="1343">
        <f t="shared" si="6"/>
        <v>111</v>
      </c>
      <c r="R13" s="701" t="s">
        <v>14</v>
      </c>
      <c r="S13" s="702">
        <f t="shared" si="0"/>
        <v>100</v>
      </c>
      <c r="T13" s="701" t="s">
        <v>14</v>
      </c>
      <c r="U13" s="702">
        <f t="shared" si="1"/>
        <v>100</v>
      </c>
      <c r="V13" s="701" t="s">
        <v>14</v>
      </c>
      <c r="W13" s="702">
        <f t="shared" si="2"/>
        <v>100</v>
      </c>
      <c r="X13" s="703"/>
      <c r="Y13" s="368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70"/>
      <c r="Q14" s="1343">
        <f t="shared" si="6"/>
        <v>111</v>
      </c>
      <c r="R14" s="701" t="s">
        <v>14</v>
      </c>
      <c r="S14" s="702">
        <f t="shared" si="0"/>
        <v>100</v>
      </c>
      <c r="T14" s="701" t="s">
        <v>14</v>
      </c>
      <c r="U14" s="702">
        <f t="shared" si="1"/>
        <v>100</v>
      </c>
      <c r="V14" s="701" t="s">
        <v>14</v>
      </c>
      <c r="W14" s="702">
        <f t="shared" si="2"/>
        <v>100</v>
      </c>
      <c r="X14" s="703"/>
      <c r="Y14" s="368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72" t="s">
        <v>1691</v>
      </c>
      <c r="Q15" s="1352" t="str">
        <f t="shared" si="6"/>
        <v>居住社区成熟度</v>
      </c>
      <c r="R15" s="705" t="s">
        <v>14</v>
      </c>
      <c r="S15" s="706">
        <f t="shared" si="0"/>
        <v>100</v>
      </c>
      <c r="T15" s="705" t="s">
        <v>14</v>
      </c>
      <c r="U15" s="706">
        <f t="shared" si="1"/>
        <v>100</v>
      </c>
      <c r="V15" s="705" t="s">
        <v>14</v>
      </c>
      <c r="W15" s="706">
        <f t="shared" si="2"/>
        <v>100</v>
      </c>
      <c r="X15" s="1355"/>
      <c r="Y15" s="37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73"/>
      <c r="Q16" s="1352"/>
      <c r="R16" s="705"/>
      <c r="S16" s="706"/>
      <c r="T16" s="705"/>
      <c r="U16" s="706"/>
      <c r="V16" s="705"/>
      <c r="W16" s="706"/>
      <c r="X16" s="1355"/>
      <c r="Y16" s="377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73"/>
      <c r="Q17" s="1352" t="str">
        <f>B17</f>
        <v>商业繁华度</v>
      </c>
      <c r="R17" s="705" t="s">
        <v>14</v>
      </c>
      <c r="S17" s="706">
        <f>F17</f>
        <v>100</v>
      </c>
      <c r="T17" s="705" t="s">
        <v>14</v>
      </c>
      <c r="U17" s="706">
        <f>H17</f>
        <v>100</v>
      </c>
      <c r="V17" s="705" t="s">
        <v>14</v>
      </c>
      <c r="W17" s="706">
        <f>J17</f>
        <v>100</v>
      </c>
      <c r="X17" s="1355"/>
      <c r="Y17" s="37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73"/>
      <c r="Q18" s="1352"/>
      <c r="R18" s="705"/>
      <c r="S18" s="706"/>
      <c r="T18" s="705"/>
      <c r="U18" s="706"/>
      <c r="V18" s="705"/>
      <c r="W18" s="706"/>
      <c r="X18" s="1355"/>
      <c r="Y18" s="377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73"/>
      <c r="Q19" s="1352" t="str">
        <f>B19</f>
        <v>办公集聚程度</v>
      </c>
      <c r="R19" s="705" t="s">
        <v>14</v>
      </c>
      <c r="S19" s="706">
        <f>F19</f>
        <v>100</v>
      </c>
      <c r="T19" s="705" t="s">
        <v>14</v>
      </c>
      <c r="U19" s="706">
        <f>H19</f>
        <v>100</v>
      </c>
      <c r="V19" s="705" t="s">
        <v>14</v>
      </c>
      <c r="W19" s="706">
        <f>J19</f>
        <v>100</v>
      </c>
      <c r="X19" s="1355"/>
      <c r="Y19" s="37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73"/>
      <c r="Q20" s="1352"/>
      <c r="R20" s="705"/>
      <c r="S20" s="706"/>
      <c r="T20" s="705"/>
      <c r="U20" s="706"/>
      <c r="V20" s="705"/>
      <c r="W20" s="706"/>
      <c r="X20" s="1355"/>
      <c r="Y20" s="377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73"/>
      <c r="Q21" s="1352" t="str">
        <f>B21</f>
        <v>交通便捷度</v>
      </c>
      <c r="R21" s="705" t="s">
        <v>14</v>
      </c>
      <c r="S21" s="706">
        <f>F21</f>
        <v>100</v>
      </c>
      <c r="T21" s="705" t="s">
        <v>14</v>
      </c>
      <c r="U21" s="706">
        <f>H21</f>
        <v>100</v>
      </c>
      <c r="V21" s="705" t="s">
        <v>14</v>
      </c>
      <c r="W21" s="706">
        <f>J21</f>
        <v>100</v>
      </c>
      <c r="X21" s="1355"/>
      <c r="Y21" s="37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73"/>
      <c r="Q22" s="1352"/>
      <c r="R22" s="705"/>
      <c r="S22" s="706"/>
      <c r="T22" s="705"/>
      <c r="U22" s="706"/>
      <c r="V22" s="705"/>
      <c r="W22" s="706"/>
      <c r="X22" s="1355"/>
      <c r="Y22" s="377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73"/>
      <c r="Q23" s="1352" t="str">
        <f t="shared" ref="Q23:Q37" si="8">B23</f>
        <v>区域土地利用方向</v>
      </c>
      <c r="R23" s="705" t="s">
        <v>14</v>
      </c>
      <c r="S23" s="706">
        <f>F23</f>
        <v>100</v>
      </c>
      <c r="T23" s="705" t="s">
        <v>14</v>
      </c>
      <c r="U23" s="706">
        <f>H23</f>
        <v>100</v>
      </c>
      <c r="V23" s="705" t="s">
        <v>14</v>
      </c>
      <c r="W23" s="706">
        <f>J23</f>
        <v>100</v>
      </c>
      <c r="X23" s="1355"/>
      <c r="Y23" s="37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73"/>
      <c r="Q24" s="1352"/>
      <c r="R24" s="705"/>
      <c r="S24" s="706"/>
      <c r="T24" s="705"/>
      <c r="U24" s="706"/>
      <c r="V24" s="705"/>
      <c r="W24" s="706"/>
      <c r="X24" s="1355"/>
      <c r="Y24" s="377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73"/>
      <c r="Q25" s="1352" t="str">
        <f t="shared" si="8"/>
        <v>自然及人文环境状况</v>
      </c>
      <c r="R25" s="705" t="s">
        <v>14</v>
      </c>
      <c r="S25" s="706">
        <f>F25</f>
        <v>100</v>
      </c>
      <c r="T25" s="705" t="s">
        <v>14</v>
      </c>
      <c r="U25" s="706">
        <f>H25</f>
        <v>100</v>
      </c>
      <c r="V25" s="705" t="s">
        <v>14</v>
      </c>
      <c r="W25" s="706">
        <f>J25</f>
        <v>100</v>
      </c>
      <c r="X25" s="1355"/>
      <c r="Y25" s="37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73"/>
      <c r="Q26" s="1352"/>
      <c r="R26" s="705"/>
      <c r="S26" s="706"/>
      <c r="T26" s="705"/>
      <c r="U26" s="706"/>
      <c r="V26" s="705"/>
      <c r="W26" s="706"/>
      <c r="X26" s="1355"/>
      <c r="Y26" s="377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73"/>
      <c r="Q27" s="1343" t="str">
        <f t="shared" si="8"/>
        <v>公共配套设施</v>
      </c>
      <c r="R27" s="701" t="s">
        <v>14</v>
      </c>
      <c r="S27" s="702">
        <f>F27</f>
        <v>100</v>
      </c>
      <c r="T27" s="701" t="s">
        <v>14</v>
      </c>
      <c r="U27" s="702">
        <f>H27</f>
        <v>100</v>
      </c>
      <c r="V27" s="701" t="s">
        <v>14</v>
      </c>
      <c r="W27" s="702">
        <f>J27</f>
        <v>100</v>
      </c>
      <c r="X27" s="703"/>
      <c r="Y27" s="37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73"/>
      <c r="Q28" s="1343"/>
      <c r="R28" s="701"/>
      <c r="S28" s="702"/>
      <c r="T28" s="701"/>
      <c r="U28" s="702"/>
      <c r="V28" s="701"/>
      <c r="W28" s="702"/>
      <c r="X28" s="703"/>
      <c r="Y28" s="377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73"/>
      <c r="Q29" s="1343" t="str">
        <f t="shared" ref="Q29" si="9">B29</f>
        <v>基础设施水平</v>
      </c>
      <c r="R29" s="701" t="s">
        <v>14</v>
      </c>
      <c r="S29" s="702">
        <f>F29</f>
        <v>100</v>
      </c>
      <c r="T29" s="701" t="s">
        <v>14</v>
      </c>
      <c r="U29" s="702">
        <f>H29</f>
        <v>100</v>
      </c>
      <c r="V29" s="701" t="s">
        <v>14</v>
      </c>
      <c r="W29" s="702">
        <f>J29</f>
        <v>100</v>
      </c>
      <c r="X29" s="703"/>
      <c r="Y29" s="37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73"/>
      <c r="Q30" s="1343"/>
      <c r="R30" s="701"/>
      <c r="S30" s="702"/>
      <c r="T30" s="701"/>
      <c r="U30" s="702"/>
      <c r="V30" s="701"/>
      <c r="W30" s="702"/>
      <c r="X30" s="703"/>
      <c r="Y30" s="37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73"/>
      <c r="Q32" s="1352" t="str">
        <f t="shared" si="8"/>
        <v>毗邻道路的类型与等级</v>
      </c>
      <c r="R32" s="705" t="s">
        <v>14</v>
      </c>
      <c r="S32" s="706">
        <f t="shared" si="10"/>
        <v>100</v>
      </c>
      <c r="T32" s="705" t="s">
        <v>14</v>
      </c>
      <c r="U32" s="706">
        <f t="shared" si="11"/>
        <v>100</v>
      </c>
      <c r="V32" s="705" t="s">
        <v>14</v>
      </c>
      <c r="W32" s="706">
        <f t="shared" si="12"/>
        <v>100</v>
      </c>
      <c r="X32" s="1355"/>
      <c r="Y32" s="37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73"/>
      <c r="Q33" s="1352"/>
      <c r="R33" s="705"/>
      <c r="S33" s="706"/>
      <c r="T33" s="705"/>
      <c r="U33" s="706"/>
      <c r="V33" s="705"/>
      <c r="W33" s="706"/>
      <c r="X33" s="1355"/>
      <c r="Y33" s="37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73"/>
      <c r="Q34" s="1352" t="str">
        <f t="shared" si="8"/>
        <v>土地级别</v>
      </c>
      <c r="R34" s="705" t="s">
        <v>14</v>
      </c>
      <c r="S34" s="706">
        <f t="shared" si="10"/>
        <v>100</v>
      </c>
      <c r="T34" s="705" t="s">
        <v>14</v>
      </c>
      <c r="U34" s="706">
        <f t="shared" si="11"/>
        <v>100</v>
      </c>
      <c r="V34" s="705" t="s">
        <v>14</v>
      </c>
      <c r="W34" s="706">
        <f t="shared" si="12"/>
        <v>100</v>
      </c>
      <c r="X34" s="1355"/>
      <c r="Y34" s="37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73"/>
      <c r="Q35" s="1352">
        <f t="shared" si="8"/>
        <v>111</v>
      </c>
      <c r="R35" s="705" t="s">
        <v>14</v>
      </c>
      <c r="S35" s="706">
        <f t="shared" si="10"/>
        <v>100</v>
      </c>
      <c r="T35" s="705" t="s">
        <v>14</v>
      </c>
      <c r="U35" s="706">
        <f t="shared" si="11"/>
        <v>100</v>
      </c>
      <c r="V35" s="705" t="s">
        <v>14</v>
      </c>
      <c r="W35" s="706">
        <f t="shared" si="12"/>
        <v>100</v>
      </c>
      <c r="X35" s="1355"/>
      <c r="Y35" s="37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43" t="s">
        <v>1696</v>
      </c>
      <c r="Q36" s="1352">
        <f t="shared" si="8"/>
        <v>111</v>
      </c>
      <c r="R36" s="705" t="s">
        <v>14</v>
      </c>
      <c r="S36" s="706">
        <f t="shared" si="10"/>
        <v>100</v>
      </c>
      <c r="T36" s="705" t="s">
        <v>14</v>
      </c>
      <c r="U36" s="706">
        <f t="shared" si="11"/>
        <v>100</v>
      </c>
      <c r="V36" s="705" t="s">
        <v>14</v>
      </c>
      <c r="W36" s="706">
        <f t="shared" si="12"/>
        <v>100</v>
      </c>
      <c r="X36" s="1355"/>
      <c r="Y36" s="377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77"/>
      <c r="Q37" s="1352">
        <f t="shared" si="8"/>
        <v>111</v>
      </c>
      <c r="R37" s="708" t="s">
        <v>14</v>
      </c>
      <c r="S37" s="709">
        <f t="shared" si="10"/>
        <v>100</v>
      </c>
      <c r="T37" s="708" t="s">
        <v>14</v>
      </c>
      <c r="U37" s="709">
        <f t="shared" si="11"/>
        <v>100</v>
      </c>
      <c r="V37" s="708" t="s">
        <v>14</v>
      </c>
      <c r="W37" s="709">
        <f t="shared" si="12"/>
        <v>100</v>
      </c>
      <c r="X37" s="710"/>
      <c r="Y37" s="377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77"/>
      <c r="Q38" s="1352" t="str">
        <f>B38</f>
        <v>宗地面积</v>
      </c>
      <c r="R38" s="705" t="s">
        <v>14</v>
      </c>
      <c r="S38" s="706" t="e">
        <f t="shared" si="10"/>
        <v>#N/A</v>
      </c>
      <c r="T38" s="705" t="s">
        <v>14</v>
      </c>
      <c r="U38" s="706" t="e">
        <f t="shared" si="11"/>
        <v>#N/A</v>
      </c>
      <c r="V38" s="705" t="s">
        <v>14</v>
      </c>
      <c r="W38" s="706" t="e">
        <f t="shared" si="12"/>
        <v>#N/A</v>
      </c>
      <c r="X38" s="1355"/>
      <c r="Y38" s="377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77"/>
      <c r="Q39" s="1352" t="str">
        <f t="shared" ref="Q39:Q45" si="14">B39</f>
        <v>宗地形状</v>
      </c>
      <c r="R39" s="705" t="s">
        <v>14</v>
      </c>
      <c r="S39" s="706">
        <f t="shared" si="10"/>
        <v>100</v>
      </c>
      <c r="T39" s="705" t="s">
        <v>14</v>
      </c>
      <c r="U39" s="706">
        <f t="shared" si="11"/>
        <v>100</v>
      </c>
      <c r="V39" s="705" t="s">
        <v>14</v>
      </c>
      <c r="W39" s="706">
        <f t="shared" si="12"/>
        <v>100</v>
      </c>
      <c r="X39" s="1355"/>
      <c r="Y39" s="377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77"/>
      <c r="Q40" s="1352" t="str">
        <f t="shared" si="14"/>
        <v>临街宽度及深度</v>
      </c>
      <c r="R40" s="705" t="s">
        <v>14</v>
      </c>
      <c r="S40" s="706">
        <f t="shared" si="10"/>
        <v>100</v>
      </c>
      <c r="T40" s="705" t="s">
        <v>14</v>
      </c>
      <c r="U40" s="706">
        <f t="shared" si="11"/>
        <v>100</v>
      </c>
      <c r="V40" s="705" t="s">
        <v>14</v>
      </c>
      <c r="W40" s="706">
        <f t="shared" si="12"/>
        <v>100</v>
      </c>
      <c r="X40" s="1355"/>
      <c r="Y40" s="377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77"/>
      <c r="Q41" s="1352" t="str">
        <f t="shared" si="14"/>
        <v>宗地开发程度</v>
      </c>
      <c r="R41" s="701" t="s">
        <v>14</v>
      </c>
      <c r="S41" s="702">
        <f t="shared" si="10"/>
        <v>100</v>
      </c>
      <c r="T41" s="701" t="s">
        <v>14</v>
      </c>
      <c r="U41" s="702">
        <f t="shared" si="11"/>
        <v>100</v>
      </c>
      <c r="V41" s="701" t="s">
        <v>14</v>
      </c>
      <c r="W41" s="702">
        <f t="shared" si="12"/>
        <v>100</v>
      </c>
      <c r="X41" s="703"/>
      <c r="Y41" s="377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77" t="s">
        <v>1696</v>
      </c>
      <c r="Q42" s="1352" t="str">
        <f t="shared" si="14"/>
        <v>工程地质条件</v>
      </c>
      <c r="R42" s="705" t="s">
        <v>14</v>
      </c>
      <c r="S42" s="706">
        <f t="shared" si="10"/>
        <v>100</v>
      </c>
      <c r="T42" s="705" t="s">
        <v>14</v>
      </c>
      <c r="U42" s="706">
        <f t="shared" si="11"/>
        <v>100</v>
      </c>
      <c r="V42" s="705" t="s">
        <v>14</v>
      </c>
      <c r="W42" s="706">
        <f t="shared" si="12"/>
        <v>100</v>
      </c>
      <c r="X42" s="1355"/>
      <c r="Y42" s="377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77"/>
      <c r="Q43" s="1352">
        <f t="shared" si="14"/>
        <v>111</v>
      </c>
      <c r="R43" s="705" t="s">
        <v>14</v>
      </c>
      <c r="S43" s="706">
        <f t="shared" si="10"/>
        <v>100</v>
      </c>
      <c r="T43" s="705" t="s">
        <v>14</v>
      </c>
      <c r="U43" s="706">
        <f t="shared" si="11"/>
        <v>100</v>
      </c>
      <c r="V43" s="705" t="s">
        <v>14</v>
      </c>
      <c r="W43" s="706">
        <f t="shared" si="12"/>
        <v>100</v>
      </c>
      <c r="X43" s="1355"/>
      <c r="Y43" s="37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77"/>
      <c r="Q44" s="1352">
        <f t="shared" si="14"/>
        <v>111</v>
      </c>
      <c r="R44" s="705" t="s">
        <v>14</v>
      </c>
      <c r="S44" s="706">
        <f t="shared" si="10"/>
        <v>100</v>
      </c>
      <c r="T44" s="705" t="s">
        <v>14</v>
      </c>
      <c r="U44" s="706">
        <f t="shared" si="11"/>
        <v>100</v>
      </c>
      <c r="V44" s="705" t="s">
        <v>14</v>
      </c>
      <c r="W44" s="706">
        <f t="shared" si="12"/>
        <v>100</v>
      </c>
      <c r="X44" s="1355"/>
      <c r="Y44" s="377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77"/>
      <c r="Q45" s="1352">
        <f t="shared" si="14"/>
        <v>111</v>
      </c>
      <c r="R45" s="708" t="s">
        <v>14</v>
      </c>
      <c r="S45" s="709">
        <f t="shared" si="10"/>
        <v>100</v>
      </c>
      <c r="T45" s="708" t="s">
        <v>14</v>
      </c>
      <c r="U45" s="709">
        <f t="shared" si="11"/>
        <v>100</v>
      </c>
      <c r="V45" s="708" t="s">
        <v>14</v>
      </c>
      <c r="W45" s="709">
        <f t="shared" si="12"/>
        <v>100</v>
      </c>
      <c r="X45" s="710"/>
      <c r="Y45" s="377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70" t="str">
        <f>A46</f>
        <v>成交单价</v>
      </c>
      <c r="Q46" s="3770"/>
      <c r="R46" s="3765">
        <f>E46</f>
        <v>0</v>
      </c>
      <c r="S46" s="3765"/>
      <c r="T46" s="3765">
        <f>G46</f>
        <v>0</v>
      </c>
      <c r="U46" s="3765"/>
      <c r="V46" s="3765">
        <f>I46</f>
        <v>0</v>
      </c>
      <c r="W46" s="376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70" t="str">
        <f>A47</f>
        <v>比较价值（元/平方米）</v>
      </c>
      <c r="Q47" s="3770"/>
      <c r="R47" s="3845" t="e">
        <f>ROUND(PRODUCT(R46,AA7:AA45),0)</f>
        <v>#DIV/0!</v>
      </c>
      <c r="S47" s="3845"/>
      <c r="T47" s="3845" t="e">
        <f>ROUND(PRODUCT(T46,AB7:AB45),0)</f>
        <v>#DIV/0!</v>
      </c>
      <c r="U47" s="3845"/>
      <c r="V47" s="3845" t="e">
        <f>ROUND(PRODUCT(V46,AC7:AC45),0)</f>
        <v>#DIV/0!</v>
      </c>
      <c r="W47" s="38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67" t="str">
        <f>A48</f>
        <v>估价对象XX用房的比较价值（楼面单价，元/平方米）</v>
      </c>
      <c r="Q48" s="3768"/>
      <c r="R48" s="3846" t="e">
        <f>ROUND(IF(D47="简单平均",AVERAGE(R47:W47),R47*F47+T47*H47+V47*J47),0)</f>
        <v>#DIV/0!</v>
      </c>
      <c r="S48" s="3846"/>
      <c r="T48" s="3846"/>
      <c r="U48" s="3846"/>
      <c r="V48" s="3846"/>
      <c r="W48" s="38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3" t="s">
        <v>1887</v>
      </c>
      <c r="H55" s="38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512.87</v>
      </c>
      <c r="F56" s="886" t="e">
        <f t="shared" ref="F56:F64" si="15">ROUND(B56*E56/10000,0)</f>
        <v>#DIV/0!</v>
      </c>
      <c r="G56" s="3752"/>
      <c r="H56" s="377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512.87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40" t="s">
        <v>1771</v>
      </c>
      <c r="S4" s="3741"/>
      <c r="T4" s="3740" t="s">
        <v>1772</v>
      </c>
      <c r="U4" s="3741"/>
      <c r="V4" s="3765" t="s">
        <v>1773</v>
      </c>
      <c r="W4" s="3765"/>
      <c r="X4" s="1355"/>
      <c r="Y4" s="3740" t="s">
        <v>1775</v>
      </c>
      <c r="Z4" s="3741"/>
      <c r="AA4" s="3735" t="s">
        <v>1771</v>
      </c>
      <c r="AB4" s="3736" t="s">
        <v>1772</v>
      </c>
      <c r="AC4" s="3735" t="s">
        <v>1773</v>
      </c>
    </row>
    <row r="5" spans="1:29" ht="15">
      <c r="A5" s="358"/>
      <c r="B5" s="359"/>
      <c r="C5" s="3746" t="s">
        <v>1673</v>
      </c>
      <c r="D5" s="3747"/>
      <c r="E5" s="3744" t="s">
        <v>1674</v>
      </c>
      <c r="F5" s="3745"/>
      <c r="G5" s="3746" t="s">
        <v>1675</v>
      </c>
      <c r="H5" s="3747"/>
      <c r="I5" s="3746" t="s">
        <v>1676</v>
      </c>
      <c r="J5" s="3747"/>
      <c r="K5" s="559"/>
      <c r="L5" s="2715"/>
      <c r="M5" s="2716"/>
      <c r="N5" s="2716"/>
      <c r="O5" s="2716"/>
      <c r="P5" s="3759"/>
      <c r="Q5" s="3760"/>
      <c r="R5" s="3742"/>
      <c r="S5" s="3743"/>
      <c r="T5" s="3742"/>
      <c r="U5" s="3743"/>
      <c r="V5" s="3765"/>
      <c r="W5" s="3765"/>
      <c r="X5" s="1355"/>
      <c r="Y5" s="3742"/>
      <c r="Z5" s="3743"/>
      <c r="AA5" s="3736"/>
      <c r="AB5" s="3736"/>
      <c r="AC5" s="3736"/>
    </row>
    <row r="6" spans="1:29" ht="15.75" thickBot="1">
      <c r="A6" s="360"/>
      <c r="B6" s="361"/>
      <c r="C6" s="3848" t="s">
        <v>1919</v>
      </c>
      <c r="D6" s="3849"/>
      <c r="E6" s="3850" t="s">
        <v>1919</v>
      </c>
      <c r="F6" s="3851"/>
      <c r="G6" s="3848" t="s">
        <v>1919</v>
      </c>
      <c r="H6" s="3849"/>
      <c r="I6" s="3848" t="s">
        <v>1919</v>
      </c>
      <c r="J6" s="3849"/>
      <c r="K6" s="559" t="s">
        <v>1678</v>
      </c>
      <c r="L6" s="2715"/>
      <c r="M6" s="2716"/>
      <c r="N6" s="2716"/>
      <c r="O6" s="2716"/>
      <c r="P6" s="3761"/>
      <c r="Q6" s="3762"/>
      <c r="R6" s="3742"/>
      <c r="S6" s="3743"/>
      <c r="T6" s="3763"/>
      <c r="U6" s="3764"/>
      <c r="V6" s="3765"/>
      <c r="W6" s="3765"/>
      <c r="X6" s="1355"/>
      <c r="Y6" s="3763"/>
      <c r="Z6" s="3764"/>
      <c r="AA6" s="3737"/>
      <c r="AB6" s="3737"/>
      <c r="AC6" s="3737"/>
    </row>
    <row r="7" spans="1:29" s="108" customFormat="1" ht="15.75" thickBot="1">
      <c r="A7" s="362" t="s">
        <v>1679</v>
      </c>
      <c r="B7" s="363"/>
      <c r="C7" s="364">
        <f>'数据-取费表'!B2</f>
        <v>44991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8" t="s">
        <v>1680</v>
      </c>
      <c r="Q7" s="3766"/>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8" t="s">
        <v>1683</v>
      </c>
      <c r="Q8" s="3739"/>
      <c r="R8" s="701" t="s">
        <v>14</v>
      </c>
      <c r="S8" s="702">
        <f t="shared" si="0"/>
        <v>0</v>
      </c>
      <c r="T8" s="701" t="s">
        <v>14</v>
      </c>
      <c r="U8" s="702">
        <f t="shared" si="1"/>
        <v>0</v>
      </c>
      <c r="V8" s="701" t="s">
        <v>14</v>
      </c>
      <c r="W8" s="702">
        <f t="shared" si="2"/>
        <v>0</v>
      </c>
      <c r="X8" s="703"/>
      <c r="Y8" s="3738" t="s">
        <v>1683</v>
      </c>
      <c r="Z8" s="373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70" t="s">
        <v>1686</v>
      </c>
      <c r="Q9" s="1343" t="str">
        <f t="shared" ref="Q9:Q15" si="6">B9</f>
        <v>用途</v>
      </c>
      <c r="R9" s="701" t="s">
        <v>14</v>
      </c>
      <c r="S9" s="702">
        <f t="shared" si="0"/>
        <v>100</v>
      </c>
      <c r="T9" s="701" t="s">
        <v>14</v>
      </c>
      <c r="U9" s="702">
        <f t="shared" si="1"/>
        <v>100</v>
      </c>
      <c r="V9" s="701" t="s">
        <v>14</v>
      </c>
      <c r="W9" s="702">
        <f t="shared" si="2"/>
        <v>100</v>
      </c>
      <c r="X9" s="703"/>
      <c r="Y9" s="368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9"/>
      <c r="M10" s="2720"/>
      <c r="N10" s="2720"/>
      <c r="O10" s="2773"/>
      <c r="P10" s="3770"/>
      <c r="Q10" s="1343" t="str">
        <f t="shared" si="6"/>
        <v>土地使用年限（年）</v>
      </c>
      <c r="R10" s="701" t="s">
        <v>14</v>
      </c>
      <c r="S10" s="702">
        <f t="shared" si="0"/>
        <v>124</v>
      </c>
      <c r="T10" s="701" t="s">
        <v>14</v>
      </c>
      <c r="U10" s="702">
        <f t="shared" si="1"/>
        <v>124</v>
      </c>
      <c r="V10" s="701" t="s">
        <v>14</v>
      </c>
      <c r="W10" s="702">
        <f t="shared" si="2"/>
        <v>124</v>
      </c>
      <c r="X10" s="703"/>
      <c r="Y10" s="3682"/>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70"/>
      <c r="Q11" s="1343" t="str">
        <f t="shared" si="6"/>
        <v>容积率</v>
      </c>
      <c r="R11" s="701" t="s">
        <v>14</v>
      </c>
      <c r="S11" s="702" t="e">
        <f t="shared" si="0"/>
        <v>#N/A</v>
      </c>
      <c r="T11" s="701" t="s">
        <v>14</v>
      </c>
      <c r="U11" s="702" t="e">
        <f t="shared" si="1"/>
        <v>#N/A</v>
      </c>
      <c r="V11" s="701" t="s">
        <v>14</v>
      </c>
      <c r="W11" s="702" t="e">
        <f t="shared" si="2"/>
        <v>#N/A</v>
      </c>
      <c r="X11" s="703"/>
      <c r="Y11" s="368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70"/>
      <c r="Q12" s="1343">
        <f t="shared" si="6"/>
        <v>111</v>
      </c>
      <c r="R12" s="701" t="s">
        <v>14</v>
      </c>
      <c r="S12" s="702">
        <f t="shared" si="0"/>
        <v>100</v>
      </c>
      <c r="T12" s="701" t="s">
        <v>14</v>
      </c>
      <c r="U12" s="702">
        <f t="shared" si="1"/>
        <v>100</v>
      </c>
      <c r="V12" s="701" t="s">
        <v>14</v>
      </c>
      <c r="W12" s="702">
        <f t="shared" si="2"/>
        <v>100</v>
      </c>
      <c r="X12" s="703"/>
      <c r="Y12" s="368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70"/>
      <c r="Q13" s="1343">
        <f t="shared" si="6"/>
        <v>111</v>
      </c>
      <c r="R13" s="701" t="s">
        <v>14</v>
      </c>
      <c r="S13" s="702">
        <f t="shared" si="0"/>
        <v>100</v>
      </c>
      <c r="T13" s="701" t="s">
        <v>14</v>
      </c>
      <c r="U13" s="702">
        <f t="shared" si="1"/>
        <v>100</v>
      </c>
      <c r="V13" s="701" t="s">
        <v>14</v>
      </c>
      <c r="W13" s="702">
        <f t="shared" si="2"/>
        <v>100</v>
      </c>
      <c r="X13" s="703"/>
      <c r="Y13" s="368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70"/>
      <c r="Q14" s="1343">
        <f t="shared" si="6"/>
        <v>111</v>
      </c>
      <c r="R14" s="701" t="s">
        <v>14</v>
      </c>
      <c r="S14" s="702">
        <f t="shared" si="0"/>
        <v>100</v>
      </c>
      <c r="T14" s="701" t="s">
        <v>14</v>
      </c>
      <c r="U14" s="702">
        <f t="shared" si="1"/>
        <v>100</v>
      </c>
      <c r="V14" s="701" t="s">
        <v>14</v>
      </c>
      <c r="W14" s="702">
        <f t="shared" si="2"/>
        <v>100</v>
      </c>
      <c r="X14" s="703"/>
      <c r="Y14" s="368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72" t="s">
        <v>1691</v>
      </c>
      <c r="Q15" s="1352" t="str">
        <f t="shared" si="6"/>
        <v>产业集聚程度</v>
      </c>
      <c r="R15" s="705" t="s">
        <v>14</v>
      </c>
      <c r="S15" s="706">
        <f t="shared" si="0"/>
        <v>100</v>
      </c>
      <c r="T15" s="705" t="s">
        <v>14</v>
      </c>
      <c r="U15" s="706">
        <f t="shared" si="1"/>
        <v>100</v>
      </c>
      <c r="V15" s="705" t="s">
        <v>14</v>
      </c>
      <c r="W15" s="706">
        <f t="shared" si="2"/>
        <v>100</v>
      </c>
      <c r="X15" s="1355"/>
      <c r="Y15" s="37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73"/>
      <c r="Q16" s="1352"/>
      <c r="R16" s="705"/>
      <c r="S16" s="706"/>
      <c r="T16" s="705"/>
      <c r="U16" s="706"/>
      <c r="V16" s="705"/>
      <c r="W16" s="706"/>
      <c r="X16" s="1355"/>
      <c r="Y16" s="377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73"/>
      <c r="Q17" s="1352" t="str">
        <f>B17</f>
        <v>交通便捷度</v>
      </c>
      <c r="R17" s="705" t="s">
        <v>14</v>
      </c>
      <c r="S17" s="706">
        <f>F17</f>
        <v>100</v>
      </c>
      <c r="T17" s="705" t="s">
        <v>14</v>
      </c>
      <c r="U17" s="706">
        <f>H17</f>
        <v>100</v>
      </c>
      <c r="V17" s="705" t="s">
        <v>14</v>
      </c>
      <c r="W17" s="706">
        <f>J17</f>
        <v>100</v>
      </c>
      <c r="X17" s="1355"/>
      <c r="Y17" s="37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73"/>
      <c r="Q18" s="1352"/>
      <c r="R18" s="705"/>
      <c r="S18" s="706"/>
      <c r="T18" s="705"/>
      <c r="U18" s="706"/>
      <c r="V18" s="705"/>
      <c r="W18" s="706"/>
      <c r="X18" s="1355"/>
      <c r="Y18" s="377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73"/>
      <c r="Q19" s="1352" t="str">
        <f t="shared" ref="Q19:Q33" si="8">B19</f>
        <v>区域土地利用方向</v>
      </c>
      <c r="R19" s="705" t="s">
        <v>14</v>
      </c>
      <c r="S19" s="706">
        <f>F19</f>
        <v>100</v>
      </c>
      <c r="T19" s="705" t="s">
        <v>14</v>
      </c>
      <c r="U19" s="706">
        <f>H19</f>
        <v>100</v>
      </c>
      <c r="V19" s="705" t="s">
        <v>14</v>
      </c>
      <c r="W19" s="706">
        <f>J19</f>
        <v>100</v>
      </c>
      <c r="X19" s="1355"/>
      <c r="Y19" s="37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73"/>
      <c r="Q20" s="1352"/>
      <c r="R20" s="705"/>
      <c r="S20" s="706"/>
      <c r="T20" s="705"/>
      <c r="U20" s="706"/>
      <c r="V20" s="705"/>
      <c r="W20" s="706"/>
      <c r="X20" s="1355"/>
      <c r="Y20" s="377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73"/>
      <c r="Q21" s="1352" t="str">
        <f t="shared" si="8"/>
        <v>环境状况</v>
      </c>
      <c r="R21" s="705" t="s">
        <v>14</v>
      </c>
      <c r="S21" s="706">
        <f>F21</f>
        <v>100</v>
      </c>
      <c r="T21" s="705" t="s">
        <v>14</v>
      </c>
      <c r="U21" s="706">
        <f>H21</f>
        <v>100</v>
      </c>
      <c r="V21" s="705" t="s">
        <v>14</v>
      </c>
      <c r="W21" s="706">
        <f>J21</f>
        <v>100</v>
      </c>
      <c r="X21" s="1355"/>
      <c r="Y21" s="37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73"/>
      <c r="Q22" s="1352"/>
      <c r="R22" s="705"/>
      <c r="S22" s="706"/>
      <c r="T22" s="705"/>
      <c r="U22" s="706"/>
      <c r="V22" s="705"/>
      <c r="W22" s="706"/>
      <c r="X22" s="1355"/>
      <c r="Y22" s="377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73"/>
      <c r="Q23" s="1343" t="str">
        <f t="shared" si="8"/>
        <v>公共配套设施</v>
      </c>
      <c r="R23" s="701" t="s">
        <v>14</v>
      </c>
      <c r="S23" s="702">
        <f>F23</f>
        <v>100</v>
      </c>
      <c r="T23" s="701" t="s">
        <v>14</v>
      </c>
      <c r="U23" s="702">
        <f>H23</f>
        <v>100</v>
      </c>
      <c r="V23" s="701" t="s">
        <v>14</v>
      </c>
      <c r="W23" s="702">
        <f>J23</f>
        <v>100</v>
      </c>
      <c r="X23" s="703"/>
      <c r="Y23" s="37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73"/>
      <c r="Q24" s="1343"/>
      <c r="R24" s="701"/>
      <c r="S24" s="702"/>
      <c r="T24" s="701"/>
      <c r="U24" s="702"/>
      <c r="V24" s="701"/>
      <c r="W24" s="702"/>
      <c r="X24" s="703"/>
      <c r="Y24" s="377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73"/>
      <c r="Q25" s="1343" t="str">
        <f t="shared" ref="Q25" si="9">B25</f>
        <v>基础设施水平</v>
      </c>
      <c r="R25" s="701" t="s">
        <v>14</v>
      </c>
      <c r="S25" s="702">
        <f>F25</f>
        <v>100</v>
      </c>
      <c r="T25" s="701" t="s">
        <v>14</v>
      </c>
      <c r="U25" s="702">
        <f>H25</f>
        <v>100</v>
      </c>
      <c r="V25" s="701" t="s">
        <v>14</v>
      </c>
      <c r="W25" s="702">
        <f>J25</f>
        <v>100</v>
      </c>
      <c r="X25" s="703"/>
      <c r="Y25" s="37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73"/>
      <c r="Q26" s="1343"/>
      <c r="R26" s="701"/>
      <c r="S26" s="702"/>
      <c r="T26" s="701"/>
      <c r="U26" s="702"/>
      <c r="V26" s="701"/>
      <c r="W26" s="702"/>
      <c r="X26" s="703"/>
      <c r="Y26" s="37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73"/>
      <c r="Q28" s="1352" t="str">
        <f t="shared" si="8"/>
        <v>毗邻道路的类型与等级</v>
      </c>
      <c r="R28" s="705" t="s">
        <v>14</v>
      </c>
      <c r="S28" s="706">
        <f t="shared" si="10"/>
        <v>100</v>
      </c>
      <c r="T28" s="705" t="s">
        <v>14</v>
      </c>
      <c r="U28" s="706">
        <f t="shared" si="11"/>
        <v>100</v>
      </c>
      <c r="V28" s="705" t="s">
        <v>14</v>
      </c>
      <c r="W28" s="706">
        <f t="shared" si="12"/>
        <v>100</v>
      </c>
      <c r="X28" s="1355"/>
      <c r="Y28" s="37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73"/>
      <c r="Q29" s="1352"/>
      <c r="R29" s="705"/>
      <c r="S29" s="706"/>
      <c r="T29" s="705"/>
      <c r="U29" s="706"/>
      <c r="V29" s="705"/>
      <c r="W29" s="706"/>
      <c r="X29" s="1355"/>
      <c r="Y29" s="37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73"/>
      <c r="Q30" s="1352" t="str">
        <f t="shared" si="8"/>
        <v>土地级别</v>
      </c>
      <c r="R30" s="705" t="s">
        <v>14</v>
      </c>
      <c r="S30" s="706">
        <f t="shared" si="10"/>
        <v>100</v>
      </c>
      <c r="T30" s="705" t="s">
        <v>14</v>
      </c>
      <c r="U30" s="706">
        <f t="shared" si="11"/>
        <v>100</v>
      </c>
      <c r="V30" s="705" t="s">
        <v>14</v>
      </c>
      <c r="W30" s="706">
        <f t="shared" si="12"/>
        <v>100</v>
      </c>
      <c r="X30" s="1355"/>
      <c r="Y30" s="37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73"/>
      <c r="Q31" s="1352">
        <f t="shared" si="8"/>
        <v>111</v>
      </c>
      <c r="R31" s="705" t="s">
        <v>14</v>
      </c>
      <c r="S31" s="706">
        <f t="shared" si="10"/>
        <v>100</v>
      </c>
      <c r="T31" s="705" t="s">
        <v>14</v>
      </c>
      <c r="U31" s="706">
        <f t="shared" si="11"/>
        <v>100</v>
      </c>
      <c r="V31" s="705" t="s">
        <v>14</v>
      </c>
      <c r="W31" s="706">
        <f t="shared" si="12"/>
        <v>100</v>
      </c>
      <c r="X31" s="1355"/>
      <c r="Y31" s="37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43" t="s">
        <v>1696</v>
      </c>
      <c r="Q32" s="1352">
        <f t="shared" si="8"/>
        <v>111</v>
      </c>
      <c r="R32" s="705" t="s">
        <v>14</v>
      </c>
      <c r="S32" s="706">
        <f t="shared" si="10"/>
        <v>100</v>
      </c>
      <c r="T32" s="705" t="s">
        <v>14</v>
      </c>
      <c r="U32" s="706">
        <f t="shared" si="11"/>
        <v>100</v>
      </c>
      <c r="V32" s="705" t="s">
        <v>14</v>
      </c>
      <c r="W32" s="706">
        <f t="shared" si="12"/>
        <v>100</v>
      </c>
      <c r="X32" s="1355"/>
      <c r="Y32" s="377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77"/>
      <c r="Q33" s="1352">
        <f t="shared" si="8"/>
        <v>111</v>
      </c>
      <c r="R33" s="708" t="s">
        <v>14</v>
      </c>
      <c r="S33" s="709">
        <f t="shared" si="10"/>
        <v>100</v>
      </c>
      <c r="T33" s="708" t="s">
        <v>14</v>
      </c>
      <c r="U33" s="709">
        <f t="shared" si="11"/>
        <v>100</v>
      </c>
      <c r="V33" s="708" t="s">
        <v>14</v>
      </c>
      <c r="W33" s="709">
        <f t="shared" si="12"/>
        <v>100</v>
      </c>
      <c r="X33" s="710"/>
      <c r="Y33" s="377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77"/>
      <c r="Q34" s="1352" t="str">
        <f>B34</f>
        <v>宗地面积</v>
      </c>
      <c r="R34" s="705" t="s">
        <v>14</v>
      </c>
      <c r="S34" s="706" t="e">
        <f t="shared" si="10"/>
        <v>#N/A</v>
      </c>
      <c r="T34" s="705" t="s">
        <v>14</v>
      </c>
      <c r="U34" s="706" t="e">
        <f t="shared" si="11"/>
        <v>#N/A</v>
      </c>
      <c r="V34" s="705" t="s">
        <v>14</v>
      </c>
      <c r="W34" s="706" t="e">
        <f t="shared" si="12"/>
        <v>#N/A</v>
      </c>
      <c r="X34" s="1355"/>
      <c r="Y34" s="377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77"/>
      <c r="Q35" s="1352" t="str">
        <f t="shared" ref="Q35:Q40" si="14">B35</f>
        <v>宗地形状</v>
      </c>
      <c r="R35" s="705" t="s">
        <v>14</v>
      </c>
      <c r="S35" s="706">
        <f t="shared" si="10"/>
        <v>100</v>
      </c>
      <c r="T35" s="705" t="s">
        <v>14</v>
      </c>
      <c r="U35" s="706">
        <f t="shared" si="11"/>
        <v>100</v>
      </c>
      <c r="V35" s="705" t="s">
        <v>14</v>
      </c>
      <c r="W35" s="706">
        <f t="shared" si="12"/>
        <v>100</v>
      </c>
      <c r="X35" s="1355"/>
      <c r="Y35" s="377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77"/>
      <c r="Q36" s="1352" t="str">
        <f t="shared" si="14"/>
        <v>宗地开发程度</v>
      </c>
      <c r="R36" s="701" t="s">
        <v>14</v>
      </c>
      <c r="S36" s="702">
        <f t="shared" si="10"/>
        <v>100</v>
      </c>
      <c r="T36" s="701" t="s">
        <v>14</v>
      </c>
      <c r="U36" s="702">
        <f t="shared" si="11"/>
        <v>100</v>
      </c>
      <c r="V36" s="701" t="s">
        <v>14</v>
      </c>
      <c r="W36" s="702">
        <f t="shared" si="12"/>
        <v>100</v>
      </c>
      <c r="X36" s="703"/>
      <c r="Y36" s="377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77" t="s">
        <v>1696</v>
      </c>
      <c r="Q37" s="1352" t="str">
        <f t="shared" si="14"/>
        <v>工程地质条件</v>
      </c>
      <c r="R37" s="705" t="s">
        <v>14</v>
      </c>
      <c r="S37" s="706">
        <f t="shared" si="10"/>
        <v>100</v>
      </c>
      <c r="T37" s="705" t="s">
        <v>14</v>
      </c>
      <c r="U37" s="706">
        <f t="shared" si="11"/>
        <v>100</v>
      </c>
      <c r="V37" s="705" t="s">
        <v>14</v>
      </c>
      <c r="W37" s="706">
        <f t="shared" si="12"/>
        <v>100</v>
      </c>
      <c r="X37" s="1355"/>
      <c r="Y37" s="377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77"/>
      <c r="Q38" s="1352">
        <f t="shared" si="14"/>
        <v>111</v>
      </c>
      <c r="R38" s="705" t="s">
        <v>14</v>
      </c>
      <c r="S38" s="706">
        <f t="shared" si="10"/>
        <v>100</v>
      </c>
      <c r="T38" s="705" t="s">
        <v>14</v>
      </c>
      <c r="U38" s="706">
        <f t="shared" si="11"/>
        <v>100</v>
      </c>
      <c r="V38" s="705" t="s">
        <v>14</v>
      </c>
      <c r="W38" s="706">
        <f t="shared" si="12"/>
        <v>100</v>
      </c>
      <c r="X38" s="1355"/>
      <c r="Y38" s="37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77"/>
      <c r="Q39" s="1352">
        <f t="shared" si="14"/>
        <v>111</v>
      </c>
      <c r="R39" s="705" t="s">
        <v>14</v>
      </c>
      <c r="S39" s="706">
        <f t="shared" si="10"/>
        <v>100</v>
      </c>
      <c r="T39" s="705" t="s">
        <v>14</v>
      </c>
      <c r="U39" s="706">
        <f t="shared" si="11"/>
        <v>100</v>
      </c>
      <c r="V39" s="705" t="s">
        <v>14</v>
      </c>
      <c r="W39" s="706">
        <f t="shared" si="12"/>
        <v>100</v>
      </c>
      <c r="X39" s="1355"/>
      <c r="Y39" s="377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77"/>
      <c r="Q40" s="1352">
        <f t="shared" si="14"/>
        <v>111</v>
      </c>
      <c r="R40" s="708" t="s">
        <v>14</v>
      </c>
      <c r="S40" s="709">
        <f t="shared" si="10"/>
        <v>100</v>
      </c>
      <c r="T40" s="708" t="s">
        <v>14</v>
      </c>
      <c r="U40" s="709">
        <f t="shared" si="11"/>
        <v>100</v>
      </c>
      <c r="V40" s="708" t="s">
        <v>14</v>
      </c>
      <c r="W40" s="709">
        <f t="shared" si="12"/>
        <v>100</v>
      </c>
      <c r="X40" s="710"/>
      <c r="Y40" s="377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70" t="str">
        <f>A41</f>
        <v>成交单价</v>
      </c>
      <c r="Q41" s="3770"/>
      <c r="R41" s="3765">
        <f>E41</f>
        <v>0</v>
      </c>
      <c r="S41" s="3765"/>
      <c r="T41" s="3765">
        <f>G41</f>
        <v>0</v>
      </c>
      <c r="U41" s="3765"/>
      <c r="V41" s="3765">
        <f>I41</f>
        <v>0</v>
      </c>
      <c r="W41" s="376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70" t="str">
        <f>A42</f>
        <v>比较价值（元/平方米）</v>
      </c>
      <c r="Q42" s="3770"/>
      <c r="R42" s="3845" t="e">
        <f>ROUND(PRODUCT(R41,AA7:AA40),0)</f>
        <v>#DIV/0!</v>
      </c>
      <c r="S42" s="3845"/>
      <c r="T42" s="3845" t="e">
        <f>ROUND(PRODUCT(T41,AB7:AB40),0)</f>
        <v>#DIV/0!</v>
      </c>
      <c r="U42" s="3845"/>
      <c r="V42" s="3845" t="e">
        <f>ROUND(PRODUCT(V41,AC7:AC40),0)</f>
        <v>#DIV/0!</v>
      </c>
      <c r="W42" s="38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67" t="str">
        <f>A43</f>
        <v>估价对象XX用房的比较价值（楼面单价，元/平方米）</v>
      </c>
      <c r="Q43" s="3768"/>
      <c r="R43" s="3846" t="e">
        <f>ROUND(IF(D42="简单平均",AVERAGE(R42:W42),R42*F42+T42*H42+V42*J42),0)</f>
        <v>#DIV/0!</v>
      </c>
      <c r="S43" s="3846"/>
      <c r="T43" s="3846"/>
      <c r="U43" s="3846"/>
      <c r="V43" s="3846"/>
      <c r="W43" s="38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53" t="s">
        <v>1887</v>
      </c>
      <c r="H50" s="38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512.87</v>
      </c>
      <c r="F51" s="639" t="e">
        <f t="shared" ref="F51:F60" si="15">ROUND(B51*E51/10000,0)</f>
        <v>#DIV/0!</v>
      </c>
      <c r="G51" s="3752"/>
      <c r="H51" s="377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55" t="s">
        <v>2084</v>
      </c>
      <c r="D1" s="3856"/>
      <c r="E1" s="3856"/>
      <c r="F1" s="3856"/>
      <c r="G1" s="3856"/>
      <c r="H1" s="3856"/>
      <c r="I1" s="3856"/>
      <c r="J1" s="3856"/>
      <c r="K1" s="3856"/>
      <c r="L1" s="3856"/>
      <c r="M1" s="3856"/>
      <c r="N1" s="3856"/>
      <c r="O1" s="3856"/>
      <c r="P1" s="3856"/>
      <c r="Q1" s="3856"/>
      <c r="R1" s="3856"/>
      <c r="S1" s="38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52" t="s">
        <v>27</v>
      </c>
      <c r="D22" s="3853"/>
      <c r="E22" s="3853"/>
      <c r="F22" s="3853"/>
      <c r="G22" s="3853"/>
      <c r="H22" s="3853"/>
      <c r="I22" s="3853"/>
      <c r="J22" s="3853"/>
      <c r="K22" s="3853"/>
      <c r="L22" s="3853"/>
      <c r="M22" s="3853"/>
      <c r="N22" s="3853"/>
      <c r="O22" s="3853"/>
      <c r="P22" s="3853"/>
      <c r="Q22" s="38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233</v>
      </c>
      <c r="C2" s="2145" t="s">
        <v>2074</v>
      </c>
      <c r="D2" s="2145" t="s">
        <v>2075</v>
      </c>
      <c r="E2" s="2612">
        <f ca="1">SUMIF(E6:E13,"&lt;&gt;#ref!",E6:E13)</f>
        <v>512.87</v>
      </c>
      <c r="F2" s="2793"/>
      <c r="G2" s="2793"/>
      <c r="H2" s="2793"/>
      <c r="I2" s="2793"/>
      <c r="J2" s="2793"/>
      <c r="K2" s="2793"/>
      <c r="L2" s="2793"/>
      <c r="M2" s="2793"/>
      <c r="N2" s="2793"/>
      <c r="O2" s="2793"/>
      <c r="P2" s="2793"/>
    </row>
    <row r="3" spans="1:16" ht="15.75">
      <c r="A3" s="2145" t="s">
        <v>2076</v>
      </c>
      <c r="B3" s="2602">
        <f ca="1">ROUND(B2*10000/E2,0)</f>
        <v>4543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233</v>
      </c>
      <c r="C6" s="2145" t="s">
        <v>2074</v>
      </c>
      <c r="D6" s="2793"/>
      <c r="E6" s="2612">
        <f ca="1">SUMIF(INDIRECT("'"&amp;A6&amp;"'"&amp;"!C:C"),"建筑面积",INDIRECT("'"&amp;A6&amp;"'"&amp;"!D:D"))</f>
        <v>512.87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1" zoomScaleNormal="70" zoomScaleSheetLayoutView="100" workbookViewId="0">
      <selection activeCell="C52" sqref="C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3506</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451.03070000000002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8794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2507834</v>
      </c>
      <c r="D5" s="211" t="s">
        <v>1469</v>
      </c>
      <c r="E5" s="212" t="s">
        <v>1470</v>
      </c>
      <c r="F5" s="212" t="s">
        <v>1471</v>
      </c>
      <c r="G5" s="213"/>
    </row>
    <row r="6" spans="1:8" s="214" customFormat="1" ht="13.5" customHeight="1">
      <c r="A6" s="778" t="s">
        <v>1472</v>
      </c>
      <c r="B6" s="215" t="s">
        <v>1473</v>
      </c>
      <c r="C6" s="216">
        <f>ROUND(基准地价修正!C33*基准地价修正!D33,0)</f>
        <v>2334071</v>
      </c>
      <c r="D6" s="217"/>
      <c r="E6" s="218"/>
      <c r="F6" s="218"/>
      <c r="G6" s="219"/>
    </row>
    <row r="7" spans="1:8" s="214" customFormat="1" ht="13.5" customHeight="1">
      <c r="A7" s="778" t="s">
        <v>1474</v>
      </c>
      <c r="B7" s="215" t="s">
        <v>1475</v>
      </c>
      <c r="C7" s="220">
        <f>ROUND(C6*F7,0)</f>
        <v>71189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102574</v>
      </c>
      <c r="D8" s="222"/>
      <c r="E8" s="220"/>
      <c r="F8" s="221"/>
      <c r="G8" s="1856" t="s">
        <v>3522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102574</v>
      </c>
      <c r="D10" s="845">
        <f ca="1">IF(B1="",'数据-汇总表'!E6,IF(INDIRECT("'数据-取费表'!c"&amp;$G$1)="住宅",INDIRECT("'数据-取费表'!s"&amp;$G$1),INDIRECT("'数据-取费表'!k"&amp;$G$1)+INDIRECT("'数据-取费表'!s"&amp;$G$1)))</f>
        <v>512.87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512.87</v>
      </c>
      <c r="E19" s="211">
        <f>'数据-取费表'!B31</f>
        <v>200</v>
      </c>
      <c r="F19" s="231"/>
      <c r="G19" s="1856" t="s">
        <v>3523</v>
      </c>
    </row>
    <row r="20" spans="1:7" s="214" customFormat="1" ht="13.5" customHeight="1">
      <c r="A20" s="255" t="s">
        <v>1574</v>
      </c>
      <c r="B20" s="210" t="s">
        <v>1575</v>
      </c>
      <c r="C20" s="232">
        <f ca="1">ROUND((C5+C19)*F20,0)</f>
        <v>25078</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109636</v>
      </c>
      <c r="D22" s="235">
        <f ca="1">C26</f>
        <v>2.0000000000000001E-4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109091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545</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253291</v>
      </c>
      <c r="D27" s="235">
        <f ca="1">C29</f>
        <v>1E-3</v>
      </c>
      <c r="E27" s="236" t="s">
        <v>1514</v>
      </c>
      <c r="F27" s="246">
        <f ca="1">IF(B1="",'数据-取费表'!Q16,INDIRECT("'数据-取费表'!q"&amp;$G$1))</f>
        <v>0.1</v>
      </c>
      <c r="G27" s="247" t="s">
        <v>1515</v>
      </c>
    </row>
    <row r="28" spans="1:7" s="214" customFormat="1" ht="13.5" customHeight="1">
      <c r="A28" s="780" t="s">
        <v>346</v>
      </c>
      <c r="B28" s="248" t="s">
        <v>1516</v>
      </c>
      <c r="C28" s="249">
        <f ca="1">ROUND((C5+C19+C20)*F27,0)</f>
        <v>253291</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3095499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1710421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1538610</v>
      </c>
      <c r="D34" s="217"/>
      <c r="E34" s="220"/>
      <c r="F34" s="257"/>
      <c r="G34" s="219"/>
    </row>
    <row r="35" spans="1:7" ht="13.5" customHeight="1">
      <c r="A35" s="780" t="s">
        <v>351</v>
      </c>
      <c r="B35" s="215" t="s">
        <v>1527</v>
      </c>
      <c r="C35" s="220">
        <f ca="1">ROUND(C34*F35,0)</f>
        <v>46158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102574</v>
      </c>
      <c r="D37" s="217">
        <f ca="1">D19</f>
        <v>512.87</v>
      </c>
      <c r="E37" s="249">
        <f>'数据-取费表'!B35</f>
        <v>200</v>
      </c>
      <c r="F37" s="259"/>
      <c r="G37" s="261"/>
    </row>
    <row r="38" spans="1:7" ht="13.5" customHeight="1">
      <c r="A38" s="780" t="s">
        <v>354</v>
      </c>
      <c r="B38" s="215" t="s">
        <v>1533</v>
      </c>
      <c r="C38" s="220">
        <f ca="1">ROUND(C34*F38,0)</f>
        <v>23079</v>
      </c>
      <c r="D38" s="220"/>
      <c r="E38" s="220"/>
      <c r="F38" s="259">
        <f>'数据-取费表'!B36</f>
        <v>1.4999999999999999E-2</v>
      </c>
      <c r="G38" s="219" t="s">
        <v>1528</v>
      </c>
    </row>
    <row r="39" spans="1:7" s="214" customFormat="1" ht="13.5" customHeight="1">
      <c r="A39" s="255" t="s">
        <v>1534</v>
      </c>
      <c r="B39" s="210" t="s">
        <v>1535</v>
      </c>
      <c r="C39" s="232">
        <f ca="1">ROUND(C33*F20,0)</f>
        <v>17104</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37574</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37202</v>
      </c>
      <c r="D42" s="238"/>
      <c r="E42" s="238"/>
      <c r="F42" s="239"/>
      <c r="G42" s="3706" t="s">
        <v>1591</v>
      </c>
    </row>
    <row r="43" spans="1:7" ht="13.5" customHeight="1">
      <c r="A43" s="780" t="s">
        <v>347</v>
      </c>
      <c r="B43" s="215" t="s">
        <v>1545</v>
      </c>
      <c r="C43" s="238">
        <f ca="1">ROUND(IF('数据-取费表'!B22&lt;=1,C39*F22*'数据-取费表'!B20/2,C39*(POWER((1+F22),'数据-取费表'!B20/2)-1)),0)</f>
        <v>372</v>
      </c>
      <c r="D43" s="238"/>
      <c r="E43" s="238"/>
      <c r="F43" s="239"/>
      <c r="G43" s="3707"/>
    </row>
    <row r="44" spans="1:7" ht="13.5" customHeight="1">
      <c r="A44" s="780" t="s">
        <v>348</v>
      </c>
      <c r="B44" s="215" t="s">
        <v>1546</v>
      </c>
      <c r="C44" s="238">
        <f ca="1">ROUND(IF('数据-取费表'!B22&lt;=1,C40*F22*'数据-取费表'!B20/2,C40*(POWER((1+F22),'数据-取费表'!B20/2)-1)),4)</f>
        <v>2.0000000000000001E-4</v>
      </c>
      <c r="D44" s="238"/>
      <c r="E44" s="238"/>
      <c r="F44" s="239"/>
      <c r="G44" s="3708"/>
    </row>
    <row r="45" spans="1:7" s="214" customFormat="1" ht="13.5" customHeight="1">
      <c r="A45" s="255" t="s">
        <v>1547</v>
      </c>
      <c r="B45" s="244" t="s">
        <v>1513</v>
      </c>
      <c r="C45" s="245">
        <f ca="1">C46</f>
        <v>172753</v>
      </c>
      <c r="D45" s="235">
        <f ca="1">C47</f>
        <v>1E-3</v>
      </c>
      <c r="E45" s="236" t="s">
        <v>1539</v>
      </c>
      <c r="F45" s="246">
        <f ca="1">F27</f>
        <v>0.1</v>
      </c>
      <c r="G45" s="247" t="s">
        <v>1548</v>
      </c>
    </row>
    <row r="46" spans="1:7" s="214" customFormat="1" ht="13.5" customHeight="1">
      <c r="A46" s="780" t="s">
        <v>346</v>
      </c>
      <c r="B46" s="248" t="s">
        <v>1549</v>
      </c>
      <c r="C46" s="249">
        <f ca="1">ROUND((C33+C39)*F27,0)</f>
        <v>172753</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2071461</v>
      </c>
      <c r="D49" s="232"/>
      <c r="E49" s="232"/>
      <c r="F49" s="264"/>
      <c r="G49" s="234" t="s">
        <v>1554</v>
      </c>
    </row>
    <row r="50" spans="1:7" s="258" customFormat="1">
      <c r="A50" s="255" t="s">
        <v>1555</v>
      </c>
      <c r="B50" s="210" t="s">
        <v>1556</v>
      </c>
      <c r="C50" s="232"/>
      <c r="D50" s="232"/>
      <c r="E50" s="232"/>
      <c r="F50" s="264">
        <f>IF('数据-取费表'!B24=0,'数据-取费表'!N16,1)</f>
        <v>0.68300000000000005</v>
      </c>
      <c r="G50" s="247"/>
    </row>
    <row r="51" spans="1:7" ht="16.5" customHeight="1">
      <c r="A51" s="255" t="s">
        <v>1558</v>
      </c>
      <c r="B51" s="210" t="s">
        <v>1593</v>
      </c>
      <c r="C51" s="232">
        <f ca="1">ROUND(C49*F50,0)</f>
        <v>1414808</v>
      </c>
      <c r="D51" s="232"/>
      <c r="E51" s="232"/>
      <c r="F51" s="264"/>
      <c r="G51" s="234" t="s">
        <v>1560</v>
      </c>
    </row>
    <row r="52" spans="1:7" s="208" customFormat="1" ht="16.5" thickBot="1">
      <c r="A52" s="265" t="s">
        <v>1561</v>
      </c>
      <c r="B52" s="266"/>
      <c r="C52" s="267">
        <f ca="1">C31+C51</f>
        <v>4510307</v>
      </c>
      <c r="D52" s="266"/>
      <c r="E52" s="266"/>
      <c r="F52" s="266"/>
      <c r="G52" s="268"/>
    </row>
    <row r="55" spans="1:7" ht="15">
      <c r="B55" s="270" t="s">
        <v>1562</v>
      </c>
      <c r="C55" s="271"/>
    </row>
    <row r="56" spans="1:7">
      <c r="B56" s="273" t="s">
        <v>802</v>
      </c>
      <c r="C56" s="275">
        <f ca="1">1-C57</f>
        <v>0.68599999999999994</v>
      </c>
    </row>
    <row r="57" spans="1:7">
      <c r="B57" s="273" t="s">
        <v>803</v>
      </c>
      <c r="C57" s="274">
        <f ca="1">ROUND(C51/C52,3)</f>
        <v>0.314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Normal="80" zoomScaleSheetLayoutView="100" workbookViewId="0">
      <selection activeCell="D14" sqref="D1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512.87</v>
      </c>
      <c r="E1" s="1995"/>
      <c r="F1" s="1995"/>
      <c r="G1" s="1995"/>
      <c r="H1" s="1995"/>
      <c r="I1" s="1995"/>
      <c r="J1" s="1995"/>
      <c r="K1" s="1119"/>
      <c r="L1" s="1996" t="s">
        <v>1928</v>
      </c>
      <c r="M1" s="863">
        <f>SUMPRODUCT((区片价!B5:B9=I2)*(区片价!C3:G3=E2)*(区片价!C5:G9))</f>
        <v>25620</v>
      </c>
      <c r="N1" s="866">
        <f>SUMPRODUCT((因素修正幅度!B5:B9=I2)*(因素修正幅度!C3:G3=E2)*(因素修正幅度!C5:G9))</f>
        <v>9.8000000000000004E-2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233</v>
      </c>
      <c r="C2" s="1999" t="s">
        <v>1935</v>
      </c>
      <c r="D2" s="2000" t="s">
        <v>1936</v>
      </c>
      <c r="E2" s="3422" t="s">
        <v>3506</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6921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4543</v>
      </c>
      <c r="C3" s="1999" t="s">
        <v>1941</v>
      </c>
      <c r="D3" s="2000" t="s">
        <v>1942</v>
      </c>
      <c r="E3" s="3420" t="s">
        <v>2471</v>
      </c>
      <c r="F3" s="2004" t="s">
        <v>3518</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5495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65"/>
      <c r="B4" s="3866"/>
      <c r="C4" s="3866"/>
      <c r="D4" s="3867"/>
      <c r="E4" s="3867"/>
      <c r="F4" s="3867"/>
      <c r="G4" s="3867"/>
      <c r="H4" s="3867"/>
      <c r="I4" s="3867"/>
      <c r="J4" s="38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4748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25600</v>
      </c>
      <c r="D5" s="1339">
        <f>ROUND(C6*C17+C20,0)</f>
        <v>25600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4296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25620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4094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2.5</v>
      </c>
      <c r="AA7" s="1216"/>
      <c r="AB7" s="1216"/>
      <c r="AC7" s="1217"/>
      <c r="AD7" s="1218"/>
      <c r="AE7" s="1218"/>
      <c r="AF7" s="1218"/>
      <c r="AG7" s="1218"/>
      <c r="AH7" s="1218"/>
      <c r="AI7" s="1218"/>
      <c r="AJ7" s="1219"/>
    </row>
    <row r="8" spans="1:36" ht="25.5">
      <c r="A8" s="3299"/>
      <c r="B8" s="170" t="s">
        <v>1957</v>
      </c>
      <c r="C8" s="2026" t="s">
        <v>3510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62" t="s">
        <v>1960</v>
      </c>
      <c r="X8" s="38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6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6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69" t="s">
        <v>3261</v>
      </c>
      <c r="B20" s="167" t="s">
        <v>1994</v>
      </c>
      <c r="C20" s="3325">
        <f>ROUND(IF(F21="与级别开发程度一致",0,(G21-E21)/C21),0)</f>
        <v>-20</v>
      </c>
      <c r="D20" s="3341" t="s">
        <v>1998</v>
      </c>
      <c r="E20" s="3342"/>
      <c r="F20" s="3875" t="s">
        <v>1995</v>
      </c>
      <c r="G20" s="3876"/>
      <c r="H20" s="3326" t="s">
        <v>3512</v>
      </c>
      <c r="I20" s="3326" t="s">
        <v>3513</v>
      </c>
      <c r="J20" s="3327" t="s">
        <v>3514</v>
      </c>
      <c r="K20" s="2047" t="s">
        <v>3515</v>
      </c>
      <c r="L20" s="2047" t="s">
        <v>3516</v>
      </c>
      <c r="M20" s="2047" t="s">
        <v>3517</v>
      </c>
      <c r="N20" s="2047" t="s">
        <v>3559</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7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3511</v>
      </c>
      <c r="G21" s="2157">
        <f>SUM(H21:O21)</f>
        <v>325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60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44991</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0.84189999999999998</v>
      </c>
      <c r="D24" s="2060" t="s">
        <v>2007</v>
      </c>
      <c r="E24" s="1335">
        <f>存贷款利率!E22/100</f>
        <v>4.3499999999999997E-2</v>
      </c>
      <c r="F24" s="2060" t="s">
        <v>1999</v>
      </c>
      <c r="G24" s="768">
        <f>SUMIF(M30:Q30,E2,M33:Q33)</f>
        <v>0.05</v>
      </c>
      <c r="H24" s="2060" t="s">
        <v>2008</v>
      </c>
      <c r="I24" s="769">
        <f>SUMIF('数据-取费表'!C6:C15,E2,'数据-取费表'!F6:F15)/COUNTIF('数据-取费表'!C6:C15,E2)</f>
        <v>29.99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233</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4551</v>
      </c>
      <c r="D33" s="2098">
        <f>'数据-汇总表'!F19</f>
        <v>512.87</v>
      </c>
      <c r="E33" s="773">
        <f>ROUND(C33*D33/10000,0)</f>
        <v>233</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1138</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73"/>
      <c r="B37" s="2113" t="s">
        <v>2036</v>
      </c>
      <c r="C37" s="175">
        <f>ROUND(D5*C22*C23*C24*C28*F37,0)</f>
        <v>3186</v>
      </c>
      <c r="D37" s="2098"/>
      <c r="E37" s="171">
        <f>ROUND(C37*D37/10000,0)</f>
        <v>0</v>
      </c>
      <c r="F37" s="171">
        <f>SUMIF(修正!A57:A68,G2,修正!B57:B68)</f>
        <v>0.7</v>
      </c>
      <c r="G37" s="171">
        <f>ROUND(IF(E2="工业",C37*$M$42,C37*$M$41),0)</f>
        <v>797</v>
      </c>
      <c r="H37" s="171">
        <f>D37</f>
        <v>0</v>
      </c>
      <c r="I37" s="171">
        <f>ROUND(G37*H37/10000,0)</f>
        <v>0</v>
      </c>
      <c r="J37" s="3012"/>
      <c r="K37" s="3359" t="s">
        <v>3273</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74"/>
      <c r="B38" s="2041" t="s">
        <v>2037</v>
      </c>
      <c r="C38" s="175">
        <f>ROUND(D5*C22*C23*C24*C28*F38,0)</f>
        <v>1821</v>
      </c>
      <c r="D38" s="2098"/>
      <c r="E38" s="171">
        <f t="shared" ref="E38:E42" si="4">ROUND(C38*D38/10000,0)</f>
        <v>0</v>
      </c>
      <c r="F38" s="171">
        <f>SUMIF(修正!A57:A68,G2,修正!C57:C68)</f>
        <v>0.4</v>
      </c>
      <c r="G38" s="171">
        <f>ROUND(IF(E2="工业",C38*$M$42,C38*$M$41),0)</f>
        <v>455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74"/>
      <c r="B39" s="2041" t="s">
        <v>3266</v>
      </c>
      <c r="C39" s="175">
        <f>ROUND(D5*C22*C23*C24*C28*F39,0)</f>
        <v>1365</v>
      </c>
      <c r="D39" s="2098"/>
      <c r="E39" s="171">
        <f t="shared" si="4"/>
        <v>0</v>
      </c>
      <c r="F39" s="171">
        <f>SUMIF(修正!A57:A68,G2,修正!D57:D68)</f>
        <v>0.3</v>
      </c>
      <c r="G39" s="171">
        <f>ROUND(IF(E2="工业",C39*$M$42,C39*$M$41),0)</f>
        <v>341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1365</v>
      </c>
      <c r="D40" s="2098"/>
      <c r="E40" s="171">
        <f t="shared" si="4"/>
        <v>0</v>
      </c>
      <c r="F40" s="175">
        <f>SUMIF(修正!A57:A68,G2,修正!E57:E68)</f>
        <v>0.3</v>
      </c>
      <c r="G40" s="171">
        <f>ROUND(IF(E2="工业",C40*$M$42,C40*$M$41),0)</f>
        <v>341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hidden="1">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1.0407999999999999</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t="s">
        <v>3519</v>
      </c>
      <c r="D93" s="3366">
        <f>SUMIF($J$92:$N$92,C93,J93:N93)</f>
        <v>0</v>
      </c>
      <c r="E93" s="3382">
        <f>ROUND(SUM(D93:D101),4)</f>
        <v>4.0800000000000003E-2</v>
      </c>
      <c r="F93" s="1814">
        <f>IF(E2="公共服务",SUMIF(L1:L12,G2,N1:N12),"——")</f>
        <v>9.8000000000000004E-2</v>
      </c>
      <c r="G93" s="3373">
        <v>1.2200000000000001E-2</v>
      </c>
      <c r="H93" s="3421">
        <f>IFERROR(ROUNDDOWN($F$93*I93/2,4),"——")</f>
        <v>1.2200000000000001E-2</v>
      </c>
      <c r="I93" s="3367">
        <v>0.25</v>
      </c>
      <c r="J93" s="3345">
        <f t="shared" ref="J93:J101" si="27">K93+$G93</f>
        <v>2.4400000000000002E-2</v>
      </c>
      <c r="K93" s="3345">
        <f t="shared" ref="K93:K101" si="28">$L93+$G93</f>
        <v>1.2200000000000001E-2</v>
      </c>
      <c r="L93" s="3345">
        <v>0</v>
      </c>
      <c r="M93" s="3345">
        <f t="shared" ref="M93:N101" si="29">L93-$G93</f>
        <v>-1.2200000000000001E-2</v>
      </c>
      <c r="N93" s="3345">
        <f t="shared" si="29"/>
        <v>-2.4400000000000002E-2</v>
      </c>
    </row>
    <row r="94" spans="1:37" ht="38.25">
      <c r="A94" s="3379" t="s">
        <v>3280</v>
      </c>
      <c r="B94" s="3370" t="str">
        <f>估价对象房地状况!C18</f>
        <v>估价对象周边道路状况、公共交通通达情况、停车便捷程度，综合评价交通便捷度较好</v>
      </c>
      <c r="C94" s="2044" t="s">
        <v>3520</v>
      </c>
      <c r="D94" s="3366">
        <f t="shared" ref="D94:D101" si="30">SUMIF($J$60:$N$60,C94,J94:N94)</f>
        <v>1.2699999999999999E-2</v>
      </c>
      <c r="E94" s="3383"/>
      <c r="F94" s="1814"/>
      <c r="G94" s="3373">
        <v>1.2699999999999999E-2</v>
      </c>
      <c r="H94" s="3421">
        <f>IFERROR(ROUNDDOWN($F$93*I94/2,4),"——")</f>
        <v>1.2699999999999999E-2</v>
      </c>
      <c r="I94" s="3367">
        <v>0.26</v>
      </c>
      <c r="J94" s="3345">
        <f t="shared" si="27"/>
        <v>2.5399999999999999E-2</v>
      </c>
      <c r="K94" s="3345">
        <f t="shared" si="28"/>
        <v>1.2699999999999999E-2</v>
      </c>
      <c r="L94" s="3345">
        <v>0</v>
      </c>
      <c r="M94" s="3345">
        <f t="shared" si="29"/>
        <v>-1.2699999999999999E-2</v>
      </c>
      <c r="N94" s="3345">
        <f t="shared" si="29"/>
        <v>-2.5399999999999999E-2</v>
      </c>
    </row>
    <row r="95" spans="1:37" ht="36">
      <c r="A95" s="3369" t="s">
        <v>3276</v>
      </c>
      <c r="B95" s="3370">
        <f>估价对象房地状况!C19</f>
        <v>0</v>
      </c>
      <c r="C95" s="2044" t="s">
        <v>3520</v>
      </c>
      <c r="D95" s="3366">
        <f t="shared" si="30"/>
        <v>5.3E-3</v>
      </c>
      <c r="E95" s="3383"/>
      <c r="F95" s="1814"/>
      <c r="G95" s="3373">
        <v>5.3E-3</v>
      </c>
      <c r="H95" s="3421">
        <f t="shared" ref="H95:H101" si="31">IFERROR(ROUNDDOWN($F$93*I95/2,4),"——")</f>
        <v>5.3E-3</v>
      </c>
      <c r="I95" s="3367">
        <v>0.11</v>
      </c>
      <c r="J95" s="3345">
        <f t="shared" si="27"/>
        <v>1.06E-2</v>
      </c>
      <c r="K95" s="3345">
        <f t="shared" si="28"/>
        <v>5.3E-3</v>
      </c>
      <c r="L95" s="3345">
        <v>0</v>
      </c>
      <c r="M95" s="3345">
        <f t="shared" si="29"/>
        <v>-5.3E-3</v>
      </c>
      <c r="N95" s="3345">
        <f t="shared" si="29"/>
        <v>-1.06E-2</v>
      </c>
    </row>
    <row r="96" spans="1:37" ht="36.75">
      <c r="A96" s="3379" t="s">
        <v>3281</v>
      </c>
      <c r="B96" s="3385" t="s">
        <v>3292</v>
      </c>
      <c r="C96" s="2044" t="s">
        <v>3520</v>
      </c>
      <c r="D96" s="3366">
        <f t="shared" si="30"/>
        <v>2.3999999999999998E-3</v>
      </c>
      <c r="E96" s="3383"/>
      <c r="F96" s="1814"/>
      <c r="G96" s="3373">
        <v>2.3999999999999998E-3</v>
      </c>
      <c r="H96" s="3421">
        <f t="shared" si="31"/>
        <v>2.3999999999999998E-3</v>
      </c>
      <c r="I96" s="3367">
        <v>0.05</v>
      </c>
      <c r="J96" s="3345">
        <f t="shared" si="27"/>
        <v>4.7999999999999996E-3</v>
      </c>
      <c r="K96" s="3345">
        <f t="shared" si="28"/>
        <v>2.3999999999999998E-3</v>
      </c>
      <c r="L96" s="3345">
        <v>0</v>
      </c>
      <c r="M96" s="3345">
        <f t="shared" si="29"/>
        <v>-2.3999999999999998E-3</v>
      </c>
      <c r="N96" s="3345">
        <f t="shared" si="29"/>
        <v>-4.7999999999999996E-3</v>
      </c>
    </row>
    <row r="97" spans="1:14" ht="24">
      <c r="A97" s="3379" t="s">
        <v>3282</v>
      </c>
      <c r="B97" s="3370">
        <f>估价对象房地状况!C24</f>
        <v>0</v>
      </c>
      <c r="C97" s="2044" t="s">
        <v>3520</v>
      </c>
      <c r="D97" s="3366">
        <f t="shared" si="30"/>
        <v>2.3999999999999998E-3</v>
      </c>
      <c r="E97" s="3383"/>
      <c r="F97" s="1814"/>
      <c r="G97" s="3373">
        <v>2.3999999999999998E-3</v>
      </c>
      <c r="H97" s="3421">
        <f t="shared" si="31"/>
        <v>2.3999999999999998E-3</v>
      </c>
      <c r="I97" s="3367">
        <v>0.05</v>
      </c>
      <c r="J97" s="3345">
        <f t="shared" si="27"/>
        <v>4.7999999999999996E-3</v>
      </c>
      <c r="K97" s="3345">
        <f t="shared" si="28"/>
        <v>2.3999999999999998E-3</v>
      </c>
      <c r="L97" s="3345">
        <v>0</v>
      </c>
      <c r="M97" s="3345">
        <f t="shared" si="29"/>
        <v>-2.3999999999999998E-3</v>
      </c>
      <c r="N97" s="3345">
        <f t="shared" si="29"/>
        <v>-4.7999999999999996E-3</v>
      </c>
    </row>
    <row r="98" spans="1:14" ht="24">
      <c r="A98" s="3379" t="s">
        <v>3283</v>
      </c>
      <c r="B98" s="3386" t="s">
        <v>3293</v>
      </c>
      <c r="C98" s="2044" t="s">
        <v>3520</v>
      </c>
      <c r="D98" s="3366">
        <f t="shared" si="30"/>
        <v>2.8999999999999998E-3</v>
      </c>
      <c r="E98" s="3383"/>
      <c r="F98" s="1814"/>
      <c r="G98" s="3373">
        <v>2.8999999999999998E-3</v>
      </c>
      <c r="H98" s="3421">
        <f t="shared" si="31"/>
        <v>2.8999999999999998E-3</v>
      </c>
      <c r="I98" s="3367">
        <v>0.06</v>
      </c>
      <c r="J98" s="3345">
        <f t="shared" si="27"/>
        <v>5.7999999999999996E-3</v>
      </c>
      <c r="K98" s="3345">
        <f t="shared" si="28"/>
        <v>2.8999999999999998E-3</v>
      </c>
      <c r="L98" s="3345">
        <v>0</v>
      </c>
      <c r="M98" s="3345">
        <f t="shared" si="29"/>
        <v>-2.8999999999999998E-3</v>
      </c>
      <c r="N98" s="3345">
        <f t="shared" si="29"/>
        <v>-5.7999999999999996E-3</v>
      </c>
    </row>
    <row r="99" spans="1:14" ht="25.5">
      <c r="A99" s="3379" t="s">
        <v>3284</v>
      </c>
      <c r="B99" s="3370" t="str">
        <f>估价对象房地状况!C21</f>
        <v>估价对象所在区域公共配套设施齐备情况</v>
      </c>
      <c r="C99" s="2044" t="s">
        <v>3520</v>
      </c>
      <c r="D99" s="3366">
        <f t="shared" si="30"/>
        <v>2.8999999999999998E-3</v>
      </c>
      <c r="E99" s="3383"/>
      <c r="F99" s="1814"/>
      <c r="G99" s="3373">
        <v>2.8999999999999998E-3</v>
      </c>
      <c r="H99" s="3421">
        <f t="shared" si="31"/>
        <v>2.8999999999999998E-3</v>
      </c>
      <c r="I99" s="3367">
        <v>0.06</v>
      </c>
      <c r="J99" s="3345">
        <f t="shared" si="27"/>
        <v>5.7999999999999996E-3</v>
      </c>
      <c r="K99" s="3345">
        <f t="shared" si="28"/>
        <v>2.8999999999999998E-3</v>
      </c>
      <c r="L99" s="3345">
        <v>0</v>
      </c>
      <c r="M99" s="3345">
        <f t="shared" si="29"/>
        <v>-2.8999999999999998E-3</v>
      </c>
      <c r="N99" s="3345">
        <f t="shared" si="29"/>
        <v>-5.7999999999999996E-3</v>
      </c>
    </row>
    <row r="100" spans="1:14" ht="25.5">
      <c r="A100" s="3379" t="s">
        <v>3285</v>
      </c>
      <c r="B100" s="3370" t="str">
        <f>估价对象房地状况!C22</f>
        <v>估价对象所在区域基础设施水平</v>
      </c>
      <c r="C100" s="2044" t="s">
        <v>3521</v>
      </c>
      <c r="D100" s="3366">
        <f t="shared" si="30"/>
        <v>8.8000000000000005E-3</v>
      </c>
      <c r="E100" s="3383"/>
      <c r="F100" s="1814"/>
      <c r="G100" s="3373">
        <v>4.4000000000000003E-3</v>
      </c>
      <c r="H100" s="3421">
        <f t="shared" si="31"/>
        <v>4.4000000000000003E-3</v>
      </c>
      <c r="I100" s="3367">
        <v>0.09</v>
      </c>
      <c r="J100" s="3345">
        <f t="shared" si="27"/>
        <v>8.8000000000000005E-3</v>
      </c>
      <c r="K100" s="3345">
        <f t="shared" si="28"/>
        <v>4.4000000000000003E-3</v>
      </c>
      <c r="L100" s="3345">
        <v>0</v>
      </c>
      <c r="M100" s="3345">
        <f t="shared" si="29"/>
        <v>-4.4000000000000003E-3</v>
      </c>
      <c r="N100" s="3345">
        <f t="shared" si="29"/>
        <v>-8.8000000000000005E-3</v>
      </c>
    </row>
    <row r="101" spans="1:14" ht="26.25" thickBot="1">
      <c r="A101" s="3380" t="s">
        <v>3286</v>
      </c>
      <c r="B101" s="3387" t="str">
        <f>估价对象房地状况!C20</f>
        <v>区域自然环境：；人文环境；综合评价环境状况一般</v>
      </c>
      <c r="C101" s="2044" t="s">
        <v>3520</v>
      </c>
      <c r="D101" s="3366">
        <f t="shared" si="30"/>
        <v>3.3999999999999998E-3</v>
      </c>
      <c r="E101" s="3384"/>
      <c r="F101" s="1814"/>
      <c r="G101" s="3373">
        <v>3.3999999999999998E-3</v>
      </c>
      <c r="H101" s="3421">
        <f t="shared" si="31"/>
        <v>3.3999999999999998E-3</v>
      </c>
      <c r="I101" s="3368">
        <v>7.0000000000000007E-2</v>
      </c>
      <c r="J101" s="3345">
        <f t="shared" si="27"/>
        <v>6.7999999999999996E-3</v>
      </c>
      <c r="K101" s="3345">
        <f t="shared" si="28"/>
        <v>3.3999999999999998E-3</v>
      </c>
      <c r="L101" s="3345">
        <v>0</v>
      </c>
      <c r="M101" s="3345">
        <f t="shared" si="29"/>
        <v>-3.3999999999999998E-3</v>
      </c>
      <c r="N101" s="3345">
        <f t="shared" si="29"/>
        <v>-6.7999999999999996E-3</v>
      </c>
    </row>
    <row r="103" spans="1:14">
      <c r="A103" s="3871" t="s">
        <v>3301</v>
      </c>
      <c r="B103" s="3871"/>
      <c r="C103" s="3871"/>
      <c r="D103" s="3871"/>
      <c r="E103" s="3871"/>
      <c r="F103" s="3871"/>
      <c r="G103" s="3871"/>
      <c r="H103" s="3871"/>
      <c r="I103" s="3871"/>
      <c r="J103" s="3871"/>
      <c r="K103" s="3390"/>
      <c r="L103" s="3390"/>
      <c r="M103" s="3390"/>
      <c r="N103" s="3390"/>
    </row>
    <row r="104" spans="1:14">
      <c r="A104" s="3872" t="s">
        <v>3302</v>
      </c>
      <c r="B104" s="3872" t="s">
        <v>3303</v>
      </c>
      <c r="C104" s="3391" t="s">
        <v>3304</v>
      </c>
      <c r="D104" s="3392"/>
      <c r="E104" s="3392"/>
      <c r="F104" s="3392"/>
      <c r="G104" s="3392"/>
      <c r="H104" s="3392"/>
      <c r="I104" s="3392"/>
      <c r="J104" s="3393"/>
      <c r="K104" s="3394"/>
      <c r="L104" s="3394"/>
      <c r="M104" s="3394"/>
      <c r="N104" s="3394"/>
    </row>
    <row r="105" spans="1:14">
      <c r="A105" s="3872"/>
      <c r="B105" s="387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85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5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5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5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5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59"/>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6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61" t="s">
        <v>3318</v>
      </c>
      <c r="B113" s="3861"/>
      <c r="C113" s="3861"/>
      <c r="D113" s="3861"/>
      <c r="E113" s="3861"/>
      <c r="F113" s="3861"/>
      <c r="G113" s="3861"/>
      <c r="H113" s="3861"/>
      <c r="I113" s="3861"/>
      <c r="J113" s="386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2.5</v>
      </c>
      <c r="C116" s="3400" t="s">
        <v>3320</v>
      </c>
      <c r="D116" s="3401">
        <f>SUMPRODUCT((A118:A122=F116)*(B117:M117=H116)*B118:M122)</f>
        <v>0.91390000000000005</v>
      </c>
      <c r="E116" s="2000" t="s">
        <v>3321</v>
      </c>
      <c r="F116" s="3402" t="str">
        <f>E2</f>
        <v>公共服务</v>
      </c>
      <c r="G116" s="2000" t="s">
        <v>3322</v>
      </c>
      <c r="H116" s="3402" t="str">
        <f>G2</f>
        <v>一级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3336</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3337</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3338</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884" t="s">
        <v>2610</v>
      </c>
      <c r="B20" s="3877" t="s">
        <v>2631</v>
      </c>
      <c r="C20" s="3103" t="s">
        <v>2442</v>
      </c>
      <c r="D20" s="3104"/>
      <c r="E20" s="3105">
        <v>1</v>
      </c>
      <c r="F20" s="3106" t="s">
        <v>2443</v>
      </c>
      <c r="G20" s="3106"/>
    </row>
    <row r="21" spans="1:13" ht="19.5" customHeight="1">
      <c r="A21" s="3885"/>
      <c r="B21" s="3878"/>
      <c r="C21" s="3107" t="s">
        <v>2444</v>
      </c>
      <c r="D21" s="3108"/>
      <c r="E21" s="3109">
        <v>1</v>
      </c>
      <c r="F21" s="3106" t="s">
        <v>2445</v>
      </c>
      <c r="G21" s="3106"/>
    </row>
    <row r="22" spans="1:13" ht="19.5" customHeight="1">
      <c r="A22" s="3885"/>
      <c r="B22" s="3878"/>
      <c r="C22" s="3107" t="s">
        <v>2446</v>
      </c>
      <c r="D22" s="3108"/>
      <c r="E22" s="3109">
        <v>0.9</v>
      </c>
      <c r="F22" s="3106" t="s">
        <v>2447</v>
      </c>
      <c r="G22" s="3106"/>
    </row>
    <row r="23" spans="1:13" ht="19.5" customHeight="1">
      <c r="A23" s="3885"/>
      <c r="B23" s="3878"/>
      <c r="C23" s="3107" t="s">
        <v>2448</v>
      </c>
      <c r="D23" s="3108"/>
      <c r="E23" s="3109">
        <v>0.9</v>
      </c>
      <c r="F23" s="3106" t="s">
        <v>2449</v>
      </c>
      <c r="G23" s="3106"/>
    </row>
    <row r="24" spans="1:13" ht="19.5" customHeight="1">
      <c r="A24" s="3885"/>
      <c r="B24" s="3878"/>
      <c r="C24" s="3107" t="s">
        <v>2450</v>
      </c>
      <c r="D24" s="3108"/>
      <c r="E24" s="3109">
        <v>0.8</v>
      </c>
      <c r="F24" s="3106" t="s">
        <v>2451</v>
      </c>
      <c r="G24" s="3106"/>
    </row>
    <row r="25" spans="1:13" ht="19.5" customHeight="1" thickBot="1">
      <c r="A25" s="3886"/>
      <c r="B25" s="387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880" t="s">
        <v>2634</v>
      </c>
      <c r="B27" s="3877" t="s">
        <v>2615</v>
      </c>
      <c r="C27" s="3103" t="s">
        <v>2455</v>
      </c>
      <c r="D27" s="3104"/>
      <c r="E27" s="3105">
        <v>1</v>
      </c>
      <c r="F27" s="3106" t="s">
        <v>2456</v>
      </c>
      <c r="G27" s="3106"/>
    </row>
    <row r="28" spans="1:13" ht="19.5" customHeight="1">
      <c r="A28" s="3881"/>
      <c r="B28" s="3878"/>
      <c r="C28" s="3107" t="s">
        <v>2457</v>
      </c>
      <c r="D28" s="3108"/>
      <c r="E28" s="3109">
        <v>1</v>
      </c>
      <c r="F28" s="3106" t="s">
        <v>2458</v>
      </c>
      <c r="G28" s="3106"/>
    </row>
    <row r="29" spans="1:13" ht="19.5" customHeight="1">
      <c r="A29" s="3881"/>
      <c r="B29" s="3878"/>
      <c r="C29" s="3107" t="s">
        <v>2459</v>
      </c>
      <c r="D29" s="3108"/>
      <c r="E29" s="3109">
        <v>0.8</v>
      </c>
      <c r="F29" s="3106" t="s">
        <v>2460</v>
      </c>
      <c r="G29" s="3106"/>
    </row>
    <row r="30" spans="1:13" ht="19.5" customHeight="1">
      <c r="A30" s="3881"/>
      <c r="B30" s="3878"/>
      <c r="C30" s="3107" t="s">
        <v>2461</v>
      </c>
      <c r="D30" s="3108"/>
      <c r="E30" s="3109">
        <v>0.8</v>
      </c>
      <c r="F30" s="3106" t="s">
        <v>2462</v>
      </c>
      <c r="G30" s="3106"/>
    </row>
    <row r="31" spans="1:13" ht="19.5" customHeight="1">
      <c r="A31" s="3881"/>
      <c r="B31" s="3878"/>
      <c r="C31" s="3107" t="s">
        <v>2463</v>
      </c>
      <c r="D31" s="3108"/>
      <c r="E31" s="3109">
        <v>0.8</v>
      </c>
      <c r="F31" s="3106" t="s">
        <v>2464</v>
      </c>
      <c r="G31" s="3106"/>
    </row>
    <row r="32" spans="1:13" ht="19.5" customHeight="1">
      <c r="A32" s="3881"/>
      <c r="B32" s="3878"/>
      <c r="C32" s="3107" t="s">
        <v>2465</v>
      </c>
      <c r="D32" s="3108"/>
      <c r="E32" s="3109">
        <v>0.7</v>
      </c>
      <c r="F32" s="3106" t="s">
        <v>2466</v>
      </c>
      <c r="G32" s="3106"/>
    </row>
    <row r="33" spans="1:7" ht="19.5" customHeight="1">
      <c r="A33" s="3881"/>
      <c r="B33" s="3878"/>
      <c r="C33" s="3107" t="s">
        <v>2467</v>
      </c>
      <c r="D33" s="3108"/>
      <c r="E33" s="3109">
        <v>0.8</v>
      </c>
      <c r="F33" s="3106" t="s">
        <v>2468</v>
      </c>
      <c r="G33" s="3106"/>
    </row>
    <row r="34" spans="1:7" ht="19.5" customHeight="1">
      <c r="A34" s="3881"/>
      <c r="B34" s="3878"/>
      <c r="C34" s="3107" t="s">
        <v>2469</v>
      </c>
      <c r="D34" s="3108"/>
      <c r="E34" s="3109">
        <v>0.6</v>
      </c>
      <c r="F34" s="3106" t="s">
        <v>2470</v>
      </c>
      <c r="G34" s="3106"/>
    </row>
    <row r="35" spans="1:7" ht="19.5" customHeight="1">
      <c r="A35" s="3881"/>
      <c r="B35" s="3878"/>
      <c r="C35" s="3107" t="s">
        <v>2471</v>
      </c>
      <c r="D35" s="3108"/>
      <c r="E35" s="3109">
        <v>0.2</v>
      </c>
      <c r="F35" s="3106" t="s">
        <v>2472</v>
      </c>
      <c r="G35" s="3106"/>
    </row>
    <row r="36" spans="1:7" ht="19.5" customHeight="1">
      <c r="A36" s="3881"/>
      <c r="B36" s="3878"/>
      <c r="C36" s="3107" t="s">
        <v>2473</v>
      </c>
      <c r="D36" s="3108"/>
      <c r="E36" s="3109">
        <v>0.2</v>
      </c>
      <c r="F36" s="3106" t="s">
        <v>2474</v>
      </c>
      <c r="G36" s="3106"/>
    </row>
    <row r="37" spans="1:7" ht="19.5" customHeight="1">
      <c r="A37" s="3881"/>
      <c r="B37" s="3883" t="s">
        <v>2635</v>
      </c>
      <c r="C37" s="3107" t="s">
        <v>2475</v>
      </c>
      <c r="D37" s="3108"/>
      <c r="E37" s="3109">
        <v>0.6</v>
      </c>
      <c r="F37" s="3106" t="s">
        <v>2476</v>
      </c>
      <c r="G37" s="3106"/>
    </row>
    <row r="38" spans="1:7" ht="19.5" customHeight="1">
      <c r="A38" s="3881"/>
      <c r="B38" s="3878"/>
      <c r="C38" s="3107" t="s">
        <v>2477</v>
      </c>
      <c r="D38" s="3108"/>
      <c r="E38" s="3109">
        <v>0.6</v>
      </c>
      <c r="F38" s="3106" t="s">
        <v>2478</v>
      </c>
      <c r="G38" s="3106"/>
    </row>
    <row r="39" spans="1:7" ht="19.5" customHeight="1" thickBot="1">
      <c r="A39" s="3882"/>
      <c r="B39" s="387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884" t="s">
        <v>2613</v>
      </c>
      <c r="B41" s="3877" t="s">
        <v>2637</v>
      </c>
      <c r="C41" s="3103" t="s">
        <v>2482</v>
      </c>
      <c r="D41" s="3104"/>
      <c r="E41" s="3105">
        <v>1</v>
      </c>
      <c r="F41" s="3106" t="s">
        <v>2483</v>
      </c>
      <c r="G41" s="3106"/>
    </row>
    <row r="42" spans="1:7" ht="19.5" customHeight="1">
      <c r="A42" s="3885"/>
      <c r="B42" s="3878"/>
      <c r="C42" s="3107" t="s">
        <v>2484</v>
      </c>
      <c r="D42" s="3108"/>
      <c r="E42" s="3109">
        <v>1</v>
      </c>
      <c r="F42" s="3106" t="s">
        <v>2485</v>
      </c>
      <c r="G42" s="3106"/>
    </row>
    <row r="43" spans="1:7" ht="19.5" customHeight="1">
      <c r="A43" s="3885"/>
      <c r="B43" s="3887"/>
      <c r="C43" s="3107" t="s">
        <v>2486</v>
      </c>
      <c r="D43" s="3108"/>
      <c r="E43" s="3109">
        <v>1.5</v>
      </c>
      <c r="F43" s="3106" t="s">
        <v>2487</v>
      </c>
      <c r="G43" s="3106"/>
    </row>
    <row r="44" spans="1:7" ht="19.5" customHeight="1">
      <c r="A44" s="3885"/>
      <c r="B44" s="3118" t="s">
        <v>2638</v>
      </c>
      <c r="C44" s="3107" t="s">
        <v>2639</v>
      </c>
      <c r="D44" s="3108"/>
      <c r="E44" s="3109">
        <v>2</v>
      </c>
      <c r="F44" s="3106" t="s">
        <v>2488</v>
      </c>
      <c r="G44" s="3106"/>
    </row>
    <row r="45" spans="1:7" ht="19.5" customHeight="1">
      <c r="A45" s="3885"/>
      <c r="B45" s="3883" t="s">
        <v>2640</v>
      </c>
      <c r="C45" s="3107" t="s">
        <v>2489</v>
      </c>
      <c r="D45" s="3108"/>
      <c r="E45" s="3109">
        <v>1</v>
      </c>
      <c r="F45" s="3106" t="s">
        <v>2490</v>
      </c>
      <c r="G45" s="3106"/>
    </row>
    <row r="46" spans="1:7" ht="19.5" customHeight="1">
      <c r="A46" s="3885"/>
      <c r="B46" s="3878"/>
      <c r="C46" s="3107" t="s">
        <v>2491</v>
      </c>
      <c r="D46" s="3108"/>
      <c r="E46" s="3109">
        <v>1</v>
      </c>
      <c r="F46" s="3106" t="s">
        <v>2492</v>
      </c>
      <c r="G46" s="3106"/>
    </row>
    <row r="47" spans="1:7" ht="19.5" customHeight="1">
      <c r="A47" s="3885"/>
      <c r="B47" s="3878"/>
      <c r="C47" s="3107" t="s">
        <v>2493</v>
      </c>
      <c r="D47" s="3108"/>
      <c r="E47" s="3109">
        <v>1</v>
      </c>
      <c r="F47" s="3106" t="s">
        <v>2494</v>
      </c>
      <c r="G47" s="3106"/>
    </row>
    <row r="48" spans="1:7" ht="19.5" customHeight="1">
      <c r="A48" s="3885"/>
      <c r="B48" s="3878"/>
      <c r="C48" s="3107" t="s">
        <v>2495</v>
      </c>
      <c r="D48" s="3108"/>
      <c r="E48" s="3109">
        <v>1</v>
      </c>
      <c r="F48" s="3106" t="s">
        <v>2496</v>
      </c>
      <c r="G48" s="3106"/>
    </row>
    <row r="49" spans="1:7" ht="19.5" customHeight="1">
      <c r="A49" s="3885"/>
      <c r="B49" s="3878"/>
      <c r="C49" s="3107" t="s">
        <v>2497</v>
      </c>
      <c r="D49" s="3108"/>
      <c r="E49" s="3109">
        <v>1</v>
      </c>
      <c r="F49" s="3106" t="s">
        <v>2498</v>
      </c>
      <c r="G49" s="3106"/>
    </row>
    <row r="50" spans="1:7" ht="19.5" customHeight="1">
      <c r="A50" s="3885"/>
      <c r="B50" s="3878"/>
      <c r="C50" s="3107" t="s">
        <v>2499</v>
      </c>
      <c r="D50" s="3108"/>
      <c r="E50" s="3109">
        <v>1</v>
      </c>
      <c r="F50" s="3106" t="s">
        <v>2500</v>
      </c>
      <c r="G50" s="3106"/>
    </row>
    <row r="51" spans="1:7" ht="19.5" customHeight="1" thickBot="1">
      <c r="A51" s="3886"/>
      <c r="B51" s="387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883" t="s">
        <v>2654</v>
      </c>
      <c r="C73" s="3092" t="s">
        <v>2655</v>
      </c>
      <c r="D73" s="3092" t="s">
        <v>2656</v>
      </c>
      <c r="E73" s="3118">
        <v>0.2</v>
      </c>
      <c r="F73" s="3118">
        <v>25</v>
      </c>
    </row>
    <row r="74" spans="1:7" ht="24">
      <c r="A74" s="3118">
        <v>2</v>
      </c>
      <c r="B74" s="3878"/>
      <c r="C74" s="3092" t="s">
        <v>2657</v>
      </c>
      <c r="D74" s="3092" t="s">
        <v>2658</v>
      </c>
      <c r="E74" s="3118">
        <v>0.2</v>
      </c>
      <c r="F74" s="3118">
        <v>25</v>
      </c>
    </row>
    <row r="75" spans="1:7" ht="24">
      <c r="A75" s="3118">
        <v>3</v>
      </c>
      <c r="B75" s="3878"/>
      <c r="C75" s="3092" t="s">
        <v>2659</v>
      </c>
      <c r="D75" s="3092" t="s">
        <v>2660</v>
      </c>
      <c r="E75" s="3118">
        <v>0.2</v>
      </c>
      <c r="F75" s="3118">
        <v>25</v>
      </c>
    </row>
    <row r="76" spans="1:7" ht="13.5">
      <c r="A76" s="3118">
        <v>4</v>
      </c>
      <c r="B76" s="3878"/>
      <c r="C76" s="3092" t="s">
        <v>2661</v>
      </c>
      <c r="D76" s="3092" t="s">
        <v>2662</v>
      </c>
      <c r="E76" s="3118">
        <v>0.15</v>
      </c>
      <c r="F76" s="3118">
        <v>20</v>
      </c>
    </row>
    <row r="77" spans="1:7" ht="24">
      <c r="A77" s="3118">
        <v>5</v>
      </c>
      <c r="B77" s="3878"/>
      <c r="C77" s="3092" t="s">
        <v>2663</v>
      </c>
      <c r="D77" s="3092" t="s">
        <v>2664</v>
      </c>
      <c r="E77" s="3118">
        <v>0.15</v>
      </c>
      <c r="F77" s="3118">
        <v>20</v>
      </c>
    </row>
    <row r="78" spans="1:7" ht="24">
      <c r="A78" s="3118">
        <v>6</v>
      </c>
      <c r="B78" s="3878"/>
      <c r="C78" s="3092" t="s">
        <v>2665</v>
      </c>
      <c r="D78" s="3092" t="s">
        <v>2666</v>
      </c>
      <c r="E78" s="3118">
        <v>0.15</v>
      </c>
      <c r="F78" s="3118">
        <v>20</v>
      </c>
    </row>
    <row r="79" spans="1:7" ht="24">
      <c r="A79" s="3118">
        <v>7</v>
      </c>
      <c r="B79" s="3878"/>
      <c r="C79" s="3092" t="s">
        <v>2667</v>
      </c>
      <c r="D79" s="3092" t="s">
        <v>2668</v>
      </c>
      <c r="E79" s="3118">
        <v>0.15</v>
      </c>
      <c r="F79" s="3118">
        <v>20</v>
      </c>
    </row>
    <row r="80" spans="1:7" ht="24">
      <c r="A80" s="3118">
        <v>8</v>
      </c>
      <c r="B80" s="3878"/>
      <c r="C80" s="3092" t="s">
        <v>2669</v>
      </c>
      <c r="D80" s="3092" t="s">
        <v>2670</v>
      </c>
      <c r="E80" s="3118">
        <v>0.1</v>
      </c>
      <c r="F80" s="3118">
        <v>15</v>
      </c>
    </row>
    <row r="81" spans="1:6" ht="24">
      <c r="A81" s="3118">
        <v>9</v>
      </c>
      <c r="B81" s="3878"/>
      <c r="C81" s="3092" t="s">
        <v>2671</v>
      </c>
      <c r="D81" s="3092" t="s">
        <v>2672</v>
      </c>
      <c r="E81" s="3118">
        <v>0.1</v>
      </c>
      <c r="F81" s="3118">
        <v>15</v>
      </c>
    </row>
    <row r="82" spans="1:6" ht="24">
      <c r="A82" s="3118">
        <v>10</v>
      </c>
      <c r="B82" s="3878"/>
      <c r="C82" s="3092" t="s">
        <v>2673</v>
      </c>
      <c r="D82" s="3092" t="s">
        <v>2674</v>
      </c>
      <c r="E82" s="3118">
        <v>0.1</v>
      </c>
      <c r="F82" s="3118">
        <v>15</v>
      </c>
    </row>
    <row r="83" spans="1:6" ht="24">
      <c r="A83" s="3118">
        <v>11</v>
      </c>
      <c r="B83" s="3878"/>
      <c r="C83" s="3092" t="s">
        <v>2675</v>
      </c>
      <c r="D83" s="3092" t="s">
        <v>2676</v>
      </c>
      <c r="E83" s="3118">
        <v>0.1</v>
      </c>
      <c r="F83" s="3118">
        <v>15</v>
      </c>
    </row>
    <row r="84" spans="1:6" ht="24">
      <c r="A84" s="3118">
        <v>12</v>
      </c>
      <c r="B84" s="3878"/>
      <c r="C84" s="3092" t="s">
        <v>2677</v>
      </c>
      <c r="D84" s="3092" t="s">
        <v>2678</v>
      </c>
      <c r="E84" s="3118">
        <v>0.1</v>
      </c>
      <c r="F84" s="3118">
        <v>15</v>
      </c>
    </row>
    <row r="85" spans="1:6" ht="13.5">
      <c r="A85" s="3118">
        <v>13</v>
      </c>
      <c r="B85" s="3878"/>
      <c r="C85" s="3092" t="s">
        <v>2679</v>
      </c>
      <c r="D85" s="3092" t="s">
        <v>2680</v>
      </c>
      <c r="E85" s="3118">
        <v>0.1</v>
      </c>
      <c r="F85" s="3118">
        <v>15</v>
      </c>
    </row>
    <row r="86" spans="1:6" ht="13.5">
      <c r="A86" s="3118">
        <v>14</v>
      </c>
      <c r="B86" s="3878"/>
      <c r="C86" s="3092" t="s">
        <v>2681</v>
      </c>
      <c r="D86" s="3092" t="s">
        <v>2682</v>
      </c>
      <c r="E86" s="3118">
        <v>0.1</v>
      </c>
      <c r="F86" s="3118">
        <v>15</v>
      </c>
    </row>
    <row r="87" spans="1:6" ht="13.5">
      <c r="A87" s="3118">
        <v>15</v>
      </c>
      <c r="B87" s="3878"/>
      <c r="C87" s="3092" t="s">
        <v>2683</v>
      </c>
      <c r="D87" s="3092" t="s">
        <v>2684</v>
      </c>
      <c r="E87" s="3118">
        <v>0.1</v>
      </c>
      <c r="F87" s="3118">
        <v>15</v>
      </c>
    </row>
    <row r="88" spans="1:6" ht="24">
      <c r="A88" s="3118">
        <v>16</v>
      </c>
      <c r="B88" s="3878"/>
      <c r="C88" s="3092" t="s">
        <v>2685</v>
      </c>
      <c r="D88" s="3092" t="s">
        <v>2686</v>
      </c>
      <c r="E88" s="3118">
        <v>0.1</v>
      </c>
      <c r="F88" s="3118">
        <v>15</v>
      </c>
    </row>
    <row r="89" spans="1:6" ht="24">
      <c r="A89" s="3118">
        <v>17</v>
      </c>
      <c r="B89" s="3887"/>
      <c r="C89" s="3092" t="s">
        <v>2687</v>
      </c>
      <c r="D89" s="3092" t="s">
        <v>2688</v>
      </c>
      <c r="E89" s="3118">
        <v>0.1</v>
      </c>
      <c r="F89" s="3118">
        <v>15</v>
      </c>
    </row>
    <row r="90" spans="1:6" ht="13.5">
      <c r="A90" s="3118">
        <v>18</v>
      </c>
      <c r="B90" s="3883" t="s">
        <v>2689</v>
      </c>
      <c r="C90" s="3092" t="s">
        <v>2690</v>
      </c>
      <c r="D90" s="3092" t="s">
        <v>2691</v>
      </c>
      <c r="E90" s="3118">
        <v>0.2</v>
      </c>
      <c r="F90" s="3118">
        <v>25</v>
      </c>
    </row>
    <row r="91" spans="1:6" ht="24">
      <c r="A91" s="3118">
        <v>19</v>
      </c>
      <c r="B91" s="3878"/>
      <c r="C91" s="3092" t="s">
        <v>2692</v>
      </c>
      <c r="D91" s="3092" t="s">
        <v>2693</v>
      </c>
      <c r="E91" s="3118">
        <v>0.2</v>
      </c>
      <c r="F91" s="3118">
        <v>25</v>
      </c>
    </row>
    <row r="92" spans="1:6" ht="13.5">
      <c r="A92" s="3118">
        <v>20</v>
      </c>
      <c r="B92" s="3878"/>
      <c r="C92" s="3092" t="s">
        <v>2694</v>
      </c>
      <c r="D92" s="3092" t="s">
        <v>2695</v>
      </c>
      <c r="E92" s="3118">
        <v>0.15</v>
      </c>
      <c r="F92" s="3118">
        <v>20</v>
      </c>
    </row>
    <row r="93" spans="1:6" ht="13.5">
      <c r="A93" s="3118">
        <v>21</v>
      </c>
      <c r="B93" s="3878"/>
      <c r="C93" s="3092" t="s">
        <v>2696</v>
      </c>
      <c r="D93" s="3092" t="s">
        <v>2697</v>
      </c>
      <c r="E93" s="3118">
        <v>0.15</v>
      </c>
      <c r="F93" s="3118">
        <v>20</v>
      </c>
    </row>
    <row r="94" spans="1:6" ht="13.5">
      <c r="A94" s="3118">
        <v>22</v>
      </c>
      <c r="B94" s="3878"/>
      <c r="C94" s="3092" t="s">
        <v>2698</v>
      </c>
      <c r="D94" s="3092" t="s">
        <v>2699</v>
      </c>
      <c r="E94" s="3118">
        <v>0.15</v>
      </c>
      <c r="F94" s="3118">
        <v>20</v>
      </c>
    </row>
    <row r="95" spans="1:6" ht="36">
      <c r="A95" s="3118">
        <v>23</v>
      </c>
      <c r="B95" s="3878"/>
      <c r="C95" s="3092" t="s">
        <v>2700</v>
      </c>
      <c r="D95" s="3092" t="s">
        <v>2701</v>
      </c>
      <c r="E95" s="3118">
        <v>0.15</v>
      </c>
      <c r="F95" s="3118">
        <v>20</v>
      </c>
    </row>
    <row r="96" spans="1:6" ht="13.5">
      <c r="A96" s="3118">
        <v>24</v>
      </c>
      <c r="B96" s="3878"/>
      <c r="C96" s="3092" t="s">
        <v>2702</v>
      </c>
      <c r="D96" s="3092" t="s">
        <v>2703</v>
      </c>
      <c r="E96" s="3118">
        <v>0.1</v>
      </c>
      <c r="F96" s="3118">
        <v>15</v>
      </c>
    </row>
    <row r="97" spans="1:6" ht="13.5">
      <c r="A97" s="3118">
        <v>25</v>
      </c>
      <c r="B97" s="3878"/>
      <c r="C97" s="3092" t="s">
        <v>2704</v>
      </c>
      <c r="D97" s="3092" t="s">
        <v>2705</v>
      </c>
      <c r="E97" s="3118">
        <v>0.1</v>
      </c>
      <c r="F97" s="3118">
        <v>15</v>
      </c>
    </row>
    <row r="98" spans="1:6" ht="24">
      <c r="A98" s="3118">
        <v>26</v>
      </c>
      <c r="B98" s="3878"/>
      <c r="C98" s="3092" t="s">
        <v>2706</v>
      </c>
      <c r="D98" s="3092" t="s">
        <v>2707</v>
      </c>
      <c r="E98" s="3118">
        <v>0.1</v>
      </c>
      <c r="F98" s="3118">
        <v>15</v>
      </c>
    </row>
    <row r="99" spans="1:6" ht="24">
      <c r="A99" s="3118">
        <v>27</v>
      </c>
      <c r="B99" s="3878"/>
      <c r="C99" s="3092" t="s">
        <v>2708</v>
      </c>
      <c r="D99" s="3092" t="s">
        <v>2709</v>
      </c>
      <c r="E99" s="3118">
        <v>0.1</v>
      </c>
      <c r="F99" s="3118">
        <v>15</v>
      </c>
    </row>
    <row r="100" spans="1:6" ht="13.5">
      <c r="A100" s="3118">
        <v>28</v>
      </c>
      <c r="B100" s="3878"/>
      <c r="C100" s="3092" t="s">
        <v>2710</v>
      </c>
      <c r="D100" s="3092" t="s">
        <v>2711</v>
      </c>
      <c r="E100" s="3118">
        <v>0.1</v>
      </c>
      <c r="F100" s="3118">
        <v>15</v>
      </c>
    </row>
    <row r="101" spans="1:6" ht="13.5">
      <c r="A101" s="3118">
        <v>29</v>
      </c>
      <c r="B101" s="3878"/>
      <c r="C101" s="3092" t="s">
        <v>2712</v>
      </c>
      <c r="D101" s="3092" t="s">
        <v>2713</v>
      </c>
      <c r="E101" s="3118">
        <v>0.1</v>
      </c>
      <c r="F101" s="3118">
        <v>15</v>
      </c>
    </row>
    <row r="102" spans="1:6" ht="13.5">
      <c r="A102" s="3118">
        <v>30</v>
      </c>
      <c r="B102" s="3878"/>
      <c r="C102" s="3092" t="s">
        <v>2714</v>
      </c>
      <c r="D102" s="3092" t="s">
        <v>2715</v>
      </c>
      <c r="E102" s="3118">
        <v>0.1</v>
      </c>
      <c r="F102" s="3118">
        <v>15</v>
      </c>
    </row>
    <row r="103" spans="1:6" ht="24">
      <c r="A103" s="3118">
        <v>31</v>
      </c>
      <c r="B103" s="3878"/>
      <c r="C103" s="3092" t="s">
        <v>2716</v>
      </c>
      <c r="D103" s="3092" t="s">
        <v>2717</v>
      </c>
      <c r="E103" s="3118">
        <v>0.1</v>
      </c>
      <c r="F103" s="3118">
        <v>15</v>
      </c>
    </row>
    <row r="104" spans="1:6" ht="24">
      <c r="A104" s="3118">
        <v>32</v>
      </c>
      <c r="B104" s="3878"/>
      <c r="C104" s="3092" t="s">
        <v>2718</v>
      </c>
      <c r="D104" s="3092" t="s">
        <v>2719</v>
      </c>
      <c r="E104" s="3118">
        <v>0.1</v>
      </c>
      <c r="F104" s="3118">
        <v>15</v>
      </c>
    </row>
    <row r="105" spans="1:6" ht="24">
      <c r="A105" s="3118">
        <v>33</v>
      </c>
      <c r="B105" s="3878"/>
      <c r="C105" s="3092" t="s">
        <v>2720</v>
      </c>
      <c r="D105" s="3092" t="s">
        <v>2721</v>
      </c>
      <c r="E105" s="3118">
        <v>0.1</v>
      </c>
      <c r="F105" s="3118">
        <v>15</v>
      </c>
    </row>
    <row r="106" spans="1:6" ht="24">
      <c r="A106" s="3118">
        <v>34</v>
      </c>
      <c r="B106" s="3887"/>
      <c r="C106" s="3092" t="s">
        <v>2722</v>
      </c>
      <c r="D106" s="3092" t="s">
        <v>2723</v>
      </c>
      <c r="E106" s="3118">
        <v>0.1</v>
      </c>
      <c r="F106" s="3118">
        <v>15</v>
      </c>
    </row>
    <row r="107" spans="1:6" ht="24">
      <c r="A107" s="3118">
        <v>35</v>
      </c>
      <c r="B107" s="3883" t="s">
        <v>2724</v>
      </c>
      <c r="C107" s="3118" t="s">
        <v>2725</v>
      </c>
      <c r="D107" s="3092" t="s">
        <v>2726</v>
      </c>
      <c r="E107" s="3118">
        <v>0.15</v>
      </c>
      <c r="F107" s="3118">
        <v>20</v>
      </c>
    </row>
    <row r="108" spans="1:6" ht="13.5">
      <c r="A108" s="3118">
        <v>36</v>
      </c>
      <c r="B108" s="3878"/>
      <c r="C108" s="3118" t="s">
        <v>2727</v>
      </c>
      <c r="D108" s="3092" t="s">
        <v>2728</v>
      </c>
      <c r="E108" s="3118">
        <v>0.15</v>
      </c>
      <c r="F108" s="3118">
        <v>20</v>
      </c>
    </row>
    <row r="109" spans="1:6" ht="13.5">
      <c r="A109" s="3118">
        <v>37</v>
      </c>
      <c r="B109" s="3878"/>
      <c r="C109" s="3118" t="s">
        <v>2729</v>
      </c>
      <c r="D109" s="3092" t="s">
        <v>2730</v>
      </c>
      <c r="E109" s="3118">
        <v>0.15</v>
      </c>
      <c r="F109" s="3118">
        <v>20</v>
      </c>
    </row>
    <row r="110" spans="1:6" ht="13.5">
      <c r="A110" s="3118">
        <v>38</v>
      </c>
      <c r="B110" s="3878"/>
      <c r="C110" s="3118" t="s">
        <v>2731</v>
      </c>
      <c r="D110" s="3092" t="s">
        <v>2732</v>
      </c>
      <c r="E110" s="3118">
        <v>0.1</v>
      </c>
      <c r="F110" s="3118">
        <v>15</v>
      </c>
    </row>
    <row r="111" spans="1:6" ht="24">
      <c r="A111" s="3118">
        <v>39</v>
      </c>
      <c r="B111" s="3878"/>
      <c r="C111" s="3118" t="s">
        <v>2733</v>
      </c>
      <c r="D111" s="3092" t="s">
        <v>2734</v>
      </c>
      <c r="E111" s="3118">
        <v>0.1</v>
      </c>
      <c r="F111" s="3118">
        <v>15</v>
      </c>
    </row>
    <row r="112" spans="1:6" ht="24">
      <c r="A112" s="3118">
        <v>40</v>
      </c>
      <c r="B112" s="3887"/>
      <c r="C112" s="3118" t="s">
        <v>2735</v>
      </c>
      <c r="D112" s="3092" t="s">
        <v>2736</v>
      </c>
      <c r="E112" s="3118">
        <v>0.1</v>
      </c>
      <c r="F112" s="3118">
        <v>15</v>
      </c>
    </row>
    <row r="113" spans="1:6" ht="13.5">
      <c r="A113" s="3118">
        <v>41</v>
      </c>
      <c r="B113" s="3888" t="s">
        <v>2737</v>
      </c>
      <c r="C113" s="3118" t="s">
        <v>2738</v>
      </c>
      <c r="D113" s="3092" t="s">
        <v>2739</v>
      </c>
      <c r="E113" s="3118">
        <v>0.1</v>
      </c>
      <c r="F113" s="3118">
        <v>15</v>
      </c>
    </row>
    <row r="114" spans="1:6" ht="13.5">
      <c r="A114" s="3118">
        <v>42</v>
      </c>
      <c r="B114" s="3888"/>
      <c r="C114" s="3118" t="s">
        <v>2740</v>
      </c>
      <c r="D114" s="3092" t="s">
        <v>2741</v>
      </c>
      <c r="E114" s="3118">
        <v>0.1</v>
      </c>
      <c r="F114" s="3118">
        <v>15</v>
      </c>
    </row>
    <row r="115" spans="1:6" ht="24">
      <c r="A115" s="3118">
        <v>43</v>
      </c>
      <c r="B115" s="3888"/>
      <c r="C115" s="3118" t="s">
        <v>2742</v>
      </c>
      <c r="D115" s="3092" t="s">
        <v>2743</v>
      </c>
      <c r="E115" s="3118">
        <v>0.1</v>
      </c>
      <c r="F115" s="3118">
        <v>15</v>
      </c>
    </row>
    <row r="116" spans="1:6" ht="13.5">
      <c r="A116" s="3118">
        <v>44</v>
      </c>
      <c r="B116" s="3883" t="s">
        <v>2744</v>
      </c>
      <c r="C116" s="3118" t="s">
        <v>2745</v>
      </c>
      <c r="D116" s="3092" t="s">
        <v>2746</v>
      </c>
      <c r="E116" s="3118">
        <v>0.1</v>
      </c>
      <c r="F116" s="3118">
        <v>15</v>
      </c>
    </row>
    <row r="117" spans="1:6" ht="24">
      <c r="A117" s="3118">
        <v>45</v>
      </c>
      <c r="B117" s="3887"/>
      <c r="C117" s="3092" t="s">
        <v>2747</v>
      </c>
      <c r="D117" s="3092" t="s">
        <v>2748</v>
      </c>
      <c r="E117" s="3118">
        <v>0.1</v>
      </c>
      <c r="F117" s="3118">
        <v>15</v>
      </c>
    </row>
    <row r="118" spans="1:6" ht="24">
      <c r="A118" s="3118">
        <v>46</v>
      </c>
      <c r="B118" s="3883" t="s">
        <v>2749</v>
      </c>
      <c r="C118" s="3118" t="s">
        <v>2750</v>
      </c>
      <c r="D118" s="3092" t="s">
        <v>2751</v>
      </c>
      <c r="E118" s="3118">
        <v>0.1</v>
      </c>
      <c r="F118" s="3118">
        <v>15</v>
      </c>
    </row>
    <row r="119" spans="1:6" ht="24">
      <c r="A119" s="3118">
        <v>47</v>
      </c>
      <c r="B119" s="3887"/>
      <c r="C119" s="3118" t="s">
        <v>2752</v>
      </c>
      <c r="D119" s="3092" t="s">
        <v>2753</v>
      </c>
      <c r="E119" s="3118">
        <v>0.1</v>
      </c>
      <c r="F119" s="3118">
        <v>15</v>
      </c>
    </row>
    <row r="120" spans="1:6" ht="13.5">
      <c r="A120" s="3118">
        <v>48</v>
      </c>
      <c r="B120" s="3883" t="s">
        <v>2754</v>
      </c>
      <c r="C120" s="3118" t="s">
        <v>2755</v>
      </c>
      <c r="D120" s="3092" t="s">
        <v>2756</v>
      </c>
      <c r="E120" s="3118">
        <v>0.1</v>
      </c>
      <c r="F120" s="3118">
        <v>15</v>
      </c>
    </row>
    <row r="121" spans="1:6" ht="13.5">
      <c r="A121" s="3118">
        <v>49</v>
      </c>
      <c r="B121" s="3887"/>
      <c r="C121" s="3118" t="s">
        <v>2757</v>
      </c>
      <c r="D121" s="3092" t="s">
        <v>2758</v>
      </c>
      <c r="E121" s="3118">
        <v>0.1</v>
      </c>
      <c r="F121" s="3118">
        <v>15</v>
      </c>
    </row>
    <row r="122" spans="1:6" ht="24">
      <c r="A122" s="3118">
        <v>50</v>
      </c>
      <c r="B122" s="3888" t="s">
        <v>2759</v>
      </c>
      <c r="C122" s="3118" t="s">
        <v>2760</v>
      </c>
      <c r="D122" s="3092" t="s">
        <v>2761</v>
      </c>
      <c r="E122" s="3118">
        <v>0.1</v>
      </c>
      <c r="F122" s="3118">
        <v>15</v>
      </c>
    </row>
    <row r="123" spans="1:6" ht="24">
      <c r="A123" s="3118">
        <v>51</v>
      </c>
      <c r="B123" s="3888"/>
      <c r="C123" s="3118" t="s">
        <v>2762</v>
      </c>
      <c r="D123" s="3092" t="s">
        <v>2763</v>
      </c>
      <c r="E123" s="3118">
        <v>0.1</v>
      </c>
      <c r="F123" s="3118">
        <v>15</v>
      </c>
    </row>
    <row r="124" spans="1:6" ht="24">
      <c r="A124" s="3118">
        <v>52</v>
      </c>
      <c r="B124" s="3888" t="s">
        <v>2764</v>
      </c>
      <c r="C124" s="3118" t="s">
        <v>2765</v>
      </c>
      <c r="D124" s="3092" t="s">
        <v>2766</v>
      </c>
      <c r="E124" s="3118">
        <v>0.1</v>
      </c>
      <c r="F124" s="3118">
        <v>15</v>
      </c>
    </row>
    <row r="125" spans="1:6" ht="24">
      <c r="A125" s="3118">
        <v>53</v>
      </c>
      <c r="B125" s="388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88" t="s">
        <v>2772</v>
      </c>
      <c r="C127" s="3118" t="s">
        <v>2773</v>
      </c>
      <c r="D127" s="3092" t="s">
        <v>2774</v>
      </c>
      <c r="E127" s="3118">
        <v>0.1</v>
      </c>
      <c r="F127" s="3118">
        <v>15</v>
      </c>
    </row>
    <row r="128" spans="1:6" ht="13.5">
      <c r="A128" s="3118">
        <v>56</v>
      </c>
      <c r="B128" s="3888"/>
      <c r="C128" s="3118" t="s">
        <v>2775</v>
      </c>
      <c r="D128" s="3092" t="s">
        <v>2776</v>
      </c>
      <c r="E128" s="3118">
        <v>0.1</v>
      </c>
      <c r="F128" s="3118">
        <v>15</v>
      </c>
    </row>
    <row r="129" spans="1:6" ht="24">
      <c r="A129" s="3118">
        <v>57</v>
      </c>
      <c r="B129" s="3888"/>
      <c r="C129" s="3118" t="s">
        <v>2777</v>
      </c>
      <c r="D129" s="3092" t="s">
        <v>2778</v>
      </c>
      <c r="E129" s="3118">
        <v>0.1</v>
      </c>
      <c r="F129" s="3118">
        <v>15</v>
      </c>
    </row>
    <row r="130" spans="1:6" ht="24">
      <c r="A130" s="3118">
        <v>58</v>
      </c>
      <c r="B130" s="3888" t="s">
        <v>2779</v>
      </c>
      <c r="C130" s="3118" t="s">
        <v>2780</v>
      </c>
      <c r="D130" s="3092" t="s">
        <v>2781</v>
      </c>
      <c r="E130" s="3118">
        <v>0.1</v>
      </c>
      <c r="F130" s="3118">
        <v>15</v>
      </c>
    </row>
    <row r="131" spans="1:6" ht="13.5">
      <c r="A131" s="3118">
        <v>59</v>
      </c>
      <c r="B131" s="3888"/>
      <c r="C131" s="3118" t="s">
        <v>2782</v>
      </c>
      <c r="D131" s="3092" t="s">
        <v>2783</v>
      </c>
      <c r="E131" s="3118">
        <v>0.1</v>
      </c>
      <c r="F131" s="3118">
        <v>15</v>
      </c>
    </row>
    <row r="132" spans="1:6" ht="13.5">
      <c r="A132" s="3118">
        <v>60</v>
      </c>
      <c r="B132" s="3883" t="s">
        <v>2784</v>
      </c>
      <c r="C132" s="3118" t="s">
        <v>2785</v>
      </c>
      <c r="D132" s="3092" t="s">
        <v>2786</v>
      </c>
      <c r="E132" s="3118">
        <v>0.1</v>
      </c>
      <c r="F132" s="3118">
        <v>15</v>
      </c>
    </row>
    <row r="133" spans="1:6" ht="13.5">
      <c r="A133" s="3118">
        <v>61</v>
      </c>
      <c r="B133" s="388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88" t="s">
        <v>2792</v>
      </c>
      <c r="C135" s="3118" t="s">
        <v>2793</v>
      </c>
      <c r="D135" s="3092" t="s">
        <v>2794</v>
      </c>
      <c r="E135" s="3118">
        <v>0.1</v>
      </c>
      <c r="F135" s="3118">
        <v>15</v>
      </c>
    </row>
    <row r="136" spans="1:6" ht="13.5">
      <c r="A136" s="3118">
        <v>64</v>
      </c>
      <c r="B136" s="388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v>
      </c>
      <c r="B3" s="3529"/>
      <c r="C3" s="3529"/>
      <c r="D3" s="3529"/>
      <c r="E3" s="3529"/>
    </row>
    <row r="4" spans="1:5" ht="19.5" thickBot="1">
      <c r="A4" s="1493"/>
      <c r="B4" s="3527" t="s">
        <v>917</v>
      </c>
      <c r="C4" s="3527"/>
      <c r="D4" s="3527"/>
      <c r="E4" s="1493"/>
    </row>
    <row r="5" spans="1:5" ht="16.5" thickTop="1">
      <c r="A5" s="1491"/>
      <c r="B5" s="3525" t="s">
        <v>909</v>
      </c>
      <c r="C5" s="1494" t="s">
        <v>910</v>
      </c>
      <c r="D5" s="850" t="e">
        <f ca="1">结果表!H101</f>
        <v>#REF!</v>
      </c>
      <c r="E5" s="1491"/>
    </row>
    <row r="6" spans="1:5" ht="15.75">
      <c r="A6" s="1491"/>
      <c r="B6" s="3525"/>
      <c r="C6" s="1494" t="s">
        <v>911</v>
      </c>
      <c r="D6" s="850" t="e">
        <f ca="1">NUMBERSTRING(INT(D5*10000),2)&amp;"元整"</f>
        <v>#REF!</v>
      </c>
      <c r="E6" s="1491"/>
    </row>
    <row r="7" spans="1:5" ht="15.75">
      <c r="A7" s="1491"/>
      <c r="B7" s="3530"/>
      <c r="C7" s="1495" t="s">
        <v>912</v>
      </c>
      <c r="D7" s="851" t="e">
        <f ca="1">结果表!H102</f>
        <v>#REF!</v>
      </c>
      <c r="E7" s="1491"/>
    </row>
    <row r="8" spans="1:5" ht="15.75">
      <c r="A8" s="1491"/>
      <c r="B8" s="3531" t="str">
        <f>结果表!E103</f>
        <v>2.估价师知悉的法定优先受偿款</v>
      </c>
      <c r="C8" s="1496" t="s">
        <v>913</v>
      </c>
      <c r="D8" s="851">
        <f>结果表!H103</f>
        <v>0</v>
      </c>
      <c r="E8" s="1491"/>
    </row>
    <row r="9" spans="1:5" ht="15.75">
      <c r="A9" s="1491"/>
      <c r="B9" s="353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4" t="str">
        <f>结果表!E107</f>
        <v>3.房地产抵押价值</v>
      </c>
      <c r="C13" s="1499" t="s">
        <v>910</v>
      </c>
      <c r="D13" s="853" t="e">
        <f ca="1">结果表!H107</f>
        <v>#REF!</v>
      </c>
      <c r="E13" s="1491"/>
    </row>
    <row r="14" spans="1:5" ht="15.75">
      <c r="A14" s="1491"/>
      <c r="B14" s="3525"/>
      <c r="C14" s="1494" t="s">
        <v>911</v>
      </c>
      <c r="D14" s="850" t="e">
        <f ca="1">NUMBERSTRING(INT(D13*10000),2)&amp;"元整"</f>
        <v>#REF!</v>
      </c>
      <c r="E14" s="1491"/>
    </row>
    <row r="15" spans="1:5" ht="15">
      <c r="A15" s="1491"/>
      <c r="B15" s="3530"/>
      <c r="C15" s="1495" t="s">
        <v>921</v>
      </c>
      <c r="D15" s="859" t="e">
        <f ca="1">结果表!H108</f>
        <v>#REF!</v>
      </c>
      <c r="E15" s="1491"/>
    </row>
    <row r="16" spans="1:5" ht="15">
      <c r="A16" s="1491"/>
      <c r="B16" s="3531" t="str">
        <f>结果表!E109</f>
        <v>——</v>
      </c>
      <c r="C16" s="1499" t="s">
        <v>922</v>
      </c>
      <c r="D16" s="1500" t="str">
        <f>结果表!H109</f>
        <v>——</v>
      </c>
      <c r="E16" s="1491"/>
    </row>
    <row r="17" spans="1:5" ht="15.75">
      <c r="A17" s="1491"/>
      <c r="B17" s="3532"/>
      <c r="C17" s="1494" t="s">
        <v>923</v>
      </c>
      <c r="D17" s="850" t="e">
        <f>NUMBERSTRING(INT(D16*10000),2)&amp;"元整"</f>
        <v>#VALUE!</v>
      </c>
      <c r="E17" s="1491"/>
    </row>
    <row r="18" spans="1:5" ht="15">
      <c r="A18" s="1491"/>
      <c r="B18" s="3533"/>
      <c r="C18" s="1495" t="s">
        <v>912</v>
      </c>
      <c r="D18" s="859" t="str">
        <f>结果表!H110</f>
        <v>——</v>
      </c>
      <c r="E18" s="1491"/>
    </row>
    <row r="19" spans="1:5" ht="15.75">
      <c r="A19" s="1491"/>
      <c r="B19" s="3524" t="str">
        <f>结果表!E111</f>
        <v>——</v>
      </c>
      <c r="C19" s="1499" t="s">
        <v>910</v>
      </c>
      <c r="D19" s="851" t="str">
        <f>结果表!H111</f>
        <v>——</v>
      </c>
      <c r="E19" s="1491"/>
    </row>
    <row r="20" spans="1:5" ht="15.75">
      <c r="A20" s="1491"/>
      <c r="B20" s="3525"/>
      <c r="C20" s="1494" t="s">
        <v>923</v>
      </c>
      <c r="D20" s="850" t="e">
        <f>NUMBERSTRING(INT(D19*10000),2)&amp;"元整"</f>
        <v>#VALUE!</v>
      </c>
      <c r="E20" s="1491"/>
    </row>
    <row r="21" spans="1:5" ht="15.75" thickBot="1">
      <c r="A21" s="1491"/>
      <c r="B21" s="352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1.0558000000000001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25594</v>
      </c>
      <c r="C2" s="2" t="s">
        <v>106</v>
      </c>
      <c r="D2" s="199"/>
      <c r="E2" s="199"/>
      <c r="F2" s="199"/>
      <c r="G2" s="199"/>
    </row>
    <row r="3" spans="1:7" s="200" customFormat="1" ht="18" customHeight="1" thickBot="1">
      <c r="A3" s="203" t="s">
        <v>58</v>
      </c>
      <c r="B3" s="204">
        <f ca="1">ROUND(B2*10000/'数据-汇总表'!E3,0)</f>
        <v>499035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v>
      </c>
      <c r="D10" s="845">
        <f>'数据-汇总表'!E6</f>
        <v>512.87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v>
      </c>
      <c r="D19" s="849">
        <f>'数据-汇总表'!E3</f>
        <v>512.87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901</v>
      </c>
      <c r="D22" s="235">
        <f ca="1">C26</f>
        <v>2.0000000000000001E-4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2083</v>
      </c>
      <c r="D27" s="235">
        <f>C29</f>
        <v>1E-3</v>
      </c>
      <c r="E27" s="236" t="s">
        <v>99</v>
      </c>
      <c r="F27" s="246">
        <f>'数据-取费表'!Q16</f>
        <v>0.1</v>
      </c>
      <c r="G27" s="247" t="s">
        <v>431</v>
      </c>
    </row>
    <row r="28" spans="1:7" s="214" customFormat="1" ht="13.5" customHeight="1">
      <c r="A28" s="780" t="s">
        <v>349</v>
      </c>
      <c r="B28" s="248" t="s">
        <v>424</v>
      </c>
      <c r="C28" s="249">
        <f>ROUND((C5+C19+C20)*F27*'数据-取费表'!B21/'数据-取费表'!B20,0)</f>
        <v>2083</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25453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154</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v>
      </c>
      <c r="D37" s="217">
        <f>'数据-汇总表'!E3</f>
        <v>512.87</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4</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v>
      </c>
      <c r="D42" s="238"/>
      <c r="E42" s="238"/>
      <c r="F42" s="239"/>
      <c r="G42" s="3706" t="s">
        <v>94</v>
      </c>
    </row>
    <row r="43" spans="1:7" ht="13.5" customHeight="1">
      <c r="A43" s="780" t="s">
        <v>347</v>
      </c>
      <c r="B43" s="215" t="s">
        <v>426</v>
      </c>
      <c r="C43" s="238">
        <f ca="1">ROUND(IF('数据-取费表'!B22&lt;=1,C39*F22*'数据-取费表'!B21/2,C39*(POWER((1+F22),'数据-取费表'!B21/2)-1)),0)</f>
        <v>0</v>
      </c>
      <c r="D43" s="238"/>
      <c r="E43" s="238"/>
      <c r="F43" s="239"/>
      <c r="G43" s="3707"/>
    </row>
    <row r="44" spans="1:7" ht="13.5" customHeight="1">
      <c r="A44" s="780" t="s">
        <v>348</v>
      </c>
      <c r="B44" s="215" t="s">
        <v>428</v>
      </c>
      <c r="C44" s="238">
        <f ca="1">ROUND(IF('数据-取费表'!B22&lt;=1,C40*F22*'数据-取费表'!B21/2,C40*(POWER((1+F22),'数据-取费表'!B21/2)-1)),4)</f>
        <v>2.0000000000000001E-4</v>
      </c>
      <c r="D44" s="238"/>
      <c r="E44" s="238"/>
      <c r="F44" s="239"/>
      <c r="G44" s="3708"/>
    </row>
    <row r="45" spans="1:7" s="214" customFormat="1" ht="13.5" customHeight="1">
      <c r="A45" s="777" t="s">
        <v>341</v>
      </c>
      <c r="B45" s="244" t="s">
        <v>85</v>
      </c>
      <c r="C45" s="245">
        <f>C46</f>
        <v>17</v>
      </c>
      <c r="D45" s="235">
        <f>C47</f>
        <v>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207</v>
      </c>
      <c r="D49" s="232"/>
      <c r="E49" s="232"/>
      <c r="F49" s="264"/>
      <c r="G49" s="234" t="s">
        <v>435</v>
      </c>
    </row>
    <row r="50" spans="1:7" s="258" customFormat="1" ht="24">
      <c r="A50" s="777" t="s">
        <v>344</v>
      </c>
      <c r="B50" s="210" t="s">
        <v>97</v>
      </c>
      <c r="C50" s="232"/>
      <c r="D50" s="232"/>
      <c r="E50" s="232"/>
      <c r="F50" s="264">
        <f>IF('数据-取费表'!B24=0,'数据-取费表'!N16,1)</f>
        <v>0.68300000000000005</v>
      </c>
      <c r="G50" s="247" t="s">
        <v>98</v>
      </c>
    </row>
    <row r="51" spans="1:7" ht="16.5" customHeight="1">
      <c r="A51" s="777" t="s">
        <v>345</v>
      </c>
      <c r="B51" s="210" t="s">
        <v>105</v>
      </c>
      <c r="C51" s="232">
        <f ca="1">ROUND(C49*F50,0)</f>
        <v>141</v>
      </c>
      <c r="D51" s="232"/>
      <c r="E51" s="232"/>
      <c r="F51" s="264"/>
      <c r="G51" s="234" t="s">
        <v>37</v>
      </c>
    </row>
    <row r="52" spans="1:7" s="208" customFormat="1" ht="16.5" thickBot="1">
      <c r="A52" s="265" t="s">
        <v>38</v>
      </c>
      <c r="B52" s="266"/>
      <c r="C52" s="267">
        <f ca="1">C31+C51</f>
        <v>25594</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91" t="s">
        <v>2846</v>
      </c>
      <c r="B1" s="3891"/>
      <c r="C1" s="3891"/>
      <c r="D1" s="3891"/>
      <c r="E1" s="3891"/>
      <c r="F1" s="3891"/>
      <c r="G1" s="389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88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89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93" t="s">
        <v>3188</v>
      </c>
      <c r="B1" s="389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3290"/>
  </cols>
  <sheetData>
    <row r="1" spans="1:6">
      <c r="A1" s="3894" t="s">
        <v>3239</v>
      </c>
      <c r="B1" s="3894"/>
      <c r="C1" s="3894"/>
      <c r="D1" s="3894"/>
      <c r="E1" s="3894"/>
      <c r="F1" s="389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44991</v>
      </c>
      <c r="B1" s="3210" t="s">
        <v>2845</v>
      </c>
      <c r="C1" s="3211"/>
      <c r="D1" s="3211"/>
      <c r="E1" s="3211"/>
      <c r="F1" s="3211"/>
      <c r="G1" s="3211"/>
      <c r="H1" s="3211"/>
      <c r="I1" s="3211"/>
      <c r="J1" s="3165"/>
      <c r="K1" s="3211" t="s">
        <v>454</v>
      </c>
      <c r="L1" s="3211"/>
      <c r="M1" s="3211"/>
      <c r="N1" s="3211"/>
      <c r="O1" s="3211"/>
      <c r="P1" s="3211"/>
      <c r="Q1" s="3165"/>
      <c r="R1" s="3896" t="s">
        <v>456</v>
      </c>
      <c r="S1" s="3897"/>
      <c r="T1" s="3897"/>
      <c r="U1" s="3897"/>
      <c r="V1" s="3897"/>
      <c r="W1" s="3897"/>
      <c r="X1" s="3165"/>
      <c r="Y1" s="3896" t="s">
        <v>457</v>
      </c>
      <c r="Z1" s="3897"/>
      <c r="AA1" s="3897"/>
      <c r="AB1" s="3897"/>
      <c r="AC1" s="3897"/>
      <c r="AD1" s="389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ROUND(IF([3]项目基本情况!B8="出让",SUMPRODUCT(PRODUCT(1+K9:K16)),SUMPRODUCT(PRODUCT(1+K9:K15))),4)</f>
        <v>1.0565</v>
      </c>
      <c r="S9" s="3192">
        <f>ROUND(IF([3]项目基本情况!B8="出让",SUMPRODUCT(PRODUCT(1+L9:L16)),SUMPRODUCT(PRODUCT(1+L9:L15))),4)</f>
        <v>1.0250999999999999</v>
      </c>
      <c r="T9" s="3192">
        <f>ROUND(IF([3]项目基本情况!B8="出让",SUMPRODUCT(PRODUCT(1+M9:M16)),SUMPRODUCT(PRODUCT(1+M9:M15))),4)</f>
        <v>1.0145</v>
      </c>
      <c r="U9" s="3192">
        <f>ROUND(IF([3]项目基本情况!B8="出让",SUMPRODUCT(PRODUCT(1+N9:N16)),SUMPRODUCT(PRODUCT(1+N9:N15))),4)</f>
        <v>1.0618000000000001</v>
      </c>
      <c r="V9" s="3192">
        <f>ROUND(IF([3]项目基本情况!B8="出让",SUMPRODUCT(PRODUCT(1+O9:O16)),SUMPRODUCT(PRODUCT(1+O9:O15))),4)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ROUND(IF([3]项目基本情况!B8="出让",SUMPRODUCT(PRODUCT(1+K10:K16)),SUMPRODUCT(PRODUCT(1+K10:K15))),4)</f>
        <v>1.05</v>
      </c>
      <c r="S10" s="3183">
        <f>ROUND(IF([3]项目基本情况!B8="出让",SUMPRODUCT(PRODUCT(1+L10:L16)),SUMPRODUCT(PRODUCT(1+L10:L15))),4)</f>
        <v>1.0229999999999999</v>
      </c>
      <c r="T10" s="3183">
        <f>ROUND(IF([3]项目基本情况!B8="出让",SUMPRODUCT(PRODUCT(1+M10:M16)),SUMPRODUCT(PRODUCT(1+M10:M15))),4)</f>
        <v>1.0134000000000001</v>
      </c>
      <c r="U10" s="3183">
        <f>ROUND(IF([3]项目基本情况!B8="出让",SUMPRODUCT(PRODUCT(1+N10:N16)),SUMPRODUCT(PRODUCT(1+N10:N15))),4)</f>
        <v>1.0545</v>
      </c>
      <c r="V10" s="3183">
        <f>ROUND(IF([3]项目基本情况!B8="出让",SUMPRODUCT(PRODUCT(1+O10:O16)),SUMPRODUCT(PRODUCT(1+O10:O15))),4)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ROUND(IF([3]项目基本情况!B8="出让",SUMPRODUCT(PRODUCT(1+K11:K16)),SUMPRODUCT(PRODUCT(1+K11:K15))),4)</f>
        <v>1.0430999999999999</v>
      </c>
      <c r="S11" s="3183">
        <f>ROUND(IF([3]项目基本情况!B8="出让",SUMPRODUCT(PRODUCT(1+L11:L16)),SUMPRODUCT(PRODUCT(1+L11:L15))),4)</f>
        <v>1.0197000000000001</v>
      </c>
      <c r="T11" s="3183">
        <f>ROUND(IF([3]项目基本情况!B8="出让",SUMPRODUCT(PRODUCT(1+M11:M16)),SUMPRODUCT(PRODUCT(1+M11:M15))),4)</f>
        <v>1.0109999999999999</v>
      </c>
      <c r="U11" s="3183">
        <f>ROUND(IF([3]项目基本情况!B8="出让",SUMPRODUCT(PRODUCT(1+N11:N16)),SUMPRODUCT(PRODUCT(1+N11:N15))),4)</f>
        <v>1.0468999999999999</v>
      </c>
      <c r="V11" s="3183">
        <f>ROUND(IF([3]项目基本情况!B8="出让",SUMPRODUCT(PRODUCT(1+O11:O16)),SUMPRODUCT(PRODUCT(1+O11:O15))),4)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ROUND(IF([3]项目基本情况!B8="出让",SUMPRODUCT(PRODUCT(1+K12:K16)),SUMPRODUCT(PRODUCT(1+K12:K15))),4)</f>
        <v>1.0335000000000001</v>
      </c>
      <c r="S12" s="3183">
        <f>ROUND(IF([3]项目基本情况!B8="出让",SUMPRODUCT(PRODUCT(1+L12:L16)),SUMPRODUCT(PRODUCT(1+L12:L15))),4)</f>
        <v>1.0182</v>
      </c>
      <c r="T12" s="3183">
        <f>ROUND(IF([3]项目基本情况!B8="出让",SUMPRODUCT(PRODUCT(1+M12:M16)),SUMPRODUCT(PRODUCT(1+M12:M15))),4)</f>
        <v>1.0108999999999999</v>
      </c>
      <c r="U12" s="3183">
        <f>ROUND(IF([3]项目基本情况!B8="出让",SUMPRODUCT(PRODUCT(1+N12:N16)),SUMPRODUCT(PRODUCT(1+N12:N15))),4)</f>
        <v>1.0361</v>
      </c>
      <c r="V12" s="3183">
        <f>ROUND(IF([3]项目基本情况!B8="出让",SUMPRODUCT(PRODUCT(1+O12:O16)),SUMPRODUCT(PRODUCT(1+O12:O15))),4)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ROUND(IF([3]项目基本情况!B8="出让",SUMPRODUCT(PRODUCT(1+K13:K16)),SUMPRODUCT(PRODUCT(1+K13:K15))),4)</f>
        <v>1.0244</v>
      </c>
      <c r="S13" s="3183">
        <f>ROUND(IF([3]项目基本情况!B8="出让",SUMPRODUCT(PRODUCT(1+L13:L16)),SUMPRODUCT(PRODUCT(1+L13:L15))),4)</f>
        <v>1.0138</v>
      </c>
      <c r="T13" s="3183">
        <f>ROUND(IF([3]项目基本情况!B8="出让",SUMPRODUCT(PRODUCT(1+M13:M16)),SUMPRODUCT(PRODUCT(1+M13:M15))),4)</f>
        <v>1.0072000000000001</v>
      </c>
      <c r="U13" s="3183">
        <f>ROUND(IF([3]项目基本情况!B8="出让",SUMPRODUCT(PRODUCT(1+N13:N16)),SUMPRODUCT(PRODUCT(1+N13:N15))),4)</f>
        <v>1.0262</v>
      </c>
      <c r="V13" s="3183">
        <f>ROUND(IF([3]项目基本情况!B8="出让",SUMPRODUCT(PRODUCT(1+O13:O16)),SUMPRODUCT(PRODUCT(1+O13:O15))),4)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ROUND(IF([3]项目基本情况!B8="出让",SUMPRODUCT(PRODUCT(1+K14:K16)),SUMPRODUCT(PRODUCT(1+K14:K15))),4)</f>
        <v>1.0139</v>
      </c>
      <c r="S14" s="3183">
        <f>ROUND(IF([3]项目基本情况!B8="出让",SUMPRODUCT(PRODUCT(1+L14:L16)),SUMPRODUCT(PRODUCT(1+L14:L15))),4)</f>
        <v>1.0113000000000001</v>
      </c>
      <c r="T14" s="3183">
        <f>ROUND(IF([3]项目基本情况!B8="出让",SUMPRODUCT(PRODUCT(1+M14:M16)),SUMPRODUCT(PRODUCT(1+M14:M15))),4)</f>
        <v>1.0065</v>
      </c>
      <c r="U14" s="3183">
        <f>ROUND(IF([3]项目基本情况!B8="出让",SUMPRODUCT(PRODUCT(1+N14:N16)),SUMPRODUCT(PRODUCT(1+N14:N15))),4)</f>
        <v>1.0143</v>
      </c>
      <c r="V14" s="3183">
        <f>ROUND(IF([3]项目基本情况!B8="出让",SUMPRODUCT(PRODUCT(1+O14:O16)),SUMPRODUCT(PRODUCT(1+O14:O15))),4)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ROUND(IF([3]项目基本情况!B8="出让",SUMPRODUCT(PRODUCT(1+K15:K16)),SUMPRODUCT(PRODUCT(1+K15:K15))),4)</f>
        <v>1.0092000000000001</v>
      </c>
      <c r="S15" s="3183">
        <f>ROUND(IF([3]项目基本情况!B8="出让",SUMPRODUCT(PRODUCT(1+L15:L16)),SUMPRODUCT(PRODUCT(1+L15:L15))),4)</f>
        <v>1.0072000000000001</v>
      </c>
      <c r="T15" s="3183">
        <f>ROUND(IF([3]项目基本情况!B8="出让",SUMPRODUCT(PRODUCT(1+M15:M16)),SUMPRODUCT(PRODUCT(1+M15:M15))),4)</f>
        <v>1.0041</v>
      </c>
      <c r="U15" s="3183">
        <f>ROUND(IF([3]项目基本情况!B8="出让",SUMPRODUCT(PRODUCT(1+N15:N16)),SUMPRODUCT(PRODUCT(1+N15:N15))),4)</f>
        <v>1.0095000000000001</v>
      </c>
      <c r="V15" s="3183">
        <f>ROUND(IF([3]项目基本情况!B8="出让",SUMPRODUCT(PRODUCT(1+O15:O16)),SUMPRODUCT(PRODUCT(1+O15:O15))),4)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896" t="s">
        <v>2833</v>
      </c>
      <c r="S21" s="3897"/>
      <c r="T21" s="3897"/>
      <c r="U21" s="3897"/>
      <c r="V21" s="3897"/>
      <c r="W21" s="3897"/>
      <c r="X21" s="3165"/>
      <c r="Y21" s="3896" t="s">
        <v>2834</v>
      </c>
      <c r="Z21" s="3897"/>
      <c r="AA21" s="3897"/>
      <c r="AB21" s="3897"/>
      <c r="AC21" s="3897"/>
      <c r="AD21" s="389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ROUND(IF([3]项目基本情况!$B$8="出让",SUMPRODUCT(PRODUCT(1+L25:L$36)),SUMPRODUCT(PRODUCT(1+L25:L$35))),4)</f>
        <v>1.0286999999999999</v>
      </c>
      <c r="T25" s="3183">
        <f>ROUND(IF([3]项目基本情况!$B$8="出让",SUMPRODUCT(PRODUCT(1+M25:M$36)),SUMPRODUCT(PRODUCT(1+M25:M$35))),4)</f>
        <v>1.0164</v>
      </c>
      <c r="U25" s="3183">
        <f>ROUND(IF([3]项目基本情况!$B$8="出让",SUMPRODUCT(PRODUCT(1+N25:N$36)),SUMPRODUCT(PRODUCT(1+N25:N$35))),4)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ROUND(IF([3]项目基本情况!$B$8="出让",SUMPRODUCT(PRODUCT(1+L26:L$36)),SUMPRODUCT(PRODUCT(1+L26:L$35))),4)</f>
        <v>1.0286999999999999</v>
      </c>
      <c r="T26" s="3183">
        <f>ROUND(IF([3]项目基本情况!$B$8="出让",SUMPRODUCT(PRODUCT(1+M26:M$36)),SUMPRODUCT(PRODUCT(1+M26:M$35))),4)</f>
        <v>1.0164</v>
      </c>
      <c r="U26" s="3183">
        <f>ROUND(IF([3]项目基本情况!$B$8="出让",SUMPRODUCT(PRODUCT(1+N26:N$36)),SUMPRODUCT(PRODUCT(1+N26:N$35))),4)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ROUND(IF([3]项目基本情况!$B$8="出让",SUMPRODUCT(PRODUCT(1+L27:L$36)),SUMPRODUCT(PRODUCT(1+L27:L$35))),4)</f>
        <v>1.0286999999999999</v>
      </c>
      <c r="T27" s="3183">
        <f>ROUND(IF([3]项目基本情况!$B$8="出让",SUMPRODUCT(PRODUCT(1+M27:M$36)),SUMPRODUCT(PRODUCT(1+M27:M$35))),4)</f>
        <v>1.0164</v>
      </c>
      <c r="U27" s="3183">
        <f>ROUND(IF([3]项目基本情况!$B$8="出让",SUMPRODUCT(PRODUCT(1+N27:N$36)),SUMPRODUCT(PRODUCT(1+N27:N$35))),4)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ROUND(IF([3]项目基本情况!$B$8="出让",SUMPRODUCT(PRODUCT(1+L28:L$36)),SUMPRODUCT(PRODUCT(1+L28:L$35))),4)</f>
        <v>1.0286999999999999</v>
      </c>
      <c r="T28" s="3183">
        <f>ROUND(IF([3]项目基本情况!$B$8="出让",SUMPRODUCT(PRODUCT(1+M28:M$36)),SUMPRODUCT(PRODUCT(1+M28:M$35))),4)</f>
        <v>1.0164</v>
      </c>
      <c r="U28" s="3183">
        <f>ROUND(IF([3]项目基本情况!$B$8="出让",SUMPRODUCT(PRODUCT(1+N28:N$36)),SUMPRODUCT(PRODUCT(1+N28:N$35))),4)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ROUND(IF([3]项目基本情况!$B$8="出让",SUMPRODUCT(PRODUCT(1+L29:L$36)),SUMPRODUCT(PRODUCT(1+L29:L$35))),4)</f>
        <v>1.0286999999999999</v>
      </c>
      <c r="T29" s="3192">
        <f>ROUND(IF([3]项目基本情况!$B$8="出让",SUMPRODUCT(PRODUCT(1+M29:M$36)),SUMPRODUCT(PRODUCT(1+M29:M$35))),4)</f>
        <v>1.0164</v>
      </c>
      <c r="U29" s="3192">
        <f>ROUND(IF([3]项目基本情况!$B$8="出让",SUMPRODUCT(PRODUCT(1+N29:N$36)),SUMPRODUCT(PRODUCT(1+N29:N$35))),4)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ROUND(IF([3]项目基本情况!$B$8="出让",SUMPRODUCT(PRODUCT(1+L30:L$36)),SUMPRODUCT(PRODUCT(1+L30:L$35))),4)</f>
        <v>1.0241</v>
      </c>
      <c r="T30" s="3183">
        <f>ROUND(IF([3]项目基本情况!$B$8="出让",SUMPRODUCT(PRODUCT(1+M30:M$36)),SUMPRODUCT(PRODUCT(1+M30:M$35))),4)</f>
        <v>1.0144</v>
      </c>
      <c r="U30" s="3183">
        <f>ROUND(IF([3]项目基本情况!$B$8="出让",SUMPRODUCT(PRODUCT(1+N30:N$36)),SUMPRODUCT(PRODUCT(1+N30:N$35))),4)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ROUND(IF([3]项目基本情况!$B$8="出让",SUMPRODUCT(PRODUCT(1+L31:L$36)),SUMPRODUCT(PRODUCT(1+L31:L$35))),4)</f>
        <v>1.0210999999999999</v>
      </c>
      <c r="T31" s="3183">
        <f>ROUND(IF([3]项目基本情况!$B$8="出让",SUMPRODUCT(PRODUCT(1+M31:M$36)),SUMPRODUCT(PRODUCT(1+M31:M$35))),4)</f>
        <v>1.0114000000000001</v>
      </c>
      <c r="U31" s="3183">
        <f>ROUND(IF([3]项目基本情况!$B$8="出让",SUMPRODUCT(PRODUCT(1+N31:N$36)),SUMPRODUCT(PRODUCT(1+N31:N$35))),4)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ROUND(IF([3]项目基本情况!$B$8="出让",SUMPRODUCT(PRODUCT(1+L32:L$36)),SUMPRODUCT(PRODUCT(1+L32:L$35))),4)</f>
        <v>1.0222</v>
      </c>
      <c r="T32" s="3183">
        <f>ROUND(IF([3]项目基本情况!$B$8="出让",SUMPRODUCT(PRODUCT(1+M32:M$36)),SUMPRODUCT(PRODUCT(1+M32:M$35))),4)</f>
        <v>1.0127999999999999</v>
      </c>
      <c r="U32" s="3183">
        <f>ROUND(IF([3]项目基本情况!$B$8="出让",SUMPRODUCT(PRODUCT(1+N32:N$36)),SUMPRODUCT(PRODUCT(1+N32:N$35))),4)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ROUND(IF([3]项目基本情况!$B$8="出让",SUMPRODUCT(PRODUCT(1+L33:L$36)),SUMPRODUCT(PRODUCT(1+L33:L$35))),4)</f>
        <v>1.0161</v>
      </c>
      <c r="T33" s="3183">
        <f>ROUND(IF([3]项目基本情况!$B$8="出让",SUMPRODUCT(PRODUCT(1+M33:M$36)),SUMPRODUCT(PRODUCT(1+M33:M$35))),4)</f>
        <v>1.0082</v>
      </c>
      <c r="U33" s="3183">
        <f>ROUND(IF([3]项目基本情况!$B$8="出让",SUMPRODUCT(PRODUCT(1+N33:N$36)),SUMPRODUCT(PRODUCT(1+N33:N$35))),4)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ROUND(IF([3]项目基本情况!$B$8="出让",SUMPRODUCT(PRODUCT(1+L34:L$36)),SUMPRODUCT(PRODUCT(1+L34:L$35))),4)</f>
        <v>1.0102</v>
      </c>
      <c r="T34" s="3183">
        <f>ROUND(IF([3]项目基本情况!$B$8="出让",SUMPRODUCT(PRODUCT(1+M34:M$36)),SUMPRODUCT(PRODUCT(1+M34:M$35))),4)</f>
        <v>1.0074000000000001</v>
      </c>
      <c r="U34" s="3183">
        <f>ROUND(IF([3]项目基本情况!$B$8="出让",SUMPRODUCT(PRODUCT(1+N34:N$36)),SUMPRODUCT(PRODUCT(1+N34:N$35))),4)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ROUND(IF([3]项目基本情况!$B$8="出让",SUMPRODUCT(PRODUCT(1+L35:L$36)),SUMPRODUCT(PRODUCT(1+L35:L$35))),4)</f>
        <v>1.0055000000000001</v>
      </c>
      <c r="T35" s="3183">
        <f>ROUND(IF([3]项目基本情况!$B$8="出让",SUMPRODUCT(PRODUCT(1+M35:M$36)),SUMPRODUCT(PRODUCT(1+M35:M$35))),4)</f>
        <v>1.0045999999999999</v>
      </c>
      <c r="U35" s="3183">
        <f>ROUND(IF([3]项目基本情况!$B$8="出让",SUMPRODUCT(PRODUCT(1+N35:N$36)),SUMPRODUCT(PRODUCT(1+N35:N$35))),4)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N51:N65"/>
  <sheetViews>
    <sheetView zoomScale="115" zoomScaleNormal="115" workbookViewId="0">
      <selection activeCell="L31" sqref="L31"/>
    </sheetView>
  </sheetViews>
  <sheetFormatPr defaultRowHeight="13.5"/>
  <sheetData>
    <row r="51" spans="14:14">
      <c r="N51">
        <f>7800/72/30</f>
        <v>3.6111111111111112</v>
      </c>
    </row>
    <row r="65" spans="14:14">
      <c r="N65">
        <f>10000/69.51/30</f>
        <v>4.7954730734186919</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03" t="s">
        <v>452</v>
      </c>
      <c r="C1" s="3903"/>
      <c r="D1" s="3903"/>
      <c r="E1" s="3903"/>
      <c r="F1" s="3903"/>
      <c r="G1" s="3899" t="s">
        <v>453</v>
      </c>
      <c r="H1" s="3899"/>
      <c r="I1" s="3899"/>
      <c r="J1" s="3899"/>
      <c r="K1" s="3899"/>
      <c r="L1" s="3899"/>
      <c r="N1" s="3899" t="s">
        <v>454</v>
      </c>
      <c r="O1" s="3899"/>
      <c r="P1" s="3899"/>
      <c r="Q1" s="3899"/>
      <c r="S1" s="3899" t="s">
        <v>455</v>
      </c>
      <c r="T1" s="3899"/>
      <c r="U1" s="3899"/>
      <c r="V1" s="3899"/>
      <c r="X1" s="3898" t="s">
        <v>456</v>
      </c>
      <c r="Y1" s="3899"/>
      <c r="Z1" s="3899"/>
      <c r="AA1" s="3899"/>
      <c r="AB1" s="3899"/>
      <c r="AD1" s="3898" t="s">
        <v>457</v>
      </c>
      <c r="AE1" s="3899"/>
      <c r="AF1" s="3899"/>
      <c r="AG1" s="3899"/>
      <c r="AH1" s="38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0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0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0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0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0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0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0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0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0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0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0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0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0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0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0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0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0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0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0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0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0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0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0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0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0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0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0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0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0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0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0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0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0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0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0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0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0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0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0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0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0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0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0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0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0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0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0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0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0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0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0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0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0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0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0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0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0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0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0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0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4" t="str">
        <f>IF(项目基本情况!B9="房地产市场价值","估价结果一览表","结果表-2")</f>
        <v>结果表-2</v>
      </c>
      <c r="B1" s="3534"/>
      <c r="C1" s="3534"/>
      <c r="D1" s="3534"/>
      <c r="E1" s="3534"/>
      <c r="F1" s="3534"/>
      <c r="G1" s="3534"/>
      <c r="H1" s="3534"/>
      <c r="I1" s="3534"/>
    </row>
    <row r="2" spans="1:9" ht="30" customHeight="1" thickTop="1">
      <c r="A2" s="3535" t="s">
        <v>928</v>
      </c>
      <c r="B2" s="3535" t="s">
        <v>929</v>
      </c>
      <c r="C2" s="3535" t="s">
        <v>930</v>
      </c>
      <c r="D2" s="3535" t="str">
        <f>结果表!D116</f>
        <v>出让国有建设用地使用权价值</v>
      </c>
      <c r="E2" s="3535"/>
      <c r="F2" s="3535" t="str">
        <f>结果表!F116</f>
        <v>在建建筑物价值</v>
      </c>
      <c r="G2" s="3535"/>
      <c r="H2" s="3535" t="str">
        <f>IF(项目基本情况!B9="房地产市场价值","房地产市场价值","房地产价值")</f>
        <v>房地产价值</v>
      </c>
      <c r="I2" s="3535"/>
    </row>
    <row r="3" spans="1:9" ht="15">
      <c r="A3" s="3536"/>
      <c r="B3" s="3536"/>
      <c r="C3" s="3536"/>
      <c r="D3" s="854" t="s">
        <v>925</v>
      </c>
      <c r="E3" s="854" t="s">
        <v>931</v>
      </c>
      <c r="F3" s="854" t="s">
        <v>925</v>
      </c>
      <c r="G3" s="854" t="s">
        <v>926</v>
      </c>
      <c r="H3" s="854" t="s">
        <v>925</v>
      </c>
      <c r="I3" s="854" t="s">
        <v>926</v>
      </c>
    </row>
    <row r="4" spans="1:9" ht="15">
      <c r="A4" s="1505" t="str">
        <f>项目基本情况!S2</f>
        <v>北京市房地产</v>
      </c>
      <c r="B4" s="854">
        <f>项目基本情况!C17</f>
        <v>512.87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36" t="s">
        <v>927</v>
      </c>
      <c r="B5" s="3536"/>
      <c r="C5" s="3536"/>
      <c r="D5" s="3536" t="e">
        <f ca="1">结果表!D119</f>
        <v>#REF!</v>
      </c>
      <c r="E5" s="3536"/>
      <c r="F5" s="3536" t="e">
        <f ca="1">结果表!F119</f>
        <v>#REF!</v>
      </c>
      <c r="G5" s="3536"/>
      <c r="H5" s="3536" t="e">
        <f ca="1">结果表!H119</f>
        <v>#REF!</v>
      </c>
      <c r="I5" s="3536"/>
    </row>
    <row r="6" spans="1:9" ht="15.75">
      <c r="A6" s="3537" t="str">
        <f>结果表!A120</f>
        <v>估价师知悉的法定优先受偿款</v>
      </c>
      <c r="B6" s="3537"/>
      <c r="C6" s="3537"/>
      <c r="D6" s="3537">
        <f>结果表!D120</f>
        <v>0</v>
      </c>
      <c r="E6" s="3537"/>
      <c r="F6" s="3537"/>
      <c r="G6" s="3537"/>
      <c r="H6" s="3537"/>
      <c r="I6" s="3537"/>
    </row>
    <row r="7" spans="1:9" ht="15">
      <c r="A7" s="3536" t="s">
        <v>927</v>
      </c>
      <c r="B7" s="3536"/>
      <c r="C7" s="3536"/>
      <c r="D7" s="3538" t="str">
        <f>结果表!D121</f>
        <v>零元整</v>
      </c>
      <c r="E7" s="3539"/>
      <c r="F7" s="3539"/>
      <c r="G7" s="3539"/>
      <c r="H7" s="3539"/>
      <c r="I7" s="3540"/>
    </row>
    <row r="8" spans="1:9" ht="15.75">
      <c r="A8" s="3537" t="str">
        <f>结果表!A122</f>
        <v>房地产抵押价值</v>
      </c>
      <c r="B8" s="3537"/>
      <c r="C8" s="3537"/>
      <c r="D8" s="3537" t="e">
        <f ca="1">结果表!D122</f>
        <v>#REF!</v>
      </c>
      <c r="E8" s="3537"/>
      <c r="F8" s="3537"/>
      <c r="G8" s="3537"/>
      <c r="H8" s="3537"/>
      <c r="I8" s="3537"/>
    </row>
    <row r="9" spans="1:9" ht="15">
      <c r="A9" s="3536" t="s">
        <v>927</v>
      </c>
      <c r="B9" s="3536"/>
      <c r="C9" s="3536"/>
      <c r="D9" s="3536" t="e">
        <f ca="1">结果表!D123</f>
        <v>#REF!</v>
      </c>
      <c r="E9" s="3536"/>
      <c r="F9" s="3536"/>
      <c r="G9" s="3536"/>
      <c r="H9" s="3536"/>
      <c r="I9" s="3536"/>
    </row>
    <row r="10" spans="1:9" ht="15.75">
      <c r="A10" s="3537" t="str">
        <f>结果表!A124</f>
        <v/>
      </c>
      <c r="B10" s="3537"/>
      <c r="C10" s="3537"/>
      <c r="D10" s="3537" t="str">
        <f>结果表!D124</f>
        <v>——</v>
      </c>
      <c r="E10" s="3537"/>
      <c r="F10" s="3537"/>
      <c r="G10" s="3537"/>
      <c r="H10" s="3537"/>
      <c r="I10" s="3537"/>
    </row>
    <row r="11" spans="1:9" ht="15">
      <c r="A11" s="3536" t="s">
        <v>927</v>
      </c>
      <c r="B11" s="3536"/>
      <c r="C11" s="3536"/>
      <c r="D11" s="3536" t="e">
        <f>结果表!D125</f>
        <v>#VALUE!</v>
      </c>
      <c r="E11" s="3536"/>
      <c r="F11" s="3536"/>
      <c r="G11" s="3536"/>
      <c r="H11" s="3536"/>
      <c r="I11" s="3536"/>
    </row>
    <row r="12" spans="1:9" ht="15.75">
      <c r="A12" s="3537" t="str">
        <f>结果表!A126</f>
        <v/>
      </c>
      <c r="B12" s="3537"/>
      <c r="C12" s="3537"/>
      <c r="D12" s="3537" t="str">
        <f>结果表!D126</f>
        <v>——</v>
      </c>
      <c r="E12" s="3537"/>
      <c r="F12" s="3537"/>
      <c r="G12" s="3537"/>
      <c r="H12" s="3537"/>
      <c r="I12" s="3537"/>
    </row>
    <row r="13" spans="1:9" ht="15.75" thickBot="1">
      <c r="A13" s="3541" t="s">
        <v>927</v>
      </c>
      <c r="B13" s="3541"/>
      <c r="C13" s="3541"/>
      <c r="D13" s="3541" t="e">
        <f>结果表!D127</f>
        <v>#VALUE!</v>
      </c>
      <c r="E13" s="3541"/>
      <c r="F13" s="3541"/>
      <c r="G13" s="3541"/>
      <c r="H13" s="3541"/>
      <c r="I13" s="3541"/>
    </row>
    <row r="14" spans="1:9" ht="15" thickTop="1">
      <c r="A14" s="3542" t="s">
        <v>932</v>
      </c>
      <c r="B14" s="3542"/>
      <c r="C14" s="3542"/>
      <c r="D14" s="3542"/>
      <c r="E14" s="3542"/>
      <c r="F14" s="3542"/>
      <c r="G14" s="3542"/>
      <c r="H14" s="3542"/>
      <c r="I14" s="354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3" t="s">
        <v>949</v>
      </c>
      <c r="B1" s="3543"/>
      <c r="C1" s="3543"/>
      <c r="D1" s="3543"/>
    </row>
    <row r="2" spans="1:4" ht="18">
      <c r="A2" s="3544" t="s">
        <v>933</v>
      </c>
      <c r="B2" s="3544"/>
      <c r="C2" s="3544"/>
      <c r="D2" s="354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44" t="s">
        <v>939</v>
      </c>
      <c r="B6" s="3544"/>
      <c r="C6" s="3544"/>
      <c r="D6" s="354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45" t="s">
        <v>942</v>
      </c>
      <c r="B11" s="3546"/>
      <c r="C11" s="3546"/>
      <c r="D11" s="3546"/>
    </row>
    <row r="12" spans="1:4" ht="15.75">
      <c r="A12" s="35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7"/>
      <c r="C12" s="3547"/>
      <c r="D12" s="3547"/>
    </row>
    <row r="13" spans="1:4" ht="30" customHeight="1">
      <c r="A13" s="3546" t="str">
        <f>IF(项目基本情况!B8="抵押","3.抵押双方在办理抵押登记手续时，应使用本公司出具的正式《房地产评估报告》，特提醒报告使用者注意。","——")</f>
        <v>——</v>
      </c>
      <c r="B13" s="3547"/>
      <c r="C13" s="3547"/>
      <c r="D13" s="3547"/>
    </row>
    <row r="14" spans="1:4" ht="15.75" customHeight="1">
      <c r="A14" s="3546" t="str">
        <f>IF(项目基本情况!B8="抵押","4.本次评估估价师所知悉的法定优先受偿款情况说明如下：","——")</f>
        <v>——</v>
      </c>
      <c r="B14" s="3547"/>
      <c r="C14" s="3547"/>
      <c r="D14" s="3547"/>
    </row>
    <row r="15" spans="1:4" ht="42" customHeight="1">
      <c r="A15" s="3546" t="str">
        <f>IF(项目基本情况!B8="抵押","（1）"&amp;CONCATENATE(项目基本情况!L20,项目基本情况!L21,项目基本情况!L22),"——")</f>
        <v>——</v>
      </c>
      <c r="B15" s="3546"/>
      <c r="C15" s="3546"/>
      <c r="D15" s="3546"/>
    </row>
    <row r="16" spans="1:4" ht="30" customHeight="1">
      <c r="A16" s="3549" t="s">
        <v>943</v>
      </c>
      <c r="B16" s="3549"/>
      <c r="C16" s="3549"/>
      <c r="D16" s="3549"/>
    </row>
    <row r="17" spans="1:4" ht="144" customHeight="1">
      <c r="A17" s="3549" t="s">
        <v>944</v>
      </c>
      <c r="B17" s="3549"/>
      <c r="C17" s="3549"/>
      <c r="D17" s="3549"/>
    </row>
    <row r="18" spans="1:4" ht="15.75" customHeight="1">
      <c r="A18" s="3546" t="str">
        <f>IF(项目基本情况!B8="抵押",结果表!K120,"——")</f>
        <v>——</v>
      </c>
      <c r="B18" s="3546"/>
      <c r="C18" s="3546"/>
      <c r="D18" s="3546"/>
    </row>
    <row r="19" spans="1:4" ht="46.5" customHeight="1">
      <c r="A19" s="35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6"/>
      <c r="C19" s="3546"/>
      <c r="D19" s="3546"/>
    </row>
    <row r="20" spans="1:4" ht="57.75" customHeight="1">
      <c r="A20" s="35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6"/>
      <c r="C20" s="3546"/>
      <c r="D20" s="3546"/>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0"/>
      <c r="C21" s="3550"/>
      <c r="D21" s="3550"/>
    </row>
    <row r="22" spans="1:4" ht="18.75" customHeight="1">
      <c r="A22" s="3551" t="s">
        <v>945</v>
      </c>
      <c r="B22" s="3551"/>
      <c r="C22" s="3551"/>
      <c r="D22" s="355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8">
        <v>42551</v>
      </c>
      <c r="D31" s="35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7" t="s">
        <v>956</v>
      </c>
      <c r="B15" s="3552" t="s">
        <v>109</v>
      </c>
      <c r="C15" s="3553"/>
    </row>
    <row r="16" spans="1:7" ht="13.5">
      <c r="A16" s="3558"/>
      <c r="B16" s="3552" t="s">
        <v>42</v>
      </c>
      <c r="C16" s="3553"/>
    </row>
    <row r="17" spans="1:3" ht="13.5">
      <c r="A17" s="3558"/>
      <c r="B17" s="3555" t="s">
        <v>957</v>
      </c>
      <c r="C17" s="1532" t="s">
        <v>956</v>
      </c>
    </row>
    <row r="18" spans="1:3" ht="13.5">
      <c r="A18" s="3558"/>
      <c r="B18" s="3555"/>
      <c r="C18" s="1532" t="s">
        <v>958</v>
      </c>
    </row>
    <row r="19" spans="1:3" ht="13.5">
      <c r="A19" s="3558"/>
      <c r="B19" s="3555"/>
      <c r="C19" s="1532" t="s">
        <v>959</v>
      </c>
    </row>
    <row r="20" spans="1:3" ht="13.5">
      <c r="A20" s="3559"/>
      <c r="B20" s="3554" t="s">
        <v>960</v>
      </c>
      <c r="C20" s="3553"/>
    </row>
    <row r="21" spans="1:3" ht="13.5">
      <c r="A21" s="1533" t="s">
        <v>961</v>
      </c>
      <c r="B21" s="1534"/>
      <c r="C21" s="1535"/>
    </row>
    <row r="22" spans="1:3" ht="13.5">
      <c r="A22" s="3556" t="s">
        <v>962</v>
      </c>
      <c r="B22" s="3554" t="s">
        <v>963</v>
      </c>
      <c r="C22" s="3553"/>
    </row>
    <row r="23" spans="1:3" ht="13.5">
      <c r="A23" s="3556"/>
      <c r="B23" s="3554" t="s">
        <v>964</v>
      </c>
      <c r="C23" s="3553"/>
    </row>
    <row r="24" spans="1:3" ht="13.5">
      <c r="A24" s="3556"/>
      <c r="B24" s="3554" t="s">
        <v>965</v>
      </c>
      <c r="C24" s="3553"/>
    </row>
    <row r="25" spans="1:3" ht="13.5">
      <c r="A25" s="3556"/>
      <c r="B25" s="3555" t="s">
        <v>966</v>
      </c>
      <c r="C25" s="1532" t="s">
        <v>967</v>
      </c>
    </row>
    <row r="26" spans="1:3" ht="13.5">
      <c r="A26" s="3556"/>
      <c r="B26" s="3555"/>
      <c r="C26" s="1532" t="s">
        <v>968</v>
      </c>
    </row>
    <row r="27" spans="1:3" ht="13.5">
      <c r="A27" s="3556"/>
      <c r="B27" s="3555"/>
      <c r="C27" s="1532" t="s">
        <v>969</v>
      </c>
    </row>
    <row r="28" spans="1:3" ht="13.5">
      <c r="A28" s="3556"/>
      <c r="B28" s="3555"/>
      <c r="C28" s="1532" t="s">
        <v>970</v>
      </c>
    </row>
    <row r="29" spans="1:3" ht="13.5">
      <c r="A29" s="3556"/>
      <c r="B29" s="3555"/>
      <c r="C29" s="1532" t="s">
        <v>971</v>
      </c>
    </row>
    <row r="30" spans="1:3" ht="13.5">
      <c r="A30" s="3556"/>
      <c r="B30" s="3555"/>
      <c r="C30" s="1532" t="s">
        <v>972</v>
      </c>
    </row>
    <row r="31" spans="1:3" ht="13.5">
      <c r="A31" s="3556"/>
      <c r="B31" s="3555"/>
      <c r="C31" s="1532" t="s">
        <v>973</v>
      </c>
    </row>
    <row r="32" spans="1:3" ht="13.5">
      <c r="A32" s="3556"/>
      <c r="B32" s="3555"/>
      <c r="C32" s="1532" t="s">
        <v>974</v>
      </c>
    </row>
    <row r="33" spans="1:3" ht="13.5">
      <c r="A33" s="3556"/>
      <c r="B33" s="355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44992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0" t="s">
        <v>2160</v>
      </c>
      <c r="B17" s="3560"/>
      <c r="C17" s="3560"/>
      <c r="D17" s="3560"/>
      <c r="E17" s="3560"/>
      <c r="F17" s="3560"/>
      <c r="G17" s="3560"/>
      <c r="H17" s="3560"/>
    </row>
    <row r="18" spans="1:8" ht="24" customHeight="1">
      <c r="A18" s="3561" t="s">
        <v>2161</v>
      </c>
      <c r="B18" s="3561"/>
      <c r="C18" s="3561"/>
      <c r="D18" s="2343"/>
      <c r="E18" s="3562" t="s">
        <v>2162</v>
      </c>
      <c r="F18" s="3561"/>
      <c r="G18" s="356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结果一览表-</vt:lpstr>
      <vt:lpstr>比较法-办公-售价</vt:lpstr>
      <vt:lpstr>比较法-办公-租金</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Sheet3</vt:lpstr>
      <vt:lpstr>地价</vt:lpstr>
      <vt:lpstr>存贷款利率</vt:lpstr>
      <vt:lpstr>'比较法-办公-售价'!Print_Area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2023-03-07T08:30:11Z</dcterms:modified>
</cp:coreProperties>
</file>