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土地案例" sheetId="73" r:id="rId34"/>
    <sheet name="Sheet3"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G110"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C13" i="40"/>
  <c r="AC12" i="40"/>
  <c r="AB12" i="40"/>
  <c r="AA12" i="40"/>
  <c r="Z12" i="40"/>
  <c r="W12" i="40"/>
  <c r="U12" i="40"/>
  <c r="S12" i="40"/>
  <c r="Q12" i="40"/>
  <c r="J12" i="40"/>
  <c r="H12" i="40"/>
  <c r="F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C34" i="12"/>
  <c r="F33" i="12"/>
  <c r="D33" i="12"/>
  <c r="F29" i="12"/>
  <c r="G28" i="12"/>
  <c r="G27" i="12"/>
  <c r="G26" i="12"/>
  <c r="F25" i="12"/>
  <c r="C25" i="12"/>
  <c r="F24" i="12"/>
  <c r="F23" i="12"/>
  <c r="E22" i="12"/>
  <c r="D22" i="12"/>
  <c r="C22" i="12" s="1"/>
  <c r="E21" i="12"/>
  <c r="D21" i="12"/>
  <c r="C21" i="12" s="1"/>
  <c r="E19" i="12"/>
  <c r="F17" i="12"/>
  <c r="E16" i="12"/>
  <c r="D16" i="12"/>
  <c r="F15" i="12"/>
  <c r="C15" i="12"/>
  <c r="F14" i="12"/>
  <c r="C13" i="12"/>
  <c r="C14" i="12" s="1"/>
  <c r="K9" i="12"/>
  <c r="J9" i="12"/>
  <c r="I9" i="12"/>
  <c r="H9" i="12"/>
  <c r="G9" i="12"/>
  <c r="F9" i="12"/>
  <c r="E9" i="12"/>
  <c r="D9" i="12"/>
  <c r="C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N72" i="9"/>
  <c r="F72" i="9"/>
  <c r="F71" i="9"/>
  <c r="F70" i="9"/>
  <c r="N67" i="9"/>
  <c r="F66" i="9"/>
  <c r="E66" i="9"/>
  <c r="D66" i="9"/>
  <c r="K47" i="9"/>
  <c r="C46" i="9"/>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24" i="72"/>
  <c r="G21" i="72"/>
  <c r="F21" i="72"/>
  <c r="E21" i="72"/>
  <c r="D21" i="72"/>
  <c r="D20" i="72"/>
  <c r="D19" i="72"/>
  <c r="D18" i="72"/>
  <c r="D17" i="72"/>
  <c r="D16" i="72"/>
  <c r="N14" i="72"/>
  <c r="N13" i="72"/>
  <c r="L13" i="72"/>
  <c r="K13" i="72"/>
  <c r="J13" i="72"/>
  <c r="I13" i="72"/>
  <c r="H13" i="72"/>
  <c r="G13" i="72"/>
  <c r="F13" i="72"/>
  <c r="E13" i="72"/>
  <c r="D13" i="72"/>
  <c r="C13" i="72"/>
  <c r="B13" i="72"/>
  <c r="I12" i="72"/>
  <c r="C12" i="72"/>
  <c r="B12" i="72"/>
  <c r="I11" i="72"/>
  <c r="C11" i="72"/>
  <c r="B11" i="72"/>
  <c r="I10" i="72"/>
  <c r="C10" i="72"/>
  <c r="B10" i="72"/>
  <c r="I9" i="72"/>
  <c r="C9" i="72"/>
  <c r="B9" i="72"/>
  <c r="I8" i="72"/>
  <c r="C8" i="72"/>
  <c r="B8" i="72"/>
  <c r="I7" i="72"/>
  <c r="C7" i="72"/>
  <c r="B7" i="72"/>
  <c r="I6" i="72"/>
  <c r="C6" i="72"/>
  <c r="B6"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N6" i="65"/>
  <c r="I6" i="65"/>
  <c r="J5" i="65"/>
  <c r="N4" i="65"/>
  <c r="I4" i="65"/>
  <c r="N3" i="65"/>
  <c r="I3" i="65"/>
  <c r="F43" i="15"/>
  <c r="F40" i="15"/>
  <c r="F36" i="15"/>
  <c r="M28" i="15"/>
  <c r="M24" i="15"/>
  <c r="M22" i="15"/>
  <c r="F9" i="15"/>
  <c r="F8" i="15"/>
  <c r="N7" i="65"/>
  <c r="I7" i="65"/>
  <c r="J6" i="65"/>
  <c r="N5" i="65"/>
  <c r="I5" i="65"/>
  <c r="J4" i="65"/>
  <c r="J3" i="65"/>
  <c r="L48" i="15"/>
  <c r="L47" i="15"/>
  <c r="F42" i="15"/>
  <c r="F38" i="15"/>
  <c r="F37" i="15"/>
  <c r="J36" i="15"/>
  <c r="F35" i="15"/>
  <c r="M29" i="15"/>
  <c r="M27" i="15"/>
  <c r="M26" i="15"/>
  <c r="F26" i="15"/>
  <c r="M23" i="15"/>
  <c r="M21" i="15"/>
  <c r="F16" i="15"/>
  <c r="J15" i="15"/>
  <c r="C14" i="15"/>
  <c r="F13" i="15"/>
  <c r="M9" i="15"/>
  <c r="M8" i="15"/>
  <c r="M6" i="15"/>
  <c r="F6" i="15"/>
  <c r="L49" i="44"/>
  <c r="L48" i="44"/>
  <c r="F46" i="44"/>
  <c r="F43" i="44"/>
  <c r="M30" i="44"/>
  <c r="M26" i="44"/>
  <c r="M24" i="44"/>
  <c r="F11" i="44"/>
  <c r="F10" i="44"/>
  <c r="F9" i="44"/>
  <c r="E14" i="67"/>
  <c r="F13" i="67"/>
  <c r="B13" i="67"/>
  <c r="E12" i="67"/>
  <c r="F11" i="67"/>
  <c r="B11" i="67"/>
  <c r="E10" i="67"/>
  <c r="F9" i="67"/>
  <c r="B9" i="67"/>
  <c r="E8" i="67"/>
  <c r="F7" i="67"/>
  <c r="B7" i="67"/>
  <c r="F7"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C20" i="9"/>
  <c r="C19" i="9"/>
  <c r="C21" i="9"/>
  <c r="C20" i="12" l="1"/>
  <c r="L43" i="9"/>
  <c r="E3" i="67"/>
  <c r="C8" i="44"/>
  <c r="C20" i="44"/>
  <c r="C17" i="44"/>
  <c r="J22" i="44"/>
  <c r="C29" i="44"/>
  <c r="C36" i="44"/>
  <c r="F49" i="15"/>
  <c r="M7" i="15"/>
  <c r="B2" i="67"/>
  <c r="E4" i="67"/>
  <c r="M9" i="44"/>
  <c r="J8" i="44" s="1"/>
  <c r="Q73" i="44"/>
  <c r="L60" i="44"/>
  <c r="L59" i="44"/>
  <c r="L57" i="44"/>
  <c r="J60" i="44"/>
  <c r="J58" i="44"/>
  <c r="J56" i="44" s="1"/>
  <c r="J59" i="44" s="1"/>
  <c r="Q52" i="44" s="1"/>
  <c r="I55" i="44"/>
  <c r="J54" i="44"/>
  <c r="C6" i="15"/>
  <c r="F48" i="15"/>
  <c r="J6" i="15"/>
  <c r="C18" i="15"/>
  <c r="C15" i="15"/>
  <c r="J20" i="15"/>
  <c r="C27" i="15"/>
  <c r="F62" i="15"/>
  <c r="C61" i="15" s="1"/>
  <c r="C34" i="15"/>
  <c r="Q72" i="15"/>
  <c r="F64" i="15"/>
  <c r="F65" i="15"/>
  <c r="L59" i="15"/>
  <c r="L58" i="15"/>
  <c r="L60" i="15"/>
  <c r="J57" i="15"/>
  <c r="J55" i="15" s="1"/>
  <c r="J58" i="15" s="1"/>
  <c r="Q51" i="15" s="1"/>
  <c r="L56" i="15"/>
  <c r="L57" i="15"/>
  <c r="I54" i="15"/>
  <c r="J53" i="15"/>
  <c r="J1" i="65"/>
  <c r="I1" i="65"/>
  <c r="F50" i="15"/>
  <c r="F63" i="15"/>
  <c r="F67" i="15"/>
  <c r="F70" i="15"/>
  <c r="C4" i="65"/>
  <c r="B39" i="1" s="1"/>
  <c r="E4" i="52"/>
  <c r="E5" i="52"/>
  <c r="E6" i="52"/>
  <c r="E7" i="52"/>
  <c r="E8" i="52"/>
  <c r="E9" i="52"/>
  <c r="E10" i="52"/>
  <c r="C4" i="4" s="1"/>
  <c r="B20" i="55" s="1"/>
  <c r="B70" i="63" s="1"/>
  <c r="E11" i="52"/>
  <c r="E12" i="52"/>
  <c r="B14" i="52"/>
  <c r="B15" i="52"/>
  <c r="F46" i="9"/>
  <c r="D46" i="9"/>
  <c r="O41" i="9"/>
  <c r="R8" i="54" s="1"/>
  <c r="B54" i="63" s="1"/>
  <c r="K33" i="9"/>
  <c r="K34" i="9" s="1"/>
  <c r="D19" i="12"/>
  <c r="C19" i="12" s="1"/>
  <c r="C16" i="12"/>
  <c r="C17" i="12"/>
  <c r="B4" i="52"/>
  <c r="B5" i="52"/>
  <c r="B6" i="52"/>
  <c r="B7" i="52"/>
  <c r="B8" i="52"/>
  <c r="B9" i="52"/>
  <c r="B10" i="52"/>
  <c r="B11" i="52"/>
  <c r="B12" i="52"/>
  <c r="E13" i="52"/>
  <c r="E4" i="4" s="1"/>
  <c r="B21" i="55" s="1"/>
  <c r="B72" i="63" s="1"/>
  <c r="E46" i="9"/>
  <c r="C14" i="43"/>
  <c r="C17" i="43"/>
  <c r="E2" i="65"/>
  <c r="C18" i="44"/>
  <c r="C16" i="15"/>
  <c r="E3" i="65"/>
  <c r="C17" i="15"/>
  <c r="C18" i="12" l="1"/>
  <c r="J61" i="44"/>
  <c r="L47" i="44" s="1"/>
  <c r="C48" i="15"/>
  <c r="C60" i="15" s="1"/>
  <c r="C18" i="43"/>
  <c r="F17" i="11"/>
  <c r="C17" i="11" s="1"/>
  <c r="C19" i="11" s="1"/>
  <c r="B40" i="1"/>
  <c r="J21" i="44"/>
  <c r="J20" i="44"/>
  <c r="C21" i="44"/>
  <c r="C19" i="43"/>
  <c r="C21" i="43" s="1"/>
  <c r="C19" i="15"/>
  <c r="Q50" i="44"/>
  <c r="F11" i="15"/>
  <c r="C52" i="15" s="1"/>
  <c r="M11" i="15"/>
  <c r="J10" i="15" s="1"/>
  <c r="F13" i="44"/>
  <c r="C12" i="44" s="1"/>
  <c r="C7" i="44" s="1"/>
  <c r="M13" i="44"/>
  <c r="J12" i="44" s="1"/>
  <c r="J7" i="44" s="1"/>
  <c r="Q53" i="15"/>
  <c r="F1" i="15"/>
  <c r="C47" i="15"/>
  <c r="B4" i="67"/>
  <c r="B3" i="67"/>
  <c r="C35" i="44"/>
  <c r="C34" i="44"/>
  <c r="Q67" i="15"/>
  <c r="Q58" i="15"/>
  <c r="Q75" i="15"/>
  <c r="Q62" i="15"/>
  <c r="J19" i="15"/>
  <c r="J18" i="15"/>
  <c r="J5" i="15"/>
  <c r="C33" i="15"/>
  <c r="C32" i="15"/>
  <c r="Q54" i="44"/>
  <c r="F1" i="44"/>
  <c r="Q75" i="44"/>
  <c r="Q62" i="44"/>
  <c r="C23" i="12"/>
  <c r="Q61" i="15"/>
  <c r="Q74" i="15"/>
  <c r="Q63" i="44"/>
  <c r="Q76" i="44"/>
  <c r="AE6" i="1"/>
  <c r="F41" i="15" s="1"/>
  <c r="C10" i="15" l="1"/>
  <c r="C5" i="15" s="1"/>
  <c r="C38" i="15" s="1"/>
  <c r="F68" i="15"/>
  <c r="J28" i="44"/>
  <c r="J31" i="44" s="1"/>
  <c r="J26" i="44"/>
  <c r="J26" i="15"/>
  <c r="J29" i="15" s="1"/>
  <c r="J24" i="15"/>
  <c r="C59" i="15"/>
  <c r="C58" i="15" s="1"/>
  <c r="C65" i="15"/>
  <c r="C20" i="15"/>
  <c r="C26" i="15" s="1"/>
  <c r="C20" i="11"/>
  <c r="C21" i="11" s="1"/>
  <c r="C22" i="11" s="1"/>
  <c r="C23" i="11" s="1"/>
  <c r="B2" i="11" s="1"/>
  <c r="C31" i="15"/>
  <c r="J17" i="15"/>
  <c r="C33" i="44"/>
  <c r="C40" i="44"/>
  <c r="C22" i="44"/>
  <c r="C28" i="44" s="1"/>
  <c r="J19" i="44"/>
  <c r="F24" i="15"/>
  <c r="C24" i="15" s="1"/>
  <c r="F26" i="44"/>
  <c r="C26" i="44" s="1"/>
  <c r="L36" i="46"/>
  <c r="F20" i="43"/>
  <c r="F26" i="12"/>
  <c r="C27" i="12" s="1"/>
  <c r="D26" i="12" s="1"/>
  <c r="C32" i="12" s="1"/>
  <c r="D30" i="12" s="1"/>
  <c r="B5" i="11" l="1"/>
  <c r="B3" i="11"/>
  <c r="B4" i="11"/>
  <c r="D20" i="43"/>
  <c r="C20" i="43"/>
  <c r="C23" i="43" s="1"/>
  <c r="L37" i="46"/>
  <c r="P36" i="46"/>
  <c r="N36" i="46"/>
  <c r="Q36" i="46"/>
  <c r="O36" i="46"/>
  <c r="M36" i="46"/>
  <c r="C25" i="44"/>
  <c r="C31" i="44" s="1"/>
  <c r="C23" i="15"/>
  <c r="C29" i="15" s="1"/>
  <c r="Q67" i="44"/>
  <c r="Q58" i="44"/>
  <c r="Q49" i="44"/>
  <c r="Q55" i="44" s="1"/>
  <c r="C27" i="43" l="1"/>
  <c r="B2" i="43" s="1"/>
  <c r="B5" i="43" s="1"/>
  <c r="Q51" i="44"/>
  <c r="C38" i="44"/>
  <c r="J16" i="44"/>
  <c r="C15" i="44"/>
  <c r="P37" i="46"/>
  <c r="N37" i="46"/>
  <c r="Q37" i="46"/>
  <c r="O37" i="46"/>
  <c r="M37" i="46"/>
  <c r="B4" i="43"/>
  <c r="J14" i="15"/>
  <c r="C13" i="15"/>
  <c r="C56" i="15"/>
  <c r="C63" i="15" s="1"/>
  <c r="Q50" i="15"/>
  <c r="C36" i="15"/>
  <c r="J59" i="15"/>
  <c r="J60" i="15" s="1"/>
  <c r="B3" i="43" l="1"/>
  <c r="Q49" i="15"/>
  <c r="L46" i="15"/>
  <c r="Q71" i="15"/>
  <c r="C37" i="15"/>
  <c r="C30" i="15" s="1"/>
  <c r="C39" i="15" s="1"/>
  <c r="J35" i="15"/>
  <c r="C55" i="15"/>
  <c r="C64" i="15" s="1"/>
  <c r="C57" i="15" s="1"/>
  <c r="C66" i="15" s="1"/>
  <c r="C67" i="15" s="1"/>
  <c r="J15" i="44"/>
  <c r="J25" i="44" s="1"/>
  <c r="J24" i="44"/>
  <c r="J13" i="15"/>
  <c r="J23" i="15" s="1"/>
  <c r="J22" i="15"/>
  <c r="C39" i="44"/>
  <c r="C32" i="44" s="1"/>
  <c r="C42" i="44" s="1"/>
  <c r="Q72" i="44"/>
  <c r="C43" i="44"/>
  <c r="J16" i="15" l="1"/>
  <c r="J25" i="15" s="1"/>
  <c r="J18" i="44"/>
  <c r="J27" i="44" s="1"/>
  <c r="Q70" i="15"/>
  <c r="Q69" i="15" s="1"/>
  <c r="C40" i="15"/>
  <c r="H39" i="15"/>
  <c r="Q71" i="44"/>
  <c r="Q70" i="44" s="1"/>
  <c r="C44" i="44"/>
  <c r="C45" i="44" s="1"/>
  <c r="C46" i="15"/>
  <c r="C70" i="15"/>
  <c r="J39" i="15"/>
  <c r="J40" i="15" s="1"/>
  <c r="L51" i="15"/>
  <c r="Q68" i="15" l="1"/>
  <c r="L52" i="44"/>
  <c r="B2" i="44"/>
  <c r="Q66" i="15"/>
  <c r="Q76" i="15" s="1"/>
  <c r="Q57" i="15"/>
  <c r="Q63" i="15" s="1"/>
  <c r="Q48" i="15"/>
  <c r="Q54" i="15" s="1"/>
  <c r="C43" i="15"/>
  <c r="B2" i="15"/>
  <c r="J42" i="15"/>
  <c r="J43" i="15" s="1"/>
  <c r="B4" i="44" l="1"/>
  <c r="B5" i="44"/>
  <c r="B3" i="44"/>
  <c r="B3" i="15"/>
  <c r="C8" i="12" s="1"/>
  <c r="C10" i="12"/>
  <c r="C6" i="12" s="1"/>
  <c r="Q69" i="44"/>
  <c r="L58" i="44"/>
  <c r="L61" i="44" s="1"/>
  <c r="Q59" i="44" l="1"/>
  <c r="Q64" i="44" s="1"/>
  <c r="Q68" i="44"/>
  <c r="Q77" i="44" s="1"/>
  <c r="C29" i="12"/>
  <c r="C24" i="12"/>
  <c r="C35" i="12" l="1"/>
  <c r="C33" i="12" s="1"/>
  <c r="C28" i="12"/>
  <c r="C26" i="12" s="1"/>
  <c r="C31" i="12" s="1"/>
  <c r="C30" i="12" s="1"/>
  <c r="C36" i="12" l="1"/>
  <c r="B2" i="12" s="1"/>
  <c r="B5" i="12" s="1"/>
  <c r="D19" i="9"/>
  <c r="B4" i="12" l="1"/>
  <c r="L44" i="9"/>
  <c r="G19" i="9"/>
  <c r="N43" i="9" s="1"/>
  <c r="D22" i="9"/>
  <c r="B3" i="12"/>
  <c r="D21" i="9"/>
  <c r="D20" i="9"/>
  <c r="G22" i="9" l="1"/>
  <c r="C32" i="9"/>
  <c r="O43" i="9" s="1"/>
  <c r="G21" i="9"/>
  <c r="G20" i="9"/>
  <c r="C42" i="9"/>
  <c r="C33" i="9" l="1"/>
  <c r="N38" i="9" s="1"/>
  <c r="K28" i="9" s="1"/>
  <c r="O38" i="9"/>
  <c r="C35" i="9"/>
  <c r="F42" i="9" s="1"/>
  <c r="C34" i="9"/>
  <c r="M38" i="9"/>
  <c r="K27" i="9" s="1"/>
  <c r="E42" i="9"/>
  <c r="P5" i="54" s="1"/>
  <c r="B46" i="63" s="1"/>
  <c r="D42" i="9"/>
  <c r="Q5" i="54" s="1"/>
  <c r="B47" i="63" s="1"/>
  <c r="D63" i="9"/>
  <c r="C44" i="9"/>
  <c r="N68" i="9"/>
  <c r="R5" i="54"/>
  <c r="B48" i="63" s="1"/>
  <c r="K25" i="9"/>
  <c r="K26" i="9"/>
  <c r="N69" i="9" l="1"/>
  <c r="E44" i="9"/>
  <c r="O39" i="9"/>
  <c r="F44" i="9"/>
  <c r="D44" i="9"/>
  <c r="C111" i="9"/>
  <c r="C104" i="9" s="1"/>
  <c r="C103" i="9"/>
  <c r="C90" i="9"/>
  <c r="C82" i="9"/>
  <c r="C81" i="9" s="1"/>
  <c r="C85" i="9" s="1"/>
  <c r="C86" i="9" s="1"/>
  <c r="D72" i="9" s="1"/>
  <c r="D73" i="9"/>
  <c r="N73" i="9" s="1"/>
  <c r="C96" i="9"/>
  <c r="C91" i="9" s="1"/>
  <c r="D71" i="9"/>
  <c r="D70" i="9"/>
  <c r="C113" i="9" l="1"/>
  <c r="C114" i="9" s="1"/>
  <c r="E114" i="9" s="1"/>
  <c r="E115" i="9" s="1"/>
  <c r="K29" i="9"/>
  <c r="K30" i="9" s="1"/>
  <c r="R6" i="54"/>
  <c r="B50" i="63" s="1"/>
  <c r="M88" i="9"/>
  <c r="N88" i="9" s="1"/>
  <c r="M87" i="9"/>
  <c r="N87" i="9" s="1"/>
  <c r="M86" i="9"/>
  <c r="N86" i="9" s="1"/>
  <c r="M85" i="9"/>
  <c r="N85" i="9" s="1"/>
  <c r="M83" i="9"/>
  <c r="N83" i="9" s="1"/>
  <c r="M84" i="9"/>
  <c r="N84" i="9" s="1"/>
  <c r="C97" i="9"/>
  <c r="C98" i="9" l="1"/>
  <c r="E98" i="9" s="1"/>
  <c r="E99" i="9" s="1"/>
  <c r="N89" i="9"/>
  <c r="O89" i="9" s="1"/>
  <c r="C115" i="9"/>
  <c r="D76" i="9" s="1"/>
  <c r="D74" i="9" s="1"/>
  <c r="N74" i="9" s="1"/>
  <c r="O77" i="9" s="1"/>
  <c r="Q77" i="9" l="1"/>
  <c r="O78" i="9"/>
  <c r="O79" i="9"/>
  <c r="C9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<sst xmlns="http://schemas.openxmlformats.org/spreadsheetml/2006/main" count="7568" uniqueCount="2628">
  <si>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</si>
  <si>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</si>
  <si>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</si>
  <si>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</si>
  <si>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</si>
  <si>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</si>
  <si>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</si>
  <si>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</si>
  <si>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</si>
  <si>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</si>
  <si>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</si>
  <si>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</si>
  <si>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</si>
  <si>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</si>
  <si>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</si>
  <si>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</si>
  <si>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</si>
  <si>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</si>
  <si>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</si>
  <si>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</si>
  <si>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</si>
  <si>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</si>
  <si>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</si>
  <si>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</si>
  <si>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</si>
  <si>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</si>
  <si>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</si>
  <si>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</si>
  <si>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</si>
  <si>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</si>
  <si>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</si>
  <si>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</si>
  <si>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</si>
  <si>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</si>
  <si>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</si>
  <si>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</si>
  <si>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</si>
  <si>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</si>
  <si>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</si>
  <si>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</si>
  <si>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</si>
  <si>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</si>
  <si>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</si>
  <si>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</si>
  <si>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</si>
  <si>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</si>
  <si>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</si>
  <si>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</si>
  <si>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</si>
  <si>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</si>
  <si>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</si>
  <si>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</si>
  <si>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</si>
  <si>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</si>
  <si>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</si>
  <si>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</si>
  <si>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</si>
  <si>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</si>
  <si>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</si>
  <si>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</si>
  <si>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</si>
  <si>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</si>
  <si>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</si>
  <si>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</si>
  <si>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</si>
  <si>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</si>
  <si>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</si>
  <si>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</si>
  <si>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</si>
  <si>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</si>
  <si>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</si>
  <si>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</si>
  <si>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</si>
  <si>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</si>
  <si>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</si>
  <si>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</si>
  <si>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</si>
  <si>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</si>
  <si>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</si>
  <si>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</si>
  <si>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</si>
  <si>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</si>
  <si>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</si>
  <si>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</si>
  <si>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</si>
  <si>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</si>
  <si>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</si>
  <si>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</si>
  <si>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</si>
  <si>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</si>
  <si>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</si>
  <si>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</si>
  <si>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</si>
  <si>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</si>
  <si>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</si>
  <si>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</si>
  <si>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</si>
  <si>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</si>
  <si>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</si>
  <si>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</si>
  <si>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</si>
  <si>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</si>
  <si>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</si>
  <si>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</si>
  <si>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</si>
  <si>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</si>
  <si>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</si>
  <si>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</si>
  <si>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</si>
  <si>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</si>
  <si>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</si>
  <si>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</si>
  <si>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</si>
  <si>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</si>
  <si>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</si>
  <si>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</si>
  <si>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</si>
  <si>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</si>
  <si>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</si>
  <si>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</si>
  <si>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</si>
  <si>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</si>
  <si>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</si>
  <si>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</si>
  <si>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</si>
  <si>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</si>
  <si>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</si>
  <si>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</si>
  <si>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</si>
  <si>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</si>
  <si>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</si>
  <si>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</si>
  <si>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</si>
  <si>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</si>
  <si>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</si>
  <si>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</si>
  <si>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</si>
  <si>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</si>
  <si>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</si>
  <si>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</si>
  <si>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</si>
  <si>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</si>
  <si>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</si>
  <si>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</si>
  <si>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</si>
  <si>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</si>
  <si>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</si>
  <si>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</si>
  <si>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</si>
  <si>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</si>
  <si>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</si>
  <si>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</si>
  <si>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</si>
  <si>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</si>
  <si>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</si>
  <si>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</si>
  <si>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</si>
  <si>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</si>
  <si>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</si>
  <si>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</si>
  <si>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</si>
  <si>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</si>
  <si>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</si>
  <si>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</si>
  <si>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</si>
  <si>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</si>
  <si>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</si>
  <si>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</si>
  <si>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</si>
  <si>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</si>
  <si>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</si>
  <si>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</si>
  <si>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</si>
  <si>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</si>
  <si>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</si>
  <si>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</si>
  <si>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</si>
  <si>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</si>
  <si>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</si>
  <si>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</si>
  <si>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</si>
  <si>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</si>
  <si>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</si>
  <si>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</si>
  <si>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</si>
  <si>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</si>
  <si>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</si>
  <si>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</si>
  <si>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</si>
  <si>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</si>
  <si>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</si>
  <si>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</si>
  <si>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</si>
  <si>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</si>
  <si>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</si>
  <si>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</si>
  <si>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</si>
  <si>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</si>
  <si>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</si>
  <si>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</si>
  <si>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</si>
  <si>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</si>
  <si>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</si>
  <si>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</si>
  <si>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</si>
  <si>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</si>
  <si>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</si>
  <si>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</si>
  <si>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</si>
  <si>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</si>
  <si>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</si>
  <si>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</si>
  <si>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</si>
  <si>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</si>
  <si>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</si>
  <si>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</si>
  <si>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</si>
  <si>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</si>
  <si>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</si>
  <si>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</si>
  <si>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</si>
  <si>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</si>
  <si>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</si>
  <si>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</si>
  <si>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</si>
  <si>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</si>
  <si>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</si>
  <si>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</si>
  <si>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</si>
  <si>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</si>
  <si>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</si>
  <si>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</si>
  <si>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</si>
  <si>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</si>
  <si>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</si>
  <si>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</si>
  <si>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</si>
  <si>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</si>
  <si>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</si>
  <si>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</si>
  <si>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</si>
  <si>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</si>
  <si>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</si>
  <si>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</si>
  <si>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</si>
  <si>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</si>
  <si>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</si>
  <si>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</si>
  <si>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</si>
  <si>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</si>
  <si>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</si>
  <si>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</si>
  <si>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</si>
  <si>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</si>
  <si>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</si>
  <si>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</si>
  <si>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</si>
  <si>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</si>
  <si>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</si>
  <si>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</si>
  <si>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</si>
  <si>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</si>
  <si>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</si>
  <si>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</si>
  <si>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</si>
  <si>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</si>
  <si>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</si>
  <si>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</si>
  <si>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</si>
  <si>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</si>
  <si>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</si>
  <si>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</si>
  <si>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</si>
  <si>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</si>
  <si>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</si>
  <si>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</si>
  <si>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</si>
  <si>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</si>
  <si>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</si>
  <si>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</si>
  <si>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</si>
  <si>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</si>
  <si>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</si>
  <si>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</si>
  <si>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</si>
  <si>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</si>
  <si>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</si>
  <si>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</si>
  <si>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</si>
  <si>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</si>
  <si>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</si>
  <si>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</si>
  <si>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</si>
  <si>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</si>
  <si>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</si>
  <si>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</si>
  <si>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</si>
  <si>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</si>
  <si>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</si>
  <si>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</si>
  <si>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</si>
  <si>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</si>
  <si>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</si>
  <si>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</si>
  <si>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</si>
  <si>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</si>
  <si>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</si>
  <si>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</si>
  <si>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</si>
  <si>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</si>
  <si>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</si>
  <si>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</si>
  <si>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</si>
  <si>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</si>
  <si>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</si>
  <si>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</si>
  <si>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</si>
  <si>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</si>
  <si>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</si>
  <si>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</si>
  <si>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</si>
  <si>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</si>
  <si>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</si>
  <si>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</si>
  <si>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</si>
  <si>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</si>
  <si>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</si>
  <si>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</si>
  <si>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</si>
  <si>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</si>
  <si>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</si>
  <si>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</si>
  <si>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</si>
  <si>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</si>
  <si>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</si>
  <si>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</si>
  <si>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</si>
  <si>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</si>
  <si>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</si>
  <si>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</si>
  <si>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</si>
  <si>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</si>
  <si>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</si>
  <si>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</si>
  <si>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</si>
  <si>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</si>
  <si>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</si>
  <si>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</si>
  <si>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</si>
  <si>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</si>
  <si>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</si>
  <si>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</si>
  <si>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</si>
  <si>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</si>
  <si>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</si>
  <si>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</si>
  <si>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</si>
  <si>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</si>
  <si>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</si>
  <si>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</si>
  <si>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</si>
  <si>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</si>
  <si>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</si>
  <si>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</si>
  <si>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</si>
  <si>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</si>
  <si>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</si>
  <si>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</si>
  <si>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</si>
  <si>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</si>
  <si>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</si>
  <si>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</si>
  <si>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</si>
  <si>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</si>
  <si>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</si>
  <si>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</si>
  <si>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</si>
  <si>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</si>
  <si>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</si>
  <si>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</si>
  <si>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</si>
  <si>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</si>
  <si>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</si>
  <si>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</si>
  <si>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</si>
  <si>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</si>
  <si>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</si>
  <si>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</si>
  <si>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</si>
  <si>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</si>
  <si>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</si>
  <si>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</si>
  <si>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</si>
  <si>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</si>
  <si>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</si>
  <si>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</si>
  <si>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</si>
  <si>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</si>
  <si>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</si>
  <si>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</si>
  <si>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</si>
  <si>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</si>
  <si>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</si>
  <si>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</si>
  <si>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</si>
  <si>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</si>
  <si>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</si>
  <si>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</si>
  <si>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</si>
  <si>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</si>
  <si>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</si>
  <si>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</si>
  <si>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</si>
  <si>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</si>
  <si>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</si>
  <si>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</si>
  <si>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</si>
  <si>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</si>
  <si>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</si>
  <si>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</si>
  <si>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</si>
  <si>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</si>
  <si>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</si>
  <si>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</si>
  <si>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</si>
  <si>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</si>
  <si>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</si>
  <si>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</si>
  <si>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</si>
  <si>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</si>
  <si>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</si>
  <si>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</si>
  <si>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</si>
  <si>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</si>
  <si>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</si>
  <si>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</si>
  <si>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</si>
  <si>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</si>
  <si>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</si>
  <si>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</si>
  <si>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</si>
  <si>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</si>
  <si>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</si>
  <si>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</si>
  <si>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</si>
  <si>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</si>
  <si>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</si>
  <si>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</si>
  <si>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</si>
  <si>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</si>
  <si>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</si>
  <si>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</si>
  <si>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</si>
  <si>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</si>
  <si>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</si>
  <si>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</si>
  <si>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</si>
  <si>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</si>
  <si>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</si>
  <si>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</si>
  <si>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</si>
  <si>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</si>
  <si>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</si>
  <si>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</si>
  <si>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</si>
  <si>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</si>
  <si>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</si>
  <si>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</si>
  <si>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</si>
  <si>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</si>
  <si>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</si>
  <si>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</si>
  <si>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</si>
  <si>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</si>
  <si>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</si>
  <si>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</si>
  <si>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</si>
  <si>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</si>
  <si>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</si>
  <si>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</si>
  <si>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</si>
  <si>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</si>
  <si>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</si>
  <si>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</si>
  <si>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</si>
  <si>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</si>
  <si>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</si>
  <si>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</si>
  <si>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</si>
  <si>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</si>
  <si>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</si>
  <si>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</si>
  <si>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</si>
  <si>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</si>
  <si>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</si>
  <si>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</si>
  <si>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</si>
  <si>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</si>
  <si>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</si>
  <si>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</si>
  <si>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</si>
  <si>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</si>
  <si>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</si>
  <si>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</si>
  <si>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</si>
  <si>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</si>
  <si>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</si>
  <si>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</si>
  <si>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</si>
  <si>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</si>
  <si>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</si>
  <si>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</si>
  <si>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</si>
  <si>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</si>
  <si>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</si>
  <si>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</si>
  <si>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</si>
  <si>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</si>
  <si>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</si>
  <si>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</si>
  <si>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</si>
  <si>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</si>
  <si>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</si>
  <si>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</si>
  <si>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</si>
  <si>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</si>
  <si>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</si>
  <si>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</si>
  <si>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</si>
  <si>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</si>
  <si>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</si>
  <si>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</si>
  <si>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</si>
  <si>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</si>
  <si>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</si>
  <si>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（住宅）</t>
  </si>
  <si>
    <t>（住宅、计出让金）</t>
  </si>
  <si>
    <r>
      <rPr>
        <sz val="10"/>
        <color indexed="8"/>
        <rFont val="仿宋_GB2312"/>
        <charset val="134"/>
      </rPr>
      <t>总值</t>
    </r>
  </si>
  <si>
    <r>
      <rPr>
        <sz val="10"/>
        <color indexed="8"/>
        <rFont val="仿宋_GB2312"/>
        <charset val="134"/>
      </rPr>
      <t>扣减值</t>
    </r>
  </si>
  <si>
    <t>是</t>
  </si>
  <si>
    <t>项目</t>
  </si>
  <si>
    <t>合计</t>
  </si>
  <si>
    <t>小计</t>
  </si>
  <si>
    <t>地下</t>
  </si>
  <si>
    <t>员工宿舍</t>
  </si>
  <si>
    <t>研发用房</t>
  </si>
  <si>
    <t>厂房</t>
  </si>
  <si>
    <t>库房</t>
  </si>
  <si>
    <t>设备</t>
  </si>
  <si>
    <t>员工餐厅</t>
  </si>
  <si>
    <t>地上租金</t>
  </si>
  <si>
    <t>1#倒班宿舍</t>
  </si>
  <si>
    <t>2#门卫</t>
  </si>
  <si>
    <t>3#开闭站</t>
  </si>
  <si>
    <t>4#生产厂房</t>
  </si>
  <si>
    <t>5#动力站</t>
  </si>
  <si>
    <t>6#乙类库</t>
  </si>
  <si>
    <t>7#甲类库</t>
  </si>
  <si>
    <t>面积</t>
  </si>
  <si>
    <t>建安单价</t>
  </si>
  <si>
    <t>租金</t>
  </si>
  <si>
    <t>其他</t>
  </si>
  <si>
    <t>企业介绍建安工程费合计12760万元</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</si>
  <si>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</si>
  <si>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</si>
  <si>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</si>
  <si>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</si>
  <si>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</si>
  <si>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</si>
  <si>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</si>
  <si>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</si>
  <si>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</si>
  <si>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</si>
  <si>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</si>
  <si>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</si>
  <si>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</si>
  <si>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</si>
  <si>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</si>
  <si>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</si>
  <si>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</si>
  <si>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</si>
  <si>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</si>
  <si>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</si>
  <si>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</si>
  <si>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</si>
  <si>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</si>
  <si>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</si>
  <si>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</si>
  <si>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</si>
  <si>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</si>
  <si>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</si>
  <si>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</si>
  <si>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</si>
  <si>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</si>
  <si>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</si>
  <si>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</si>
  <si>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</si>
  <si>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</si>
  <si>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</si>
  <si>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</si>
  <si>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</si>
  <si>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</si>
  <si>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</si>
  <si>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</si>
  <si>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</si>
  <si>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</si>
  <si>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</si>
  <si>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</si>
  <si>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</si>
  <si>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</si>
  <si>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</si>
  <si>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</si>
  <si>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</si>
  <si>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</si>
  <si>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</si>
  <si>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</si>
  <si>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</si>
  <si>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</si>
  <si>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</si>
  <si>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</si>
  <si>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</si>
  <si>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</si>
  <si>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</si>
  <si>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</si>
  <si>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</si>
  <si>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</si>
  <si>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</si>
  <si>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</si>
  <si>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</si>
  <si>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</si>
  <si>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</si>
  <si>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</si>
  <si>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</si>
  <si>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</si>
  <si>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</si>
  <si>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</si>
  <si>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</si>
  <si>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</si>
  <si>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</si>
  <si>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</si>
  <si>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</si>
  <si>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</si>
  <si>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</si>
  <si>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</si>
  <si>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</si>
  <si>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</si>
  <si>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</si>
  <si>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</si>
  <si>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</si>
  <si>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</si>
  <si>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</si>
  <si>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</si>
  <si>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</si>
  <si>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</si>
  <si>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</si>
  <si>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</si>
  <si>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</si>
  <si>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</si>
  <si>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</si>
  <si>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</si>
  <si>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</si>
  <si>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</si>
  <si>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</si>
  <si>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</si>
  <si>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</si>
  <si>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</si>
  <si>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</si>
  <si>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</si>
  <si>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</si>
  <si>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</si>
  <si>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</si>
  <si>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</si>
  <si>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</si>
  <si>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</si>
  <si>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</si>
  <si>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</si>
  <si>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</si>
  <si>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</si>
  <si>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</si>
  <si>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</si>
  <si>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</si>
  <si>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</si>
  <si>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</si>
  <si>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</si>
  <si>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</si>
  <si>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</si>
  <si>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</si>
  <si>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</si>
  <si>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</si>
  <si>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</si>
  <si>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</si>
  <si>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</si>
  <si>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</si>
  <si>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</si>
  <si>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</si>
  <si>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</si>
  <si>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</si>
  <si>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</si>
  <si>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</si>
  <si>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</si>
  <si>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</si>
  <si>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</si>
  <si>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</si>
  <si>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</si>
  <si>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</si>
  <si>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</si>
  <si>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</si>
  <si>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</si>
  <si>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</si>
  <si>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</si>
  <si>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</si>
  <si>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</si>
  <si>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</si>
  <si>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</si>
  <si>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</si>
  <si>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</si>
  <si>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</si>
  <si>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</si>
  <si>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</si>
  <si>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</si>
  <si>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</si>
  <si>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</si>
  <si>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</si>
  <si>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</si>
  <si>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</si>
  <si>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</si>
  <si>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</si>
  <si>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</si>
  <si>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</si>
  <si>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</si>
  <si>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</si>
  <si>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</si>
  <si>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</si>
  <si>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</si>
  <si>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</si>
  <si>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</si>
  <si>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</si>
  <si>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</si>
  <si>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</si>
  <si>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</si>
  <si>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</si>
  <si>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</si>
  <si>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</si>
  <si>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</si>
  <si>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</si>
  <si>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</si>
  <si>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</si>
  <si>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</si>
  <si>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</si>
  <si>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</si>
  <si>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</si>
  <si>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</si>
  <si>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</si>
  <si>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</si>
  <si>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</si>
  <si>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</si>
  <si>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</si>
  <si>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</si>
  <si>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</si>
  <si>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</si>
  <si>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</si>
  <si>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</si>
  <si>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</si>
  <si>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</si>
  <si>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</si>
  <si>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</si>
  <si>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</si>
  <si>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</si>
  <si>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</si>
  <si>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</si>
  <si>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</si>
  <si>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</si>
  <si>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</si>
  <si>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</si>
  <si>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</si>
  <si>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</si>
  <si>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</si>
  <si>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</si>
  <si>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</si>
  <si>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</si>
  <si>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</si>
  <si>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</si>
  <si>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</si>
  <si>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</si>
  <si>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</si>
  <si>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</si>
  <si>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</si>
  <si>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</si>
  <si>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</si>
  <si>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</si>
  <si>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</si>
  <si>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</si>
  <si>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</si>
  <si>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</si>
  <si>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</si>
  <si>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</si>
  <si>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</si>
  <si>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</si>
  <si>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</si>
  <si>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</si>
  <si>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</si>
  <si>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</si>
  <si>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</si>
  <si>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</si>
  <si>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</si>
  <si>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</si>
  <si>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</si>
  <si>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</si>
  <si>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</si>
  <si>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</si>
  <si>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</si>
  <si>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</si>
  <si>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</si>
  <si>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</si>
  <si>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</si>
  <si>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</si>
  <si>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</si>
  <si>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</si>
  <si>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</si>
  <si>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</si>
  <si>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</si>
  <si>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</si>
  <si>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</si>
  <si>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</si>
  <si>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</si>
  <si>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</si>
  <si>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</si>
  <si>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</si>
  <si>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</si>
  <si>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</si>
  <si>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</si>
  <si>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</si>
  <si>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</si>
  <si>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</si>
  <si>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</si>
  <si>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</si>
  <si>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</si>
  <si>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</si>
  <si>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</si>
  <si>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</si>
  <si>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</si>
  <si>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</si>
  <si>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</si>
  <si>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</si>
  <si>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</si>
  <si>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</si>
  <si>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</si>
  <si>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</si>
  <si>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</si>
  <si>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</si>
  <si>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</si>
  <si>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</si>
  <si>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</si>
  <si>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</si>
  <si>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</si>
  <si>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</si>
  <si>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</si>
  <si>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</si>
  <si>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</si>
  <si>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</si>
  <si>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</si>
  <si>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</si>
  <si>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</si>
  <si>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</si>
  <si>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</si>
  <si>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</si>
  <si>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</si>
  <si>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</si>
  <si>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</si>
  <si>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</si>
  <si>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</si>
  <si>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</si>
  <si>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</si>
  <si>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</si>
  <si>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</si>
  <si>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</si>
  <si>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</si>
  <si>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</si>
  <si>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</si>
  <si>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</si>
  <si>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</si>
  <si>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</si>
  <si>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</si>
  <si>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</si>
  <si>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</si>
  <si>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</si>
  <si>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</si>
  <si>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</si>
  <si>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</si>
  <si>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</si>
  <si>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</si>
  <si>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</si>
  <si>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</si>
  <si>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</si>
  <si>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</si>
  <si>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</si>
  <si>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</si>
  <si>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</si>
  <si>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</si>
  <si>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</si>
  <si>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</si>
  <si>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</si>
  <si>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</si>
  <si>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</si>
  <si>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</si>
  <si>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</si>
  <si>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</si>
  <si>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</si>
  <si>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</si>
  <si>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</si>
  <si>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</si>
  <si>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</si>
  <si>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</si>
  <si>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</si>
  <si>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</si>
  <si>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</si>
  <si>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</si>
  <si>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</si>
  <si>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</si>
  <si>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</si>
  <si>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</si>
  <si>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</si>
  <si>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</si>
  <si>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</si>
  <si>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</si>
  <si>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</si>
  <si>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</si>
  <si>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</si>
  <si>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</si>
  <si>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</si>
  <si>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</si>
  <si>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</si>
  <si>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</si>
  <si>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</si>
  <si>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</si>
  <si>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</si>
  <si>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</si>
  <si>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</si>
  <si>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</si>
  <si>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</si>
  <si>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</si>
  <si>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</si>
  <si>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</si>
  <si>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</si>
  <si>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</si>
  <si>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</si>
  <si>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</si>
  <si>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</si>
  <si>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</si>
  <si>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</si>
  <si>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</si>
  <si>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</si>
  <si>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</si>
  <si>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</si>
  <si>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</si>
  <si>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</si>
  <si>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</si>
  <si>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</si>
  <si>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</si>
  <si>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</si>
  <si>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</si>
  <si>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</si>
  <si>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</si>
  <si>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</si>
  <si>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</si>
  <si>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</si>
  <si>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</si>
  <si>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</si>
  <si>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</si>
  <si>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</si>
  <si>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</si>
  <si>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</si>
  <si>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</si>
  <si>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</si>
  <si>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</si>
  <si>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</si>
  <si>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</si>
  <si>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</si>
  <si>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</si>
  <si>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</si>
  <si>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</si>
  <si>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</si>
  <si>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</si>
  <si>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</si>
  <si>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</si>
  <si>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</si>
  <si>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</si>
  <si>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</si>
  <si>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</si>
  <si>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</si>
  <si>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</si>
  <si>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</si>
  <si>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</si>
  <si>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</si>
  <si>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</si>
  <si>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</si>
  <si>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</si>
  <si>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</si>
  <si>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</si>
  <si>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</si>
  <si>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</si>
  <si>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</si>
  <si>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</si>
  <si>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</si>
  <si>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</si>
  <si>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</si>
  <si>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</si>
  <si>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</si>
  <si>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</si>
  <si>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</si>
  <si>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</si>
  <si>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</si>
  <si>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</si>
  <si>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</si>
  <si>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</si>
  <si>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</si>
  <si>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</si>
  <si>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</si>
  <si>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</si>
  <si>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</si>
  <si>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</si>
  <si>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</si>
  <si>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</si>
  <si>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</si>
  <si>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</si>
  <si>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</si>
  <si>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</si>
  <si>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</si>
  <si>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</si>
  <si>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</si>
  <si>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</si>
  <si>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</si>
  <si>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</si>
  <si>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</si>
  <si>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</si>
  <si>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</si>
  <si>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</si>
  <si>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</si>
  <si>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</si>
  <si>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</si>
  <si>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</si>
  <si>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</si>
  <si>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</si>
  <si>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</si>
  <si>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</si>
  <si>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</si>
  <si>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</si>
  <si>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</si>
  <si>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</si>
  <si>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</si>
  <si>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</si>
  <si>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</si>
  <si>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</si>
  <si>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</si>
  <si>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</si>
  <si>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</si>
  <si>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</si>
  <si>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</si>
  <si>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</si>
  <si>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</si>
  <si>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</si>
  <si>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</si>
  <si>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</si>
  <si>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</si>
  <si>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</si>
  <si>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</si>
  <si>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</si>
  <si>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</si>
  <si>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</si>
  <si>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</si>
  <si>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</si>
  <si>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</si>
  <si>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</si>
  <si>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</si>
  <si>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</si>
  <si>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</si>
  <si>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</si>
  <si>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</si>
  <si>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</si>
  <si>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</si>
  <si>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</si>
  <si>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</si>
  <si>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</si>
  <si>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</si>
  <si>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</si>
  <si>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</si>
  <si>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</si>
  <si>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</si>
  <si>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</si>
  <si>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</si>
  <si>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</si>
  <si>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</si>
  <si>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</si>
  <si>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</si>
  <si>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</si>
  <si>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</si>
  <si>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</si>
  <si>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</si>
  <si>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</si>
  <si>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</si>
  <si>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</si>
  <si>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</si>
  <si>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</si>
  <si>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</si>
  <si>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</si>
  <si>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</si>
  <si>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</si>
  <si>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</si>
  <si>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</si>
  <si>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</si>
  <si>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</si>
  <si>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</si>
  <si>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</si>
  <si>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</si>
  <si>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</si>
  <si>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</si>
  <si>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</si>
  <si>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</si>
  <si>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</si>
  <si>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</si>
  <si>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</si>
  <si>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</si>
  <si>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</si>
  <si>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</si>
  <si>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</si>
  <si>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</si>
  <si>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</si>
  <si>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较差</t>
  </si>
  <si>
    <t>较好</t>
  </si>
  <si>
    <r>
      <rPr>
        <sz val="11"/>
        <color indexed="8"/>
        <rFont val="仿宋_GB2312"/>
        <charset val="134"/>
      </rPr>
      <t>环境状况</t>
    </r>
  </si>
  <si>
    <t>较规则</t>
  </si>
  <si>
    <t>临时三通</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</si>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</sst>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name val="宋体"/>
      <family val="3"/>
      <charset val="134"/>
    </font>
    <font>
      <sz val="11"/>
      <color rgb="FF000000"/>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14"/>
      <name val="楷体_GB2312"/>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4EF86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8" fillId="0" borderId="0"/>
  </cellStyleXfs>
  <cellXfs count="396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9"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80"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81"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2" fontId="34" fillId="0" borderId="0" xfId="0" applyNumberFormat="1" applyFont="1" applyFill="1" applyAlignment="1" applyProtection="1">
      <alignment horizontal="center" vertical="center"/>
    </xf>
    <xf numFmtId="183"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5"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5"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5"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3"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3" fontId="34" fillId="2" borderId="10" xfId="0" applyNumberFormat="1" applyFont="1" applyFill="1" applyBorder="1" applyAlignment="1" applyProtection="1">
      <alignment horizontal="center" vertical="center"/>
    </xf>
    <xf numFmtId="183"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7" fontId="30" fillId="2" borderId="56" xfId="0" applyNumberFormat="1" applyFont="1" applyFill="1" applyBorder="1" applyAlignment="1" applyProtection="1">
      <alignment horizontal="center" vertical="center" wrapText="1"/>
    </xf>
    <xf numFmtId="18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2" fontId="36" fillId="2" borderId="54" xfId="0" applyNumberFormat="1" applyFont="1" applyFill="1" applyBorder="1" applyAlignment="1" applyProtection="1">
      <alignment horizontal="center" vertical="center"/>
    </xf>
    <xf numFmtId="183"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182"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3"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2" fontId="34" fillId="2" borderId="11" xfId="0" applyNumberFormat="1" applyFont="1" applyFill="1" applyBorder="1" applyAlignment="1" applyProtection="1">
      <alignment horizontal="center" vertical="center"/>
    </xf>
    <xf numFmtId="183" fontId="34" fillId="2" borderId="0" xfId="0" applyNumberFormat="1" applyFont="1" applyFill="1" applyBorder="1" applyAlignment="1" applyProtection="1">
      <alignment vertical="center" wrapText="1"/>
      <protection locked="0"/>
    </xf>
    <xf numFmtId="186" fontId="34" fillId="8" borderId="46" xfId="0" applyNumberFormat="1" applyFont="1" applyFill="1" applyBorder="1" applyAlignment="1" applyProtection="1">
      <alignment horizontal="left" vertical="center" wrapText="1"/>
    </xf>
    <xf numFmtId="182"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2" fontId="34" fillId="2" borderId="0" xfId="0" applyNumberFormat="1" applyFont="1" applyFill="1" applyBorder="1" applyAlignment="1" applyProtection="1">
      <alignment horizontal="center"/>
    </xf>
    <xf numFmtId="183"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2" fontId="34" fillId="0" borderId="0" xfId="0" applyNumberFormat="1" applyFont="1" applyFill="1" applyAlignment="1" applyProtection="1">
      <alignment horizontal="center" vertical="center"/>
      <protection locked="0"/>
    </xf>
    <xf numFmtId="183"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2" fontId="34" fillId="2" borderId="0" xfId="0" applyNumberFormat="1" applyFont="1" applyFill="1" applyBorder="1" applyAlignment="1" applyProtection="1">
      <alignment horizontal="center"/>
      <protection locked="0"/>
    </xf>
    <xf numFmtId="183"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2" fontId="38" fillId="2" borderId="0" xfId="0" applyNumberFormat="1" applyFont="1" applyFill="1" applyBorder="1" applyAlignment="1" applyProtection="1">
      <alignment horizontal="center" vertical="center"/>
      <protection locked="0"/>
    </xf>
    <xf numFmtId="183"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2" fontId="30" fillId="2" borderId="44" xfId="0" applyNumberFormat="1" applyFont="1" applyFill="1" applyBorder="1" applyAlignment="1" applyProtection="1">
      <alignment horizontal="center" vertical="center" wrapText="1"/>
    </xf>
    <xf numFmtId="182"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2" fontId="34" fillId="2" borderId="46" xfId="0" applyNumberFormat="1" applyFont="1" applyFill="1" applyBorder="1" applyAlignment="1" applyProtection="1">
      <alignment horizontal="center" vertical="center"/>
    </xf>
    <xf numFmtId="182"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9"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9"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9"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81"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9" fontId="19" fillId="2" borderId="1" xfId="5" applyNumberFormat="1" applyFont="1" applyFill="1" applyBorder="1" applyAlignment="1" applyProtection="1">
      <alignment horizontal="center" vertical="center"/>
    </xf>
    <xf numFmtId="179"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9"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9"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9" fontId="22" fillId="2" borderId="8" xfId="5" applyNumberFormat="1" applyFont="1" applyFill="1" applyBorder="1" applyAlignment="1" applyProtection="1">
      <alignment horizontal="center" vertical="center"/>
    </xf>
    <xf numFmtId="181"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4"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4"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4" fontId="22" fillId="2" borderId="66" xfId="10" applyNumberFormat="1" applyFont="1" applyFill="1" applyBorder="1" applyAlignment="1">
      <alignment horizontal="left" vertical="center"/>
    </xf>
    <xf numFmtId="184"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4"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3"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4" fontId="19" fillId="2" borderId="1" xfId="10" applyNumberFormat="1" applyFont="1" applyFill="1" applyBorder="1" applyAlignment="1">
      <alignment horizontal="left" vertical="center"/>
    </xf>
    <xf numFmtId="183"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6" fontId="19" fillId="0" borderId="1" xfId="10" applyNumberFormat="1" applyFont="1" applyFill="1" applyBorder="1" applyAlignment="1" applyProtection="1">
      <alignment horizontal="left" vertical="center"/>
      <protection locked="0"/>
    </xf>
    <xf numFmtId="183" fontId="19" fillId="2" borderId="11" xfId="10" applyNumberFormat="1" applyFont="1" applyFill="1" applyBorder="1" applyAlignment="1">
      <alignment horizontal="right" vertical="center"/>
    </xf>
    <xf numFmtId="179" fontId="19" fillId="0" borderId="1" xfId="10" applyNumberFormat="1" applyFont="1" applyFill="1" applyBorder="1" applyAlignment="1" applyProtection="1">
      <alignment horizontal="left" vertical="center"/>
      <protection locked="0"/>
    </xf>
    <xf numFmtId="184" fontId="19" fillId="0" borderId="1" xfId="10" applyNumberFormat="1" applyFont="1" applyFill="1" applyBorder="1" applyAlignment="1" applyProtection="1">
      <alignment horizontal="left" vertical="center"/>
      <protection locked="0"/>
    </xf>
    <xf numFmtId="183"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4" fontId="22" fillId="2" borderId="8" xfId="10" applyNumberFormat="1" applyFont="1" applyFill="1" applyBorder="1" applyAlignment="1">
      <alignment horizontal="left" vertical="center"/>
    </xf>
    <xf numFmtId="183"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4" fontId="22" fillId="2" borderId="89" xfId="10" applyNumberFormat="1" applyFont="1" applyFill="1" applyBorder="1" applyAlignment="1">
      <alignment horizontal="left" vertical="center"/>
    </xf>
    <xf numFmtId="183"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4" fontId="19" fillId="2" borderId="10" xfId="10" applyNumberFormat="1" applyFont="1" applyFill="1" applyBorder="1" applyAlignment="1">
      <alignment horizontal="left" vertical="center"/>
    </xf>
    <xf numFmtId="184" fontId="19" fillId="2" borderId="101" xfId="10" applyNumberFormat="1" applyFont="1" applyFill="1" applyBorder="1" applyAlignment="1">
      <alignment horizontal="left" vertical="center"/>
    </xf>
    <xf numFmtId="184"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4" fontId="19" fillId="2" borderId="10" xfId="10" applyNumberFormat="1" applyFont="1" applyFill="1" applyBorder="1" applyAlignment="1">
      <alignment horizontal="right" vertical="center"/>
    </xf>
    <xf numFmtId="183" fontId="19" fillId="0" borderId="101" xfId="10" applyNumberFormat="1" applyFont="1" applyFill="1" applyBorder="1" applyAlignment="1" applyProtection="1">
      <alignment horizontal="right" vertical="center"/>
      <protection locked="0"/>
    </xf>
    <xf numFmtId="183"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3"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19" fillId="2" borderId="101" xfId="10" applyNumberFormat="1" applyFont="1" applyFill="1" applyBorder="1" applyAlignment="1">
      <alignment horizontal="right" vertical="center"/>
    </xf>
    <xf numFmtId="183"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183" fontId="19" fillId="0" borderId="101" xfId="10" applyNumberFormat="1" applyFont="1" applyFill="1" applyBorder="1" applyAlignment="1" applyProtection="1">
      <alignment horizontal="left" vertical="center"/>
      <protection locked="0"/>
    </xf>
    <xf numFmtId="183" fontId="19" fillId="0" borderId="11" xfId="10" applyNumberFormat="1" applyFont="1" applyFill="1" applyBorder="1" applyAlignment="1" applyProtection="1">
      <alignment horizontal="left" vertical="center"/>
      <protection locked="0"/>
    </xf>
    <xf numFmtId="186"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6" fontId="19" fillId="0" borderId="42" xfId="10" applyNumberFormat="1" applyFont="1" applyFill="1" applyBorder="1" applyAlignment="1" applyProtection="1">
      <alignment horizontal="left" vertical="center"/>
      <protection locked="0"/>
    </xf>
    <xf numFmtId="186" fontId="19" fillId="0" borderId="102" xfId="10" applyNumberFormat="1" applyFont="1" applyFill="1" applyBorder="1" applyAlignment="1" applyProtection="1">
      <alignment horizontal="left" vertical="center"/>
      <protection locked="0"/>
    </xf>
    <xf numFmtId="186" fontId="19" fillId="0" borderId="97" xfId="10" applyNumberFormat="1" applyFont="1" applyFill="1" applyBorder="1" applyAlignment="1" applyProtection="1">
      <alignment horizontal="left" vertical="center"/>
      <protection locked="0"/>
    </xf>
    <xf numFmtId="186"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4"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4"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9"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9"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9" fontId="67" fillId="0" borderId="14" xfId="5" applyNumberFormat="1" applyFont="1" applyBorder="1" applyAlignment="1" applyProtection="1">
      <alignment horizontal="left" vertical="center"/>
      <protection locked="0" hidden="1"/>
    </xf>
    <xf numFmtId="179"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9" fontId="22" fillId="2" borderId="1" xfId="10" applyNumberFormat="1" applyFont="1" applyFill="1" applyBorder="1" applyAlignment="1" applyProtection="1">
      <alignment horizontal="left" vertical="center"/>
      <protection locked="0"/>
    </xf>
    <xf numFmtId="179"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3"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9"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70" fillId="0" borderId="0" xfId="0" applyNumberFormat="1" applyFont="1" applyFill="1" applyAlignment="1"/>
    <xf numFmtId="0" fontId="70" fillId="8" borderId="0" xfId="0" applyNumberFormat="1" applyFont="1" applyFill="1" applyAlignment="1"/>
    <xf numFmtId="0" fontId="71" fillId="0" borderId="0" xfId="0" applyNumberFormat="1" applyFont="1" applyFill="1" applyAlignment="1"/>
    <xf numFmtId="0" fontId="70" fillId="3" borderId="0" xfId="0" applyNumberFormat="1" applyFont="1" applyFill="1" applyAlignment="1"/>
    <xf numFmtId="0" fontId="72" fillId="0" borderId="0" xfId="0" applyNumberFormat="1" applyFont="1" applyFill="1" applyAlignment="1"/>
    <xf numFmtId="14" fontId="70" fillId="8" borderId="0" xfId="0" applyNumberFormat="1" applyFont="1" applyFill="1" applyAlignment="1"/>
    <xf numFmtId="14" fontId="70" fillId="0" borderId="0" xfId="0" applyNumberFormat="1" applyFont="1" applyFill="1" applyAlignment="1"/>
    <xf numFmtId="14" fontId="71" fillId="0" borderId="0" xfId="0" applyNumberFormat="1" applyFont="1" applyFill="1" applyAlignment="1"/>
    <xf numFmtId="14" fontId="70" fillId="3" borderId="0" xfId="0" applyNumberFormat="1" applyFont="1" applyFill="1" applyAlignment="1"/>
    <xf numFmtId="0" fontId="29"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4"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9"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5"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3"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3"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8" fillId="2" borderId="83" xfId="0" applyFont="1" applyFill="1" applyBorder="1" applyAlignment="1" applyProtection="1">
      <alignment horizontal="left" vertical="center"/>
    </xf>
    <xf numFmtId="183"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3"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1"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3" fontId="18" fillId="2" borderId="7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3"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8" fillId="2" borderId="10" xfId="0" applyFont="1" applyFill="1" applyBorder="1" applyAlignment="1" applyProtection="1">
      <alignment vertical="center"/>
    </xf>
    <xf numFmtId="0" fontId="78"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9"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3"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3" fontId="18"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1" fontId="23" fillId="2" borderId="14"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1"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1"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8"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1"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3" fontId="23" fillId="0" borderId="14" xfId="0" applyNumberFormat="1" applyFont="1" applyFill="1" applyBorder="1" applyAlignment="1" applyProtection="1">
      <alignment horizontal="center" vertical="center"/>
      <protection locked="0"/>
    </xf>
    <xf numFmtId="183"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3"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3"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2" xfId="0" applyFont="1" applyFill="1" applyBorder="1" applyAlignment="1" applyProtection="1">
      <alignment vertical="center"/>
    </xf>
    <xf numFmtId="0" fontId="84" fillId="2" borderId="46" xfId="0" applyFont="1" applyFill="1" applyBorder="1" applyAlignment="1" applyProtection="1">
      <alignment vertical="center"/>
    </xf>
    <xf numFmtId="183"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4" fillId="2" borderId="110" xfId="0" applyFont="1" applyFill="1" applyBorder="1" applyAlignment="1" applyProtection="1">
      <alignment vertical="center"/>
    </xf>
    <xf numFmtId="0" fontId="84" fillId="2" borderId="108" xfId="0" applyFont="1" applyFill="1" applyBorder="1" applyAlignment="1" applyProtection="1">
      <alignment vertical="center"/>
    </xf>
    <xf numFmtId="0" fontId="73"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1"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1" fontId="8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3"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3" fontId="19" fillId="2" borderId="1" xfId="0" applyNumberFormat="1" applyFont="1" applyFill="1" applyBorder="1" applyAlignment="1" applyProtection="1">
      <alignment horizontal="center"/>
    </xf>
    <xf numFmtId="0" fontId="18" fillId="2" borderId="1" xfId="0" applyFont="1" applyFill="1" applyBorder="1" applyAlignment="1" applyProtection="1"/>
    <xf numFmtId="183"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11"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9" fillId="2" borderId="4" xfId="0" applyFont="1" applyFill="1" applyBorder="1" applyAlignment="1" applyProtection="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90" fillId="2" borderId="111" xfId="0" applyFont="1" applyFill="1" applyBorder="1" applyAlignment="1" applyProtection="1">
      <alignment vertical="center" wrapText="1"/>
    </xf>
    <xf numFmtId="0" fontId="90" fillId="2" borderId="100" xfId="0" applyFont="1" applyFill="1" applyBorder="1" applyAlignment="1" applyProtection="1">
      <alignment vertical="center"/>
    </xf>
    <xf numFmtId="0" fontId="89" fillId="2" borderId="6" xfId="0" applyFont="1" applyFill="1" applyBorder="1" applyAlignment="1" applyProtection="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pplyProtection="1">
      <alignment horizontal="left"/>
    </xf>
    <xf numFmtId="0" fontId="91" fillId="2" borderId="112" xfId="0" applyFont="1" applyFill="1" applyBorder="1" applyAlignment="1" applyProtection="1">
      <alignment vertical="center" wrapText="1"/>
    </xf>
    <xf numFmtId="0" fontId="90"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2"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1" fillId="2" borderId="14" xfId="0" applyFont="1" applyFill="1" applyBorder="1" applyAlignment="1" applyProtection="1">
      <alignment horizontal="center"/>
    </xf>
    <xf numFmtId="0" fontId="91" fillId="2" borderId="112" xfId="0" applyFont="1" applyFill="1" applyBorder="1" applyAlignment="1" applyProtection="1">
      <alignment horizontal="right" vertical="center" wrapText="1"/>
    </xf>
    <xf numFmtId="49" fontId="89"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0" fontId="89"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4" fillId="2" borderId="59" xfId="0" applyFont="1" applyFill="1" applyBorder="1" applyAlignment="1" applyProtection="1">
      <alignment horizontal="left" vertical="center" wrapText="1"/>
    </xf>
    <xf numFmtId="183" fontId="48" fillId="2" borderId="5" xfId="0" applyNumberFormat="1" applyFont="1" applyFill="1" applyBorder="1" applyAlignment="1" applyProtection="1">
      <alignment horizontal="center" vertical="center"/>
    </xf>
    <xf numFmtId="0" fontId="94"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49" fontId="94"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92"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9"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9"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3"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3"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3"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3"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2"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100"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92" fillId="2" borderId="113" xfId="4" applyNumberFormat="1" applyFont="1" applyFill="1" applyBorder="1" applyAlignment="1" applyProtection="1">
      <alignment horizontal="left" vertical="center"/>
    </xf>
    <xf numFmtId="0" fontId="103" fillId="2" borderId="113" xfId="4" applyNumberFormat="1" applyFont="1" applyFill="1" applyBorder="1" applyAlignment="1" applyProtection="1">
      <alignment horizontal="left" vertical="center"/>
    </xf>
    <xf numFmtId="0" fontId="104" fillId="12" borderId="0" xfId="14" applyNumberFormat="1" applyFont="1" applyFill="1" applyAlignment="1" applyProtection="1">
      <alignment horizontal="left" vertical="center"/>
    </xf>
    <xf numFmtId="0" fontId="66" fillId="12" borderId="115" xfId="14" applyNumberFormat="1" applyFont="1" applyFill="1" applyBorder="1" applyAlignment="1" applyProtection="1">
      <alignment horizontal="left" vertical="center"/>
    </xf>
    <xf numFmtId="0" fontId="66" fillId="12"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5" fillId="13" borderId="116" xfId="14" applyNumberFormat="1" applyFont="1" applyFill="1" applyBorder="1" applyAlignment="1" applyProtection="1">
      <alignment horizontal="left" vertical="center" wrapText="1"/>
      <protection locked="0"/>
    </xf>
    <xf numFmtId="0" fontId="105" fillId="9" borderId="117" xfId="14" applyNumberFormat="1" applyFont="1" applyFill="1" applyBorder="1" applyAlignment="1" applyProtection="1">
      <alignment horizontal="left" vertical="center" wrapText="1"/>
      <protection locked="0"/>
    </xf>
    <xf numFmtId="0" fontId="105" fillId="9" borderId="118" xfId="14" applyNumberFormat="1" applyFont="1" applyFill="1" applyBorder="1" applyAlignment="1" applyProtection="1">
      <alignment horizontal="left" vertical="center" wrapText="1"/>
      <protection locked="0"/>
    </xf>
    <xf numFmtId="0" fontId="22" fillId="14" borderId="1" xfId="14" applyNumberFormat="1" applyFont="1" applyFill="1" applyBorder="1" applyAlignment="1" applyProtection="1">
      <alignment horizontal="left" vertical="center" wrapText="1"/>
    </xf>
    <xf numFmtId="0" fontId="106" fillId="14" borderId="116" xfId="14" applyNumberFormat="1" applyFont="1" applyFill="1" applyBorder="1" applyAlignment="1" applyProtection="1">
      <alignment horizontal="left" vertical="center" wrapText="1"/>
      <protection locked="0"/>
    </xf>
    <xf numFmtId="0" fontId="106" fillId="14" borderId="117" xfId="14" applyNumberFormat="1" applyFont="1" applyFill="1" applyBorder="1" applyAlignment="1" applyProtection="1">
      <alignment horizontal="left" vertical="center" wrapText="1"/>
      <protection locked="0"/>
    </xf>
    <xf numFmtId="0" fontId="106" fillId="14"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9" fillId="8" borderId="119" xfId="14" applyNumberFormat="1" applyFont="1" applyFill="1" applyBorder="1" applyAlignment="1" applyProtection="1">
      <alignment horizontal="left" vertical="center" wrapText="1"/>
    </xf>
    <xf numFmtId="0" fontId="105" fillId="8" borderId="120" xfId="14" applyNumberFormat="1" applyFont="1" applyFill="1" applyBorder="1" applyAlignment="1" applyProtection="1">
      <alignment horizontal="left" vertical="center" wrapText="1"/>
      <protection locked="0"/>
    </xf>
    <xf numFmtId="0" fontId="105" fillId="8" borderId="121" xfId="14" applyNumberFormat="1" applyFont="1" applyFill="1" applyBorder="1" applyAlignment="1" applyProtection="1">
      <alignment horizontal="left" vertical="center" wrapText="1"/>
      <protection locked="0"/>
    </xf>
    <xf numFmtId="0" fontId="105"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07"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5" borderId="0" xfId="14" applyNumberFormat="1" applyFont="1" applyFill="1" applyAlignment="1" applyProtection="1">
      <alignment horizontal="left" vertical="center"/>
    </xf>
    <xf numFmtId="0" fontId="28" fillId="15" borderId="113" xfId="14" applyNumberFormat="1" applyFont="1" applyFill="1" applyBorder="1" applyAlignment="1" applyProtection="1">
      <alignment horizontal="left" vertical="center"/>
    </xf>
    <xf numFmtId="0" fontId="66" fillId="15" borderId="0" xfId="14" applyNumberFormat="1" applyFont="1" applyFill="1" applyAlignment="1" applyProtection="1">
      <alignment horizontal="left" vertical="center"/>
    </xf>
    <xf numFmtId="10" fontId="66" fillId="12" borderId="115"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5" fillId="9" borderId="123" xfId="14" applyNumberFormat="1" applyFont="1" applyFill="1" applyBorder="1" applyAlignment="1" applyProtection="1">
      <alignment horizontal="left" vertical="center" wrapText="1"/>
      <protection locked="0"/>
    </xf>
    <xf numFmtId="0" fontId="67" fillId="15"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6" fillId="14" borderId="123" xfId="14" applyNumberFormat="1" applyFont="1" applyFill="1" applyBorder="1" applyAlignment="1" applyProtection="1">
      <alignment horizontal="left" vertical="center" wrapText="1"/>
      <protection locked="0"/>
    </xf>
    <xf numFmtId="0" fontId="28" fillId="14" borderId="0" xfId="14" applyNumberFormat="1" applyFont="1" applyFill="1" applyAlignment="1" applyProtection="1">
      <alignment horizontal="left" vertical="center"/>
    </xf>
    <xf numFmtId="10" fontId="28" fillId="14" borderId="115" xfId="14" applyNumberFormat="1" applyFont="1" applyFill="1" applyBorder="1" applyAlignment="1" applyProtection="1">
      <alignment horizontal="left" vertical="center"/>
    </xf>
    <xf numFmtId="10" fontId="28" fillId="14" borderId="0" xfId="14" applyNumberFormat="1" applyFont="1" applyFill="1" applyAlignment="1" applyProtection="1">
      <alignment horizontal="left" vertical="center"/>
    </xf>
    <xf numFmtId="0" fontId="105" fillId="8" borderId="124" xfId="14" applyNumberFormat="1" applyFont="1" applyFill="1" applyBorder="1" applyAlignment="1" applyProtection="1">
      <alignment horizontal="left" vertical="center" wrapText="1"/>
      <protection locked="0"/>
    </xf>
    <xf numFmtId="0" fontId="67" fillId="15"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2" borderId="0" xfId="14" applyNumberFormat="1" applyFont="1" applyFill="1" applyAlignment="1" applyProtection="1">
      <alignment horizontal="left" vertical="center"/>
    </xf>
    <xf numFmtId="0" fontId="24" fillId="12"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2" borderId="0" xfId="14" applyNumberFormat="1" applyFont="1" applyFill="1" applyAlignment="1" applyProtection="1">
      <alignment horizontal="left" vertical="center"/>
    </xf>
    <xf numFmtId="10" fontId="24" fillId="12" borderId="127" xfId="14" applyNumberFormat="1" applyFont="1" applyFill="1" applyBorder="1" applyAlignment="1" applyProtection="1">
      <alignment horizontal="left" vertical="center"/>
    </xf>
    <xf numFmtId="10" fontId="24" fillId="12" borderId="128" xfId="14" applyNumberFormat="1" applyFont="1" applyFill="1" applyBorder="1" applyAlignment="1" applyProtection="1">
      <alignment horizontal="left" vertical="center"/>
    </xf>
    <xf numFmtId="10" fontId="24" fillId="12"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28" fillId="14" borderId="127" xfId="14" applyNumberFormat="1" applyFont="1" applyFill="1" applyBorder="1" applyAlignment="1" applyProtection="1">
      <alignment horizontal="left" vertical="center"/>
    </xf>
    <xf numFmtId="10" fontId="28" fillId="14" borderId="128" xfId="14" applyNumberFormat="1" applyFont="1" applyFill="1" applyBorder="1" applyAlignment="1" applyProtection="1">
      <alignment horizontal="left" vertical="center"/>
    </xf>
    <xf numFmtId="10" fontId="28" fillId="14" borderId="129"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2" borderId="0" xfId="13" applyFont="1" applyFill="1" applyAlignment="1">
      <alignment horizontal="left" vertical="center"/>
    </xf>
    <xf numFmtId="0" fontId="28" fillId="0" borderId="0" xfId="13" applyFont="1" applyFill="1" applyAlignment="1">
      <alignment horizontal="left" vertical="center"/>
    </xf>
    <xf numFmtId="0" fontId="108" fillId="16"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3"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92" fillId="2" borderId="113" xfId="4" applyFont="1" applyFill="1" applyBorder="1" applyAlignment="1" applyProtection="1">
      <alignment horizontal="left" vertical="center"/>
    </xf>
    <xf numFmtId="0" fontId="103"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2" borderId="0" xfId="14" applyFont="1" applyFill="1" applyAlignment="1">
      <alignment horizontal="left" vertical="center"/>
    </xf>
    <xf numFmtId="0" fontId="49" fillId="12" borderId="0" xfId="4" applyFont="1" applyFill="1" applyAlignment="1" applyProtection="1">
      <alignment horizontal="left" vertical="center"/>
    </xf>
    <xf numFmtId="0" fontId="103" fillId="12" borderId="0" xfId="4" applyFont="1" applyFill="1" applyAlignment="1" applyProtection="1">
      <alignment horizontal="left" vertical="center"/>
    </xf>
    <xf numFmtId="0" fontId="28" fillId="12" borderId="115" xfId="13" applyFont="1" applyFill="1" applyBorder="1" applyAlignment="1">
      <alignment horizontal="left" vertical="center"/>
    </xf>
    <xf numFmtId="0" fontId="28" fillId="12" borderId="0" xfId="13" applyFont="1" applyFill="1" applyBorder="1" applyAlignment="1">
      <alignment horizontal="left" vertical="center"/>
    </xf>
    <xf numFmtId="0" fontId="49" fillId="0" borderId="0" xfId="4" applyFont="1" applyFill="1" applyAlignment="1" applyProtection="1">
      <alignment horizontal="left" vertical="center"/>
    </xf>
    <xf numFmtId="0" fontId="103"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4" fontId="67" fillId="0" borderId="0" xfId="13" applyNumberFormat="1" applyFont="1" applyAlignment="1">
      <alignment horizontal="left" vertical="center"/>
    </xf>
    <xf numFmtId="0" fontId="105" fillId="9" borderId="117" xfId="13" applyFont="1" applyFill="1" applyBorder="1" applyAlignment="1" applyProtection="1">
      <alignment horizontal="left" vertical="center" wrapText="1"/>
    </xf>
    <xf numFmtId="0" fontId="105" fillId="13" borderId="133" xfId="13" applyFont="1" applyFill="1" applyBorder="1" applyAlignment="1" applyProtection="1">
      <alignment horizontal="left" vertical="center" wrapText="1"/>
    </xf>
    <xf numFmtId="184" fontId="28" fillId="13" borderId="133" xfId="14" applyNumberFormat="1" applyFont="1" applyFill="1" applyBorder="1" applyAlignment="1" applyProtection="1">
      <alignment horizontal="left" vertical="center" wrapText="1"/>
    </xf>
    <xf numFmtId="184" fontId="28" fillId="13" borderId="134" xfId="14" applyNumberFormat="1" applyFont="1" applyFill="1" applyBorder="1" applyAlignment="1" applyProtection="1">
      <alignment horizontal="left" vertical="center" wrapText="1"/>
    </xf>
    <xf numFmtId="0" fontId="105" fillId="13" borderId="117" xfId="13" applyFont="1" applyFill="1" applyBorder="1" applyAlignment="1" applyProtection="1">
      <alignment horizontal="left" vertical="center" wrapText="1"/>
    </xf>
    <xf numFmtId="184" fontId="28" fillId="13" borderId="133" xfId="14" applyNumberFormat="1" applyFont="1" applyFill="1" applyBorder="1" applyAlignment="1">
      <alignment horizontal="left" vertical="center" wrapText="1"/>
    </xf>
    <xf numFmtId="184" fontId="28" fillId="13" borderId="134" xfId="14" applyNumberFormat="1" applyFont="1" applyFill="1" applyBorder="1" applyAlignment="1">
      <alignment horizontal="left" vertical="center" wrapText="1"/>
    </xf>
    <xf numFmtId="184" fontId="28" fillId="13" borderId="133" xfId="13" applyNumberFormat="1" applyFont="1" applyFill="1" applyBorder="1" applyAlignment="1">
      <alignment horizontal="left" vertical="center" wrapText="1"/>
    </xf>
    <xf numFmtId="184" fontId="28" fillId="13" borderId="134" xfId="13" applyNumberFormat="1" applyFont="1" applyFill="1" applyBorder="1" applyAlignment="1">
      <alignment horizontal="left" vertical="center" wrapText="1"/>
    </xf>
    <xf numFmtId="0" fontId="105" fillId="13" borderId="139" xfId="13" applyFont="1" applyFill="1" applyBorder="1" applyAlignment="1" applyProtection="1">
      <alignment horizontal="left" vertical="center" wrapText="1"/>
    </xf>
    <xf numFmtId="0" fontId="105" fillId="9" borderId="133" xfId="13" applyFont="1" applyFill="1" applyBorder="1" applyAlignment="1" applyProtection="1">
      <alignment horizontal="left" vertical="center" wrapText="1"/>
    </xf>
    <xf numFmtId="184" fontId="28" fillId="13" borderId="117" xfId="13" applyNumberFormat="1" applyFont="1" applyFill="1" applyBorder="1" applyAlignment="1">
      <alignment horizontal="left" vertical="center" wrapText="1"/>
    </xf>
    <xf numFmtId="184" fontId="28" fillId="13"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4"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3" borderId="139" xfId="13" applyFont="1" applyFill="1" applyBorder="1" applyAlignment="1" applyProtection="1">
      <alignment horizontal="left" vertical="center" wrapText="1"/>
    </xf>
    <xf numFmtId="184" fontId="28" fillId="13" borderId="139" xfId="13" applyNumberFormat="1" applyFont="1" applyFill="1" applyBorder="1" applyAlignment="1">
      <alignment horizontal="left" vertical="center" wrapText="1"/>
    </xf>
    <xf numFmtId="184" fontId="28" fillId="13" borderId="140" xfId="13" applyNumberFormat="1" applyFont="1" applyFill="1" applyBorder="1" applyAlignment="1">
      <alignment horizontal="left" vertical="center" wrapText="1"/>
    </xf>
    <xf numFmtId="184" fontId="67"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5" fillId="9" borderId="117" xfId="14" applyFont="1" applyFill="1" applyBorder="1" applyAlignment="1" applyProtection="1">
      <alignment horizontal="left" vertical="center" wrapText="1"/>
    </xf>
    <xf numFmtId="0" fontId="105"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5" fillId="9" borderId="123" xfId="13" applyFont="1" applyFill="1" applyBorder="1" applyAlignment="1" applyProtection="1">
      <alignment horizontal="left" vertical="center" wrapText="1"/>
    </xf>
    <xf numFmtId="0" fontId="105" fillId="13" borderId="141" xfId="13" applyFont="1" applyFill="1" applyBorder="1" applyAlignment="1" applyProtection="1">
      <alignment horizontal="left" vertical="center" wrapText="1"/>
    </xf>
    <xf numFmtId="0" fontId="105" fillId="13"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5" fillId="13" borderId="144" xfId="13" applyFont="1" applyFill="1" applyBorder="1" applyAlignment="1" applyProtection="1">
      <alignment horizontal="left" vertical="center" wrapText="1"/>
    </xf>
    <xf numFmtId="0" fontId="105"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3" borderId="144" xfId="13" applyFont="1" applyFill="1" applyBorder="1" applyAlignment="1" applyProtection="1">
      <alignment horizontal="left" vertical="center" wrapText="1"/>
    </xf>
    <xf numFmtId="0" fontId="12" fillId="12" borderId="0" xfId="14" applyFont="1" applyFill="1" applyAlignment="1">
      <alignment horizontal="left" vertical="center"/>
    </xf>
    <xf numFmtId="0" fontId="67" fillId="12" borderId="0" xfId="13" applyFont="1" applyFill="1" applyAlignment="1">
      <alignment horizontal="left" vertical="center"/>
    </xf>
    <xf numFmtId="0" fontId="28" fillId="0" borderId="0" xfId="14" applyFont="1" applyFill="1" applyAlignment="1">
      <alignment horizontal="left" vertical="center"/>
    </xf>
    <xf numFmtId="179" fontId="67" fillId="0" borderId="0" xfId="13" applyNumberFormat="1" applyFont="1" applyAlignment="1">
      <alignment horizontal="left" vertical="center"/>
    </xf>
    <xf numFmtId="183" fontId="67" fillId="0" borderId="115" xfId="13" applyNumberFormat="1" applyFont="1" applyBorder="1" applyAlignment="1">
      <alignment horizontal="left" vertical="center"/>
    </xf>
    <xf numFmtId="183" fontId="67" fillId="0" borderId="0" xfId="13" applyNumberFormat="1" applyFont="1" applyAlignment="1">
      <alignment horizontal="left" vertical="center"/>
    </xf>
    <xf numFmtId="179"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2" borderId="0" xfId="13" applyNumberFormat="1" applyFont="1" applyFill="1" applyAlignment="1">
      <alignment horizontal="left" vertical="center"/>
    </xf>
    <xf numFmtId="0" fontId="7" fillId="0" borderId="0" xfId="13" applyFont="1" applyAlignment="1">
      <alignment horizontal="left" vertical="center"/>
    </xf>
    <xf numFmtId="184" fontId="67" fillId="0" borderId="17" xfId="13" applyNumberFormat="1" applyFont="1" applyBorder="1" applyAlignment="1">
      <alignment horizontal="left" vertical="center"/>
    </xf>
    <xf numFmtId="0" fontId="105" fillId="9" borderId="145" xfId="13" applyFont="1" applyFill="1" applyBorder="1" applyAlignment="1" applyProtection="1">
      <alignment horizontal="left" vertical="center" wrapText="1"/>
    </xf>
    <xf numFmtId="0" fontId="105" fillId="13"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9" fontId="67" fillId="17" borderId="0" xfId="13" applyNumberFormat="1" applyFont="1" applyFill="1" applyAlignment="1">
      <alignment horizontal="left" vertical="center"/>
    </xf>
    <xf numFmtId="0" fontId="105" fillId="9" borderId="139" xfId="13" applyFont="1" applyFill="1" applyBorder="1" applyAlignment="1" applyProtection="1">
      <alignment horizontal="left" vertical="center" wrapText="1"/>
    </xf>
    <xf numFmtId="0" fontId="28" fillId="13" borderId="139" xfId="13" applyFont="1" applyFill="1" applyBorder="1" applyAlignment="1">
      <alignment horizontal="left" vertical="center" wrapText="1"/>
    </xf>
    <xf numFmtId="0" fontId="28" fillId="13" borderId="140" xfId="13" applyFont="1" applyFill="1" applyBorder="1" applyAlignment="1">
      <alignment horizontal="left" vertical="center" wrapText="1"/>
    </xf>
    <xf numFmtId="0" fontId="105" fillId="3" borderId="117" xfId="13" applyFont="1" applyFill="1" applyBorder="1" applyAlignment="1" applyProtection="1">
      <alignment horizontal="left" vertical="center" wrapText="1"/>
    </xf>
    <xf numFmtId="0" fontId="28" fillId="13" borderId="149" xfId="13" applyFont="1" applyFill="1" applyBorder="1" applyAlignment="1">
      <alignment horizontal="left" vertical="center" wrapText="1"/>
    </xf>
    <xf numFmtId="0" fontId="28" fillId="13" borderId="150" xfId="13" applyFont="1" applyFill="1" applyBorder="1" applyAlignment="1">
      <alignment horizontal="left" vertical="center" wrapText="1"/>
    </xf>
    <xf numFmtId="0" fontId="28" fillId="13" borderId="151" xfId="13" applyFont="1" applyFill="1" applyBorder="1" applyAlignment="1">
      <alignment horizontal="left" vertical="center" wrapText="1"/>
    </xf>
    <xf numFmtId="0" fontId="15" fillId="0" borderId="0" xfId="13" applyFont="1" applyAlignment="1">
      <alignment horizontal="left" vertical="center"/>
    </xf>
    <xf numFmtId="0" fontId="93" fillId="0" borderId="115" xfId="13" applyFont="1" applyBorder="1" applyAlignment="1">
      <alignment horizontal="left" vertical="center"/>
    </xf>
    <xf numFmtId="0" fontId="105"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5" fillId="13" borderId="154" xfId="13" applyFont="1" applyFill="1" applyBorder="1" applyAlignment="1" applyProtection="1">
      <alignment horizontal="left" vertical="center" wrapText="1"/>
    </xf>
    <xf numFmtId="10" fontId="67" fillId="17" borderId="115" xfId="13" applyNumberFormat="1" applyFont="1" applyFill="1" applyBorder="1" applyAlignment="1">
      <alignment horizontal="left" vertical="center"/>
    </xf>
    <xf numFmtId="10" fontId="67" fillId="17" borderId="0" xfId="13" applyNumberFormat="1" applyFont="1" applyFill="1" applyAlignment="1">
      <alignment horizontal="left" vertical="center"/>
    </xf>
    <xf numFmtId="10" fontId="67" fillId="17" borderId="143" xfId="13" applyNumberFormat="1" applyFont="1" applyFill="1" applyBorder="1" applyAlignment="1">
      <alignment horizontal="left" vertical="center"/>
    </xf>
    <xf numFmtId="10" fontId="67" fillId="17" borderId="89" xfId="13" applyNumberFormat="1" applyFont="1" applyFill="1" applyBorder="1" applyAlignment="1">
      <alignment horizontal="left" vertical="center"/>
    </xf>
    <xf numFmtId="10" fontId="67" fillId="17" borderId="153" xfId="13" applyNumberFormat="1" applyFont="1" applyFill="1" applyBorder="1" applyAlignment="1">
      <alignment horizontal="left" vertical="center"/>
    </xf>
    <xf numFmtId="10" fontId="67" fillId="17" borderId="17" xfId="13" applyNumberFormat="1" applyFont="1" applyFill="1" applyBorder="1" applyAlignment="1">
      <alignment horizontal="left" vertical="center"/>
    </xf>
    <xf numFmtId="194" fontId="67" fillId="0" borderId="0" xfId="13" applyNumberFormat="1" applyFont="1" applyAlignment="1">
      <alignment horizontal="left" vertical="center"/>
    </xf>
    <xf numFmtId="194" fontId="67" fillId="0" borderId="115" xfId="13" applyNumberFormat="1" applyFont="1" applyBorder="1" applyAlignment="1">
      <alignment horizontal="left" vertical="center"/>
    </xf>
    <xf numFmtId="194"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4" fontId="93" fillId="0" borderId="0" xfId="13" applyNumberFormat="1" applyFont="1" applyAlignment="1">
      <alignment horizontal="left" vertical="center"/>
    </xf>
    <xf numFmtId="194" fontId="93" fillId="0" borderId="115" xfId="13" applyNumberFormat="1" applyFont="1" applyBorder="1" applyAlignment="1">
      <alignment horizontal="left" vertical="center"/>
    </xf>
    <xf numFmtId="179" fontId="67" fillId="0" borderId="17" xfId="13" applyNumberFormat="1" applyFont="1" applyBorder="1" applyAlignment="1">
      <alignment horizontal="left" vertical="center"/>
    </xf>
    <xf numFmtId="190" fontId="67" fillId="0" borderId="0" xfId="13" applyNumberFormat="1" applyFont="1" applyAlignment="1">
      <alignment horizontal="left" vertical="center"/>
    </xf>
    <xf numFmtId="190" fontId="67" fillId="0" borderId="17" xfId="13" applyNumberFormat="1" applyFont="1" applyBorder="1" applyAlignment="1">
      <alignment horizontal="left" vertical="center"/>
    </xf>
    <xf numFmtId="190" fontId="67"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9" borderId="133" xfId="13" applyFont="1" applyFill="1" applyBorder="1" applyAlignment="1">
      <alignment horizontal="left" vertical="center" wrapText="1"/>
    </xf>
    <xf numFmtId="0" fontId="105" fillId="13" borderId="156" xfId="13" applyFont="1" applyFill="1" applyBorder="1" applyAlignment="1">
      <alignment horizontal="left" vertical="center" wrapText="1"/>
    </xf>
    <xf numFmtId="0" fontId="105" fillId="13" borderId="117"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9" borderId="117" xfId="13" applyFont="1" applyFill="1" applyBorder="1" applyAlignment="1">
      <alignment horizontal="left" vertical="center" wrapText="1"/>
    </xf>
    <xf numFmtId="0" fontId="105" fillId="13" borderId="157" xfId="13" applyFont="1" applyFill="1" applyBorder="1" applyAlignment="1">
      <alignment horizontal="left" vertical="center" wrapText="1"/>
    </xf>
    <xf numFmtId="0" fontId="105"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8" fontId="112" fillId="2" borderId="1" xfId="3"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81" fontId="1" fillId="0" borderId="0" xfId="9" applyNumberFormat="1" applyProtection="1">
      <alignment vertical="center"/>
    </xf>
    <xf numFmtId="0" fontId="1" fillId="0" borderId="0" xfId="9" applyNumberFormat="1" applyProtection="1">
      <alignment vertical="center"/>
    </xf>
    <xf numFmtId="186" fontId="115"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81"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81" fontId="116" fillId="2" borderId="1" xfId="9" applyNumberFormat="1" applyFont="1" applyFill="1" applyBorder="1" applyAlignment="1" applyProtection="1">
      <alignment horizontal="center" vertical="center" wrapText="1"/>
    </xf>
    <xf numFmtId="0" fontId="116"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6"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11" fillId="2" borderId="39" xfId="6" applyFont="1" applyFill="1" applyBorder="1" applyAlignment="1" applyProtection="1">
      <alignment horizontal="left" vertical="center" wrapText="1"/>
    </xf>
    <xf numFmtId="0" fontId="125" fillId="2" borderId="4" xfId="6" applyFont="1" applyFill="1" applyBorder="1" applyAlignment="1" applyProtection="1">
      <alignment horizontal="center" vertical="center"/>
    </xf>
    <xf numFmtId="0" fontId="111" fillId="2" borderId="1" xfId="6" applyFont="1" applyFill="1" applyBorder="1" applyAlignment="1" applyProtection="1">
      <alignment horizontal="left" vertical="center" wrapText="1"/>
    </xf>
    <xf numFmtId="0" fontId="111" fillId="2" borderId="34" xfId="6" applyFont="1" applyFill="1" applyBorder="1" applyAlignment="1" applyProtection="1">
      <alignment horizontal="left" vertical="center" wrapText="1"/>
    </xf>
    <xf numFmtId="0" fontId="125" fillId="2" borderId="6" xfId="6" applyFont="1" applyFill="1" applyBorder="1" applyAlignment="1" applyProtection="1">
      <alignment horizontal="center" vertical="center"/>
    </xf>
    <xf numFmtId="0" fontId="111" fillId="2" borderId="3" xfId="6" applyFont="1" applyFill="1" applyBorder="1" applyAlignment="1" applyProtection="1">
      <alignment horizontal="left" vertical="center" wrapText="1"/>
    </xf>
    <xf numFmtId="0" fontId="111" fillId="2" borderId="68" xfId="6" applyFont="1" applyFill="1" applyBorder="1" applyAlignment="1" applyProtection="1">
      <alignment horizontal="left" vertical="center" wrapText="1"/>
    </xf>
    <xf numFmtId="0" fontId="111" fillId="2" borderId="80" xfId="6" applyFont="1" applyFill="1" applyBorder="1" applyAlignment="1" applyProtection="1">
      <alignment horizontal="left" vertical="center" wrapText="1"/>
    </xf>
    <xf numFmtId="0" fontId="111" fillId="2" borderId="8" xfId="6" applyFont="1" applyFill="1" applyBorder="1" applyAlignment="1" applyProtection="1">
      <alignment horizontal="left" vertical="center" wrapText="1"/>
    </xf>
    <xf numFmtId="0" fontId="111"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11" fillId="2" borderId="10" xfId="6" applyFont="1" applyFill="1" applyBorder="1" applyAlignment="1" applyProtection="1">
      <alignment horizontal="left" vertical="center" wrapText="1"/>
    </xf>
    <xf numFmtId="0" fontId="125"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11" fillId="2" borderId="35"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11" fillId="2" borderId="7" xfId="6" applyFont="1" applyFill="1" applyBorder="1" applyAlignment="1" applyProtection="1">
      <alignment horizontal="left" vertical="center" wrapText="1"/>
    </xf>
    <xf numFmtId="0" fontId="111" fillId="2" borderId="15" xfId="6" applyFont="1" applyFill="1" applyBorder="1" applyAlignment="1" applyProtection="1">
      <alignment horizontal="left" vertical="center" wrapText="1"/>
    </xf>
    <xf numFmtId="0" fontId="111"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11" fillId="2" borderId="6" xfId="6" applyFont="1" applyFill="1" applyBorder="1" applyAlignment="1" applyProtection="1">
      <alignment horizontal="left" vertical="center" wrapText="1"/>
    </xf>
    <xf numFmtId="0" fontId="125" fillId="2" borderId="39" xfId="6" applyFont="1" applyFill="1" applyBorder="1" applyProtection="1">
      <alignment vertical="center"/>
    </xf>
    <xf numFmtId="0" fontId="125" fillId="2" borderId="10" xfId="6" applyFont="1" applyFill="1" applyBorder="1" applyProtection="1">
      <alignment vertical="center"/>
    </xf>
    <xf numFmtId="0" fontId="125" fillId="2" borderId="42" xfId="6" applyFont="1" applyFill="1" applyBorder="1" applyProtection="1">
      <alignment vertical="center"/>
    </xf>
    <xf numFmtId="0" fontId="126" fillId="2" borderId="0" xfId="6" applyFont="1" applyFill="1" applyBorder="1" applyProtection="1">
      <alignment vertical="center"/>
    </xf>
    <xf numFmtId="0" fontId="1" fillId="2" borderId="1" xfId="6" applyFill="1" applyBorder="1" applyAlignment="1" applyProtection="1">
      <alignment horizontal="left" vertical="center"/>
    </xf>
    <xf numFmtId="0" fontId="111" fillId="2" borderId="11" xfId="6" applyFont="1" applyFill="1" applyBorder="1" applyAlignment="1" applyProtection="1">
      <alignment horizontal="left" vertical="center" wrapText="1"/>
    </xf>
    <xf numFmtId="0" fontId="127" fillId="2" borderId="0" xfId="6" applyFont="1" applyFill="1" applyProtection="1">
      <alignment vertical="center"/>
    </xf>
    <xf numFmtId="0" fontId="126" fillId="2" borderId="0" xfId="6" applyFont="1" applyFill="1" applyProtection="1">
      <alignment vertical="center"/>
    </xf>
    <xf numFmtId="0" fontId="111"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11"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6"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6"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6"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6" applyFont="1" applyFill="1" applyBorder="1" applyAlignment="1" applyProtection="1">
      <alignment vertical="center"/>
    </xf>
    <xf numFmtId="0" fontId="129" fillId="2" borderId="0" xfId="6"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6"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6"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6" applyFont="1" applyFill="1" applyBorder="1" applyAlignment="1" applyProtection="1">
      <alignment vertical="center"/>
    </xf>
    <xf numFmtId="0" fontId="128" fillId="2" borderId="0" xfId="6" applyFont="1" applyFill="1" applyBorder="1" applyAlignment="1" applyProtection="1">
      <alignment vertical="center"/>
    </xf>
    <xf numFmtId="0" fontId="128" fillId="2" borderId="34" xfId="6" applyFont="1" applyFill="1" applyBorder="1" applyAlignment="1" applyProtection="1">
      <alignment vertical="center" wrapText="1"/>
    </xf>
    <xf numFmtId="0" fontId="128" fillId="2" borderId="9" xfId="6" applyFont="1" applyFill="1" applyBorder="1" applyAlignment="1" applyProtection="1">
      <alignment horizontal="center" vertical="center" wrapText="1"/>
    </xf>
    <xf numFmtId="0" fontId="128" fillId="2" borderId="3" xfId="6" applyFont="1" applyFill="1" applyBorder="1" applyAlignment="1" applyProtection="1">
      <alignment vertical="center" wrapText="1"/>
    </xf>
    <xf numFmtId="0" fontId="128" fillId="2" borderId="81" xfId="6" applyFont="1" applyFill="1" applyBorder="1" applyAlignment="1" applyProtection="1">
      <alignment vertical="center" wrapText="1"/>
    </xf>
    <xf numFmtId="0" fontId="128" fillId="2" borderId="11" xfId="6" applyFont="1" applyFill="1" applyBorder="1" applyAlignment="1" applyProtection="1">
      <alignment horizontal="center" vertical="center" wrapText="1"/>
    </xf>
    <xf numFmtId="0" fontId="128"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6" applyFont="1" applyFill="1" applyAlignment="1" applyProtection="1">
      <alignment horizontal="center" vertical="center"/>
    </xf>
    <xf numFmtId="0" fontId="128" fillId="2" borderId="1" xfId="6" applyFont="1" applyFill="1" applyBorder="1" applyAlignment="1" applyProtection="1">
      <alignment horizontal="center" vertical="center"/>
    </xf>
    <xf numFmtId="9" fontId="128" fillId="2" borderId="1" xfId="6"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6" applyFont="1" applyFill="1" applyAlignment="1" applyProtection="1">
      <alignment vertical="center"/>
    </xf>
    <xf numFmtId="0" fontId="129" fillId="2" borderId="0" xfId="6" applyFont="1" applyFill="1" applyAlignment="1" applyProtection="1">
      <alignment horizontal="center" vertical="center"/>
    </xf>
    <xf numFmtId="0" fontId="50" fillId="0" borderId="0" xfId="6" applyFont="1" applyAlignment="1" applyProtection="1">
      <alignment vertical="center" wrapText="1"/>
    </xf>
    <xf numFmtId="0" fontId="116" fillId="6" borderId="0" xfId="6" applyFont="1" applyFill="1" applyAlignment="1" applyProtection="1">
      <alignment vertical="center" wrapText="1"/>
    </xf>
    <xf numFmtId="0" fontId="116" fillId="6"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6" borderId="0" xfId="6" applyFont="1" applyFill="1" applyAlignment="1" applyProtection="1">
      <alignment horizontal="center" vertical="center" wrapText="1"/>
    </xf>
    <xf numFmtId="0" fontId="130"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6" fillId="2"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6" fillId="2" borderId="1" xfId="6" applyNumberFormat="1" applyFont="1" applyFill="1" applyBorder="1" applyAlignment="1" applyProtection="1">
      <alignment horizontal="left" vertical="center" wrapText="1"/>
    </xf>
    <xf numFmtId="0" fontId="116" fillId="3" borderId="1" xfId="6" applyNumberFormat="1" applyFont="1" applyFill="1" applyBorder="1" applyAlignment="1" applyProtection="1">
      <alignment horizontal="center" vertical="center" wrapText="1"/>
      <protection locked="0"/>
    </xf>
    <xf numFmtId="0" fontId="116"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6" fillId="3" borderId="1" xfId="6"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81" fontId="34" fillId="2" borderId="1" xfId="6" applyNumberFormat="1" applyFont="1" applyFill="1" applyBorder="1" applyAlignment="1" applyProtection="1">
      <alignment horizontal="center" vertical="center" wrapText="1"/>
    </xf>
    <xf numFmtId="0" fontId="116"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32"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4" fillId="2" borderId="63" xfId="6" applyFont="1" applyFill="1" applyBorder="1" applyAlignment="1" applyProtection="1">
      <alignment horizontal="left" vertical="center"/>
    </xf>
    <xf numFmtId="0" fontId="116"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6"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6" fillId="2" borderId="55"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6" fillId="2" borderId="10" xfId="6" applyFont="1" applyFill="1" applyBorder="1" applyAlignment="1" applyProtection="1">
      <alignment horizontal="left" vertical="center"/>
    </xf>
    <xf numFmtId="0" fontId="116"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6"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6" fillId="2" borderId="18" xfId="6" applyFont="1" applyFill="1" applyBorder="1" applyAlignment="1" applyProtection="1">
      <alignment horizontal="left" vertical="center"/>
    </xf>
    <xf numFmtId="0" fontId="116"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6" fillId="2" borderId="78" xfId="6" applyFont="1" applyFill="1" applyBorder="1" applyAlignment="1" applyProtection="1">
      <alignment horizontal="left" vertical="center" wrapText="1"/>
    </xf>
    <xf numFmtId="49" fontId="92" fillId="2"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3" borderId="11" xfId="6" applyFont="1" applyFill="1" applyBorder="1" applyAlignment="1" applyProtection="1">
      <alignment horizontal="left" vertical="center" wrapText="1"/>
      <protection locked="0"/>
    </xf>
    <xf numFmtId="0" fontId="111" fillId="3" borderId="1" xfId="6" applyFont="1" applyFill="1" applyBorder="1" applyAlignment="1" applyProtection="1">
      <alignment horizontal="left" vertical="center" wrapText="1"/>
      <protection locked="0"/>
    </xf>
    <xf numFmtId="0" fontId="111"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2"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6" fillId="3" borderId="5" xfId="6" applyFont="1" applyFill="1" applyBorder="1" applyAlignment="1" applyProtection="1">
      <alignment horizontal="center" vertical="center" wrapText="1"/>
      <protection locked="0"/>
    </xf>
    <xf numFmtId="0" fontId="116"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6" applyFont="1" applyFill="1" applyBorder="1" applyAlignment="1" applyProtection="1">
      <alignment horizontal="center" vertical="center" wrapText="1"/>
    </xf>
    <xf numFmtId="0" fontId="116"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6"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6"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9"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9" fillId="2" borderId="80" xfId="6" applyNumberFormat="1" applyFont="1" applyFill="1" applyBorder="1" applyAlignment="1" applyProtection="1">
      <alignment horizontal="center" vertical="center" wrapText="1"/>
    </xf>
    <xf numFmtId="0" fontId="116"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3" fontId="67" fillId="2" borderId="80" xfId="6"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9" fontId="19" fillId="2" borderId="35" xfId="6" applyNumberFormat="1" applyFont="1" applyFill="1" applyBorder="1" applyAlignment="1" applyProtection="1">
      <alignment horizontal="center" vertical="center" wrapText="1"/>
    </xf>
    <xf numFmtId="189"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6"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6" fillId="2" borderId="20" xfId="6" applyFont="1" applyFill="1" applyBorder="1" applyAlignment="1" applyProtection="1">
      <alignment vertical="center" wrapText="1"/>
    </xf>
    <xf numFmtId="0" fontId="116"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6" fillId="2" borderId="16" xfId="6" applyFont="1" applyFill="1" applyBorder="1" applyAlignment="1" applyProtection="1">
      <alignment vertical="center" wrapText="1"/>
    </xf>
    <xf numFmtId="0" fontId="116"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6" fillId="2" borderId="78" xfId="6" applyFont="1" applyFill="1" applyBorder="1" applyAlignment="1" applyProtection="1">
      <alignment vertical="center" wrapText="1"/>
    </xf>
    <xf numFmtId="0" fontId="116" fillId="2" borderId="68" xfId="6" applyFont="1" applyFill="1" applyBorder="1" applyAlignment="1" applyProtection="1">
      <alignment horizontal="center" vertical="center" wrapText="1"/>
    </xf>
    <xf numFmtId="0" fontId="116"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9" fillId="2" borderId="10" xfId="0" applyFont="1" applyFill="1" applyBorder="1" applyAlignment="1" applyProtection="1">
      <alignment vertical="center"/>
    </xf>
    <xf numFmtId="0" fontId="111"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6" fillId="2" borderId="97"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6"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6" fillId="2" borderId="78" xfId="6" applyFont="1" applyFill="1" applyBorder="1" applyAlignment="1" applyProtection="1">
      <alignment vertical="center"/>
    </xf>
    <xf numFmtId="0" fontId="116"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1"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11"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11"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6"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6"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92"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9" fontId="5" fillId="2" borderId="55" xfId="6" applyNumberFormat="1" applyFont="1" applyFill="1" applyBorder="1" applyAlignment="1" applyProtection="1">
      <alignment horizontal="left" vertical="center" wrapText="1"/>
    </xf>
    <xf numFmtId="0" fontId="92" fillId="2" borderId="55" xfId="6" applyFont="1" applyFill="1" applyBorder="1" applyAlignment="1" applyProtection="1">
      <alignment horizontal="left" vertical="center"/>
    </xf>
    <xf numFmtId="0" fontId="137" fillId="2" borderId="78" xfId="6" applyFont="1" applyFill="1" applyBorder="1" applyAlignment="1" applyProtection="1">
      <alignment horizontal="left" vertical="center"/>
    </xf>
    <xf numFmtId="0" fontId="137"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8" fillId="2" borderId="6" xfId="6" applyFont="1" applyFill="1" applyBorder="1" applyAlignment="1" applyProtection="1">
      <alignment horizontal="left" vertical="center" wrapText="1"/>
    </xf>
    <xf numFmtId="0" fontId="128" fillId="2" borderId="1" xfId="6" applyNumberFormat="1" applyFont="1" applyFill="1" applyBorder="1" applyAlignment="1" applyProtection="1">
      <alignment horizontal="left" vertical="center" wrapText="1"/>
    </xf>
    <xf numFmtId="0" fontId="138"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8" fillId="2" borderId="1" xfId="6" applyNumberFormat="1" applyFont="1" applyFill="1" applyBorder="1" applyAlignment="1" applyProtection="1">
      <alignment horizontal="left" vertical="center" wrapText="1"/>
    </xf>
    <xf numFmtId="0" fontId="138"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6" applyFont="1" applyFill="1" applyBorder="1" applyAlignment="1" applyProtection="1">
      <alignment horizontal="left" vertical="center" wrapText="1"/>
    </xf>
    <xf numFmtId="0" fontId="128" fillId="2" borderId="9" xfId="6" applyNumberFormat="1" applyFont="1" applyFill="1" applyBorder="1" applyAlignment="1" applyProtection="1">
      <alignment horizontal="left" vertical="center" wrapText="1"/>
    </xf>
    <xf numFmtId="0" fontId="128" fillId="2" borderId="7" xfId="6" applyFont="1" applyFill="1" applyBorder="1" applyAlignment="1" applyProtection="1">
      <alignment horizontal="left" vertical="center" wrapText="1"/>
    </xf>
    <xf numFmtId="49" fontId="128"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40" fillId="2" borderId="78" xfId="6" applyFont="1" applyFill="1" applyBorder="1" applyAlignment="1" applyProtection="1">
      <alignment horizontal="left" vertical="center"/>
    </xf>
    <xf numFmtId="0" fontId="116"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6" fillId="2" borderId="0" xfId="6" applyNumberFormat="1" applyFont="1" applyFill="1" applyAlignment="1" applyProtection="1">
      <alignment vertical="center" wrapText="1"/>
    </xf>
    <xf numFmtId="0" fontId="116"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9"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6" fillId="2" borderId="100" xfId="6" applyFont="1" applyFill="1" applyBorder="1" applyAlignment="1" applyProtection="1">
      <alignment horizontal="left" vertical="center" wrapText="1"/>
    </xf>
    <xf numFmtId="0" fontId="116" fillId="2" borderId="0" xfId="6" applyFont="1" applyFill="1" applyBorder="1" applyAlignment="1" applyProtection="1">
      <alignment vertical="center" wrapText="1"/>
      <protection locked="0"/>
    </xf>
    <xf numFmtId="0" fontId="116" fillId="2" borderId="0" xfId="6" applyFont="1" applyFill="1" applyAlignment="1" applyProtection="1">
      <alignment vertical="center"/>
      <protection locked="0"/>
    </xf>
    <xf numFmtId="0" fontId="116" fillId="2" borderId="45" xfId="6" applyFont="1" applyFill="1" applyBorder="1" applyAlignment="1" applyProtection="1">
      <alignment horizontal="left" vertical="center" wrapText="1"/>
    </xf>
    <xf numFmtId="0" fontId="116" fillId="2" borderId="46" xfId="6" applyFont="1" applyFill="1" applyBorder="1" applyAlignment="1" applyProtection="1">
      <alignment horizontal="left" vertical="center" wrapText="1"/>
    </xf>
    <xf numFmtId="0" fontId="116"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6" fillId="2" borderId="44" xfId="6" applyFont="1" applyFill="1" applyBorder="1" applyAlignment="1" applyProtection="1">
      <alignment horizontal="left" vertical="center" wrapText="1"/>
    </xf>
    <xf numFmtId="0" fontId="116" fillId="2"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4"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3" fillId="2" borderId="89" xfId="0" applyNumberFormat="1" applyFont="1" applyFill="1" applyBorder="1" applyAlignment="1" applyProtection="1">
      <alignment horizontal="left" vertical="center"/>
    </xf>
    <xf numFmtId="0" fontId="93"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6"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6"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41" fillId="2" borderId="19" xfId="6" applyFont="1" applyFill="1" applyBorder="1" applyAlignment="1" applyProtection="1">
      <alignment horizontal="center" vertical="center" wrapText="1"/>
      <protection locked="0"/>
    </xf>
    <xf numFmtId="0" fontId="141" fillId="2" borderId="5" xfId="6" applyFont="1" applyFill="1" applyBorder="1" applyAlignment="1" applyProtection="1">
      <alignment vertical="center" wrapText="1"/>
      <protection locked="0"/>
    </xf>
    <xf numFmtId="0" fontId="141"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6"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41"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6" fillId="2" borderId="48" xfId="6" applyFont="1" applyFill="1" applyBorder="1" applyAlignment="1" applyProtection="1">
      <alignment vertical="center" wrapText="1"/>
    </xf>
    <xf numFmtId="0" fontId="116" fillId="2" borderId="4"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xf>
    <xf numFmtId="0" fontId="116" fillId="2" borderId="13" xfId="6" applyFont="1" applyFill="1" applyBorder="1" applyAlignment="1" applyProtection="1">
      <alignment horizontal="center" vertical="center" wrapText="1"/>
    </xf>
    <xf numFmtId="0" fontId="116" fillId="2" borderId="67" xfId="6" applyFont="1" applyFill="1" applyBorder="1" applyAlignment="1" applyProtection="1">
      <alignment vertical="center" wrapText="1"/>
    </xf>
    <xf numFmtId="0" fontId="116"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6" fillId="2" borderId="44" xfId="6" applyFont="1" applyFill="1" applyBorder="1" applyAlignment="1" applyProtection="1">
      <alignment vertical="center" wrapText="1"/>
    </xf>
    <xf numFmtId="9" fontId="116"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11" fillId="2" borderId="46" xfId="6" applyFont="1" applyFill="1" applyBorder="1" applyAlignment="1" applyProtection="1">
      <alignment vertical="center"/>
    </xf>
    <xf numFmtId="0" fontId="111"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6" fillId="2" borderId="53" xfId="6" applyFont="1" applyFill="1" applyBorder="1" applyAlignment="1" applyProtection="1">
      <alignment vertical="center" wrapText="1"/>
    </xf>
    <xf numFmtId="0" fontId="116" fillId="2" borderId="56" xfId="6" applyFont="1" applyFill="1" applyBorder="1" applyAlignment="1" applyProtection="1">
      <alignment vertical="center"/>
    </xf>
    <xf numFmtId="0" fontId="116"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6"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6"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4"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6" fillId="2" borderId="0" xfId="6" applyFont="1" applyFill="1" applyAlignment="1" applyProtection="1">
      <alignment horizontal="center" vertical="center" wrapText="1"/>
      <protection locked="0"/>
    </xf>
    <xf numFmtId="0" fontId="116"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81"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9" fontId="93" fillId="0" borderId="1" xfId="6" applyNumberFormat="1" applyFont="1" applyFill="1" applyBorder="1" applyAlignment="1" applyProtection="1">
      <alignment horizontal="center" vertical="center"/>
      <protection locked="0"/>
    </xf>
    <xf numFmtId="179" fontId="93" fillId="2" borderId="1" xfId="6" applyNumberFormat="1" applyFont="1" applyFill="1" applyBorder="1" applyAlignment="1" applyProtection="1">
      <alignment horizontal="center" vertical="center"/>
    </xf>
    <xf numFmtId="189" fontId="93"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6" fillId="6"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8" fillId="2" borderId="8" xfId="6"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8" fillId="0" borderId="8" xfId="6" applyNumberFormat="1" applyFont="1" applyFill="1" applyBorder="1" applyAlignment="1" applyProtection="1">
      <alignment horizontal="left" vertical="center" wrapText="1"/>
      <protection locked="0"/>
    </xf>
    <xf numFmtId="0" fontId="128" fillId="2" borderId="8" xfId="6"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8" fillId="2" borderId="0" xfId="6" applyNumberFormat="1" applyFont="1" applyFill="1" applyBorder="1" applyAlignment="1" applyProtection="1">
      <alignment horizontal="left" vertical="center" wrapText="1"/>
    </xf>
    <xf numFmtId="0" fontId="138"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8" fillId="2" borderId="10" xfId="6" applyFont="1" applyFill="1" applyBorder="1" applyAlignment="1" applyProtection="1">
      <alignment vertical="center"/>
    </xf>
    <xf numFmtId="0" fontId="128" fillId="2" borderId="12" xfId="6" applyFont="1" applyFill="1" applyBorder="1" applyAlignment="1" applyProtection="1">
      <alignment vertical="center"/>
    </xf>
    <xf numFmtId="184" fontId="128" fillId="2" borderId="1" xfId="6" applyNumberFormat="1" applyFont="1" applyFill="1" applyBorder="1" applyAlignment="1" applyProtection="1">
      <alignment horizontal="center" vertical="center"/>
    </xf>
    <xf numFmtId="189" fontId="128" fillId="2" borderId="1" xfId="6" applyNumberFormat="1" applyFont="1" applyFill="1" applyBorder="1" applyAlignment="1" applyProtection="1">
      <alignment horizontal="center" vertical="center"/>
    </xf>
    <xf numFmtId="179" fontId="142" fillId="2" borderId="1" xfId="6" applyNumberFormat="1" applyFont="1" applyFill="1" applyBorder="1" applyAlignment="1" applyProtection="1">
      <alignment horizontal="center" vertical="center"/>
    </xf>
    <xf numFmtId="189" fontId="142" fillId="2" borderId="1" xfId="6" applyNumberFormat="1" applyFont="1" applyFill="1" applyBorder="1" applyAlignment="1" applyProtection="1">
      <alignment horizontal="center" vertical="center" wrapText="1"/>
    </xf>
    <xf numFmtId="0" fontId="128"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81" fontId="93"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3" fillId="2" borderId="55"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6" fillId="2" borderId="5"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3"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8" fillId="2" borderId="11" xfId="6" applyFont="1" applyFill="1" applyBorder="1" applyAlignment="1" applyProtection="1">
      <alignment vertical="center"/>
    </xf>
    <xf numFmtId="0" fontId="116" fillId="2" borderId="41" xfId="9" applyNumberFormat="1" applyFont="1" applyFill="1" applyBorder="1" applyAlignment="1" applyProtection="1">
      <alignment horizontal="center" vertical="center"/>
    </xf>
    <xf numFmtId="0" fontId="116" fillId="2" borderId="70" xfId="9" applyNumberFormat="1" applyFont="1" applyFill="1" applyBorder="1" applyAlignment="1" applyProtection="1">
      <alignment horizontal="center" vertical="center"/>
    </xf>
    <xf numFmtId="0" fontId="93" fillId="2" borderId="14" xfId="0" applyNumberFormat="1" applyFont="1" applyFill="1" applyBorder="1" applyAlignment="1" applyProtection="1">
      <alignment horizontal="left" vertical="center" wrapText="1"/>
    </xf>
    <xf numFmtId="0" fontId="9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9"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6" fontId="34"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0" fontId="19" fillId="18" borderId="1" xfId="0" applyFont="1" applyFill="1" applyBorder="1" applyAlignment="1" applyProtection="1">
      <alignment horizontal="center"/>
    </xf>
    <xf numFmtId="179"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81"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6" fillId="2" borderId="6" xfId="5" applyFont="1" applyFill="1" applyBorder="1" applyAlignment="1" applyProtection="1"/>
    <xf numFmtId="181"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9"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6"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2" fontId="145" fillId="2" borderId="54" xfId="0" applyNumberFormat="1" applyFont="1" applyFill="1" applyBorder="1" applyAlignment="1" applyProtection="1">
      <alignment horizontal="center" vertical="center"/>
    </xf>
    <xf numFmtId="182" fontId="36" fillId="9" borderId="0" xfId="0" applyNumberFormat="1"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2" fontId="34" fillId="7" borderId="11" xfId="0" applyNumberFormat="1" applyFont="1" applyFill="1" applyBorder="1" applyAlignment="1" applyProtection="1">
      <alignment horizontal="center" vertical="center"/>
    </xf>
    <xf numFmtId="186" fontId="34" fillId="2" borderId="46" xfId="0" applyNumberFormat="1" applyFont="1" applyFill="1" applyBorder="1" applyAlignment="1" applyProtection="1">
      <alignment horizontal="left" vertical="center" wrapText="1"/>
    </xf>
    <xf numFmtId="182" fontId="34" fillId="7" borderId="1"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90" fontId="30" fillId="0" borderId="80" xfId="0" applyNumberFormat="1" applyFont="1" applyFill="1" applyBorder="1" applyAlignment="1" applyProtection="1">
      <alignment horizontal="center" vertical="center" wrapText="1"/>
      <protection locked="0"/>
    </xf>
    <xf numFmtId="0" fontId="149" fillId="0" borderId="5"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5"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9"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xf>
    <xf numFmtId="183" fontId="34" fillId="6" borderId="0" xfId="0" applyNumberFormat="1" applyFont="1" applyFill="1" applyAlignment="1" applyProtection="1">
      <alignment horizontal="center" vertical="center"/>
    </xf>
    <xf numFmtId="0" fontId="84"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9"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9"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9"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6"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9" fontId="18" fillId="2" borderId="1" xfId="0" applyNumberFormat="1" applyFont="1" applyFill="1" applyBorder="1" applyAlignment="1" applyProtection="1">
      <alignment horizontal="center" vertical="center"/>
    </xf>
    <xf numFmtId="181" fontId="18" fillId="2" borderId="1" xfId="5" applyNumberFormat="1" applyFont="1" applyFill="1" applyBorder="1" applyAlignment="1" applyProtection="1">
      <alignment horizontal="center"/>
    </xf>
    <xf numFmtId="183"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9" fontId="41" fillId="2" borderId="1" xfId="5" applyNumberFormat="1" applyFont="1" applyFill="1" applyBorder="1" applyAlignment="1" applyProtection="1">
      <alignment horizontal="center"/>
    </xf>
    <xf numFmtId="0" fontId="41" fillId="2" borderId="1" xfId="5" applyFont="1" applyFill="1" applyBorder="1" applyAlignment="1" applyProtection="1"/>
    <xf numFmtId="179"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9"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 applyFont="1" applyFill="1" applyBorder="1" applyAlignment="1" applyProtection="1">
      <alignment vertical="center" wrapText="1"/>
    </xf>
    <xf numFmtId="179"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9" fontId="152" fillId="2" borderId="1" xfId="0" applyNumberFormat="1" applyFont="1" applyFill="1" applyBorder="1" applyAlignment="1" applyProtection="1">
      <alignment horizontal="center" vertical="center"/>
    </xf>
    <xf numFmtId="179" fontId="152" fillId="2" borderId="12" xfId="5"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4" fontId="23" fillId="2" borderId="9" xfId="0" applyNumberFormat="1" applyFont="1" applyFill="1" applyBorder="1" applyAlignment="1" applyProtection="1">
      <alignment horizontal="center"/>
    </xf>
    <xf numFmtId="189" fontId="152" fillId="2" borderId="9" xfId="0" applyNumberFormat="1" applyFont="1" applyFill="1" applyBorder="1" applyAlignment="1" applyProtection="1">
      <alignment horizontal="center" vertical="center"/>
    </xf>
    <xf numFmtId="179" fontId="152" fillId="2" borderId="54" xfId="5"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89" fontId="152" fillId="2" borderId="106" xfId="0" applyNumberFormat="1" applyFont="1" applyFill="1" applyBorder="1" applyAlignment="1" applyProtection="1">
      <alignment horizontal="center" vertical="center"/>
    </xf>
    <xf numFmtId="179" fontId="152" fillId="2" borderId="99" xfId="5" applyNumberFormat="1" applyFont="1" applyFill="1" applyBorder="1" applyAlignment="1" applyProtection="1">
      <alignment vertical="center"/>
    </xf>
    <xf numFmtId="10" fontId="152"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52" fillId="2" borderId="106" xfId="0" applyFont="1" applyFill="1" applyBorder="1" applyAlignment="1" applyProtection="1">
      <alignment horizontal="center" vertical="center" wrapText="1"/>
    </xf>
    <xf numFmtId="0" fontId="152" fillId="2" borderId="106" xfId="0" applyFont="1" applyFill="1" applyBorder="1" applyAlignment="1" applyProtection="1">
      <alignment vertical="center" wrapText="1"/>
    </xf>
    <xf numFmtId="10" fontId="152" fillId="2" borderId="106" xfId="0" applyNumberFormat="1" applyFont="1" applyFill="1" applyBorder="1" applyAlignment="1" applyProtection="1">
      <alignment horizontal="center" vertical="center" wrapText="1"/>
    </xf>
    <xf numFmtId="0" fontId="152"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6"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9"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3"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9"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1"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53"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9" fontId="18" fillId="2" borderId="12" xfId="5" applyNumberFormat="1" applyFont="1" applyFill="1" applyBorder="1" applyAlignment="1" applyProtection="1">
      <alignment vertical="center"/>
    </xf>
    <xf numFmtId="179"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9" fontId="41" fillId="2" borderId="12" xfId="5"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3" fillId="2" borderId="1" xfId="5" applyFont="1" applyFill="1" applyBorder="1" applyAlignment="1" applyProtection="1">
      <alignment vertical="center"/>
    </xf>
    <xf numFmtId="179"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9" fontId="18" fillId="2" borderId="11" xfId="0" applyNumberFormat="1" applyFont="1" applyFill="1" applyBorder="1" applyAlignment="1" applyProtection="1">
      <alignment horizontal="center" vertical="center"/>
    </xf>
    <xf numFmtId="189"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9"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9" fontId="41" fillId="2" borderId="1" xfId="0" applyNumberFormat="1" applyFont="1" applyFill="1" applyBorder="1" applyAlignment="1" applyProtection="1">
      <alignment horizontal="right" vertical="center"/>
    </xf>
    <xf numFmtId="49" fontId="154"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9" fontId="18" fillId="2" borderId="8" xfId="0" applyNumberFormat="1" applyFont="1" applyFill="1" applyBorder="1" applyAlignment="1" applyProtection="1">
      <alignment horizontal="center" vertical="center" wrapText="1"/>
    </xf>
    <xf numFmtId="189" fontId="18" fillId="2" borderId="8" xfId="0" applyNumberFormat="1" applyFont="1" applyFill="1" applyBorder="1" applyAlignment="1" applyProtection="1">
      <alignment horizontal="center" vertical="center"/>
    </xf>
    <xf numFmtId="179"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5" fillId="2" borderId="0" xfId="0" applyFont="1" applyFill="1" applyProtection="1">
      <alignment vertical="center"/>
    </xf>
    <xf numFmtId="0" fontId="26"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1"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3" fontId="158"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7"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7"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7"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7"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67"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7" fillId="2" borderId="111"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5" xfId="0" applyFont="1" applyFill="1" applyBorder="1" applyAlignment="1" applyProtection="1">
      <alignment horizontal="justify" vertical="center" wrapText="1"/>
    </xf>
    <xf numFmtId="0" fontId="9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81" fontId="9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81" fontId="97"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9"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9"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179"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9"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9"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6"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9"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74" fillId="2" borderId="109" xfId="0" applyFont="1" applyFill="1" applyBorder="1" applyAlignment="1" applyProtection="1">
      <alignment vertical="center" wrapText="1"/>
    </xf>
    <xf numFmtId="0" fontId="174" fillId="2" borderId="11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6" fillId="2" borderId="1" xfId="0" applyFont="1" applyFill="1" applyBorder="1" applyAlignment="1">
      <alignment vertical="center" wrapText="1"/>
    </xf>
    <xf numFmtId="183"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92" fillId="0" borderId="6" xfId="0" applyFont="1" applyFill="1" applyBorder="1" applyProtection="1">
      <alignment vertical="center"/>
      <protection locked="0"/>
    </xf>
    <xf numFmtId="0" fontId="157"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3"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17" applyNumberFormat="1" applyFont="1" applyFill="1" applyBorder="1" applyAlignment="1" applyProtection="1">
      <alignment horizontal="left" vertical="center" wrapText="1"/>
    </xf>
    <xf numFmtId="0" fontId="177" fillId="0" borderId="1" xfId="17" applyFont="1" applyFill="1" applyBorder="1" applyAlignment="1" applyProtection="1">
      <alignment horizontal="left" vertical="center" wrapText="1"/>
      <protection locked="0"/>
    </xf>
    <xf numFmtId="0" fontId="178" fillId="2" borderId="1" xfId="17" applyFill="1" applyBorder="1" applyAlignment="1" applyProtection="1">
      <alignment horizontal="left" vertical="center"/>
    </xf>
    <xf numFmtId="0" fontId="177"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7" fillId="0" borderId="9" xfId="17" applyFont="1" applyFill="1" applyBorder="1" applyAlignment="1" applyProtection="1">
      <alignment horizontal="left" vertical="center" wrapText="1"/>
      <protection locked="0"/>
    </xf>
    <xf numFmtId="0" fontId="178" fillId="0" borderId="1" xfId="17" applyBorder="1" applyAlignment="1" applyProtection="1">
      <alignment horizontal="left" vertical="center"/>
      <protection locked="0"/>
    </xf>
    <xf numFmtId="0" fontId="177"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0" fillId="2"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4"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61" fillId="2" borderId="0" xfId="0" applyFont="1" applyFill="1" applyAlignment="1" applyProtection="1">
      <alignment vertical="center" wrapText="1"/>
    </xf>
    <xf numFmtId="0" fontId="18" fillId="2" borderId="0" xfId="0" applyFont="1" applyFill="1" applyAlignment="1" applyProtection="1">
      <alignment vertical="center"/>
    </xf>
    <xf numFmtId="181"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1"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1" fontId="30" fillId="2" borderId="99" xfId="0" applyNumberFormat="1" applyFont="1" applyFill="1" applyBorder="1" applyAlignment="1" applyProtection="1">
      <alignment vertical="center"/>
    </xf>
    <xf numFmtId="0" fontId="151" fillId="2" borderId="99" xfId="0" applyFont="1" applyFill="1" applyBorder="1" applyAlignment="1" applyProtection="1">
      <alignment vertical="center"/>
    </xf>
    <xf numFmtId="0" fontId="103"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4"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1" fontId="30" fillId="2" borderId="5" xfId="0" applyNumberFormat="1" applyFont="1" applyFill="1" applyBorder="1" applyAlignment="1" applyProtection="1">
      <alignment horizontal="center" vertical="center" wrapText="1"/>
    </xf>
    <xf numFmtId="179" fontId="151" fillId="2" borderId="6" xfId="5" applyNumberFormat="1" applyFont="1" applyFill="1" applyBorder="1" applyAlignment="1" applyProtection="1">
      <alignment horizontal="left" vertical="center"/>
    </xf>
    <xf numFmtId="179" fontId="44" fillId="2" borderId="1" xfId="5" applyNumberFormat="1" applyFont="1" applyFill="1" applyBorder="1" applyAlignment="1" applyProtection="1">
      <alignment vertical="center"/>
    </xf>
    <xf numFmtId="179" fontId="30" fillId="5" borderId="10" xfId="5" applyNumberFormat="1" applyFont="1" applyFill="1" applyBorder="1" applyAlignment="1" applyProtection="1">
      <alignment vertical="center"/>
      <protection locked="0"/>
    </xf>
    <xf numFmtId="179" fontId="30" fillId="2" borderId="6" xfId="5"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1" fontId="34" fillId="2" borderId="1" xfId="5" applyNumberFormat="1" applyFont="1" applyFill="1" applyBorder="1" applyAlignment="1" applyProtection="1">
      <alignment horizontal="center" vertical="center"/>
    </xf>
    <xf numFmtId="194" fontId="34" fillId="2" borderId="1" xfId="5"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79" fontId="30" fillId="2" borderId="6" xfId="5" applyNumberFormat="1" applyFont="1" applyFill="1" applyBorder="1" applyAlignment="1" applyProtection="1">
      <alignment horizontal="left" vertical="center" wrapText="1"/>
    </xf>
    <xf numFmtId="179" fontId="30" fillId="2" borderId="1" xfId="5" applyNumberFormat="1" applyFont="1" applyFill="1" applyBorder="1" applyAlignment="1" applyProtection="1">
      <alignment vertical="center"/>
    </xf>
    <xf numFmtId="179" fontId="30" fillId="2" borderId="10" xfId="5" applyNumberFormat="1"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79" fontId="151"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3"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1"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1" fontId="30" fillId="9" borderId="0" xfId="0" applyNumberFormat="1" applyFont="1" applyFill="1" applyAlignment="1" applyProtection="1">
      <alignment vertical="center"/>
      <protection locked="0"/>
    </xf>
    <xf numFmtId="186" fontId="34" fillId="2" borderId="4" xfId="5" applyNumberFormat="1" applyFont="1" applyFill="1" applyBorder="1" applyAlignment="1" applyProtection="1">
      <alignment vertical="center" wrapText="1"/>
    </xf>
    <xf numFmtId="186" fontId="34"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6" fontId="34" fillId="2" borderId="6" xfId="5" applyNumberFormat="1" applyFont="1" applyFill="1" applyBorder="1" applyAlignment="1" applyProtection="1">
      <alignment vertical="center" wrapText="1"/>
    </xf>
    <xf numFmtId="186" fontId="30" fillId="0" borderId="14" xfId="5" applyNumberFormat="1" applyFont="1" applyFill="1" applyBorder="1" applyAlignment="1" applyProtection="1">
      <alignment horizontal="center" vertical="center"/>
      <protection locked="0"/>
    </xf>
    <xf numFmtId="186" fontId="30" fillId="2" borderId="6" xfId="5" applyNumberFormat="1" applyFont="1" applyFill="1" applyBorder="1" applyAlignment="1" applyProtection="1">
      <alignment vertical="center" wrapText="1"/>
    </xf>
    <xf numFmtId="186" fontId="34" fillId="2" borderId="14" xfId="5" applyNumberFormat="1" applyFont="1" applyFill="1" applyBorder="1" applyAlignment="1" applyProtection="1">
      <alignment horizontal="center" vertical="center"/>
    </xf>
    <xf numFmtId="186" fontId="34" fillId="2" borderId="7" xfId="5" applyNumberFormat="1" applyFont="1" applyFill="1" applyBorder="1" applyAlignment="1" applyProtection="1">
      <alignment vertical="center" wrapText="1"/>
    </xf>
    <xf numFmtId="186"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1"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3" fontId="18"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3" fontId="18" fillId="0" borderId="14" xfId="0" applyNumberFormat="1" applyFont="1" applyFill="1" applyBorder="1" applyAlignment="1" applyProtection="1">
      <alignment horizontal="center" vertical="center"/>
      <protection locked="0"/>
    </xf>
    <xf numFmtId="181" fontId="157" fillId="9" borderId="0" xfId="0" applyNumberFormat="1" applyFont="1" applyFill="1" applyAlignment="1" applyProtection="1">
      <alignment vertical="center"/>
    </xf>
    <xf numFmtId="0" fontId="19" fillId="0" borderId="14" xfId="5"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183" fontId="18"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3" fontId="49" fillId="9" borderId="0" xfId="0" applyNumberFormat="1" applyFont="1" applyFill="1" applyAlignment="1" applyProtection="1">
      <alignment horizontal="center" vertical="center"/>
    </xf>
    <xf numFmtId="19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0"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9"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81"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81" fontId="30" fillId="2" borderId="6" xfId="5" applyNumberFormat="1" applyFont="1" applyFill="1" applyBorder="1" applyAlignment="1" applyProtection="1">
      <alignment horizontal="center" vertical="center"/>
    </xf>
    <xf numFmtId="181"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179"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81" fontId="30" fillId="0" borderId="1" xfId="5" applyNumberFormat="1" applyFont="1" applyFill="1" applyBorder="1" applyAlignment="1" applyProtection="1">
      <alignment horizontal="center" vertical="center"/>
      <protection locked="0"/>
    </xf>
    <xf numFmtId="179"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3"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1"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3" borderId="6" xfId="0" applyFont="1" applyFill="1" applyBorder="1" applyAlignment="1" applyProtection="1">
      <alignment vertical="center"/>
      <protection locked="0"/>
    </xf>
    <xf numFmtId="183" fontId="30" fillId="0" borderId="1" xfId="0" applyNumberFormat="1" applyFont="1" applyBorder="1" applyAlignment="1" applyProtection="1">
      <alignment vertical="center"/>
      <protection locked="0"/>
    </xf>
    <xf numFmtId="183" fontId="30" fillId="2" borderId="10" xfId="0" applyNumberFormat="1" applyFont="1" applyFill="1" applyBorder="1" applyAlignment="1" applyProtection="1">
      <alignment vertical="center"/>
    </xf>
    <xf numFmtId="0" fontId="30" fillId="0" borderId="6" xfId="0"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3"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1" fontId="30" fillId="2" borderId="7" xfId="5" applyNumberFormat="1" applyFont="1" applyFill="1" applyBorder="1" applyAlignment="1" applyProtection="1">
      <alignment horizontal="center" vertical="center"/>
    </xf>
    <xf numFmtId="181"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3"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3"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3"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1" fontId="30" fillId="0" borderId="1" xfId="0" applyNumberFormat="1" applyFont="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3"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6"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6"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6"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6" fontId="41" fillId="2" borderId="13" xfId="5"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6" fontId="39" fillId="2" borderId="39" xfId="5" applyNumberFormat="1" applyFont="1" applyFill="1" applyBorder="1" applyAlignment="1" applyProtection="1">
      <alignment horizontal="center" vertical="center"/>
    </xf>
    <xf numFmtId="186" fontId="39" fillId="2" borderId="78" xfId="5" applyNumberFormat="1" applyFont="1" applyFill="1" applyBorder="1" applyAlignment="1" applyProtection="1">
      <alignment horizontal="center" vertical="center"/>
    </xf>
    <xf numFmtId="186"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6"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9" fontId="26" fillId="0" borderId="1" xfId="5" applyNumberFormat="1" applyFont="1" applyFill="1" applyBorder="1" applyAlignment="1" applyProtection="1">
      <alignment vertical="center"/>
      <protection locked="0" hidden="1"/>
    </xf>
    <xf numFmtId="186"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9" fontId="151"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9" fontId="30" fillId="0" borderId="11" xfId="5"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horizontal="center" vertical="center"/>
    </xf>
    <xf numFmtId="186"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4" fillId="2" borderId="97" xfId="0" applyFont="1" applyFill="1" applyBorder="1" applyAlignment="1" applyProtection="1">
      <alignment vertical="center"/>
    </xf>
    <xf numFmtId="181" fontId="41" fillId="2" borderId="97" xfId="0" applyNumberFormat="1" applyFont="1" applyFill="1" applyBorder="1" applyAlignment="1" applyProtection="1">
      <alignment vertical="center"/>
    </xf>
    <xf numFmtId="181" fontId="41" fillId="2" borderId="8" xfId="0" applyNumberFormat="1" applyFont="1" applyFill="1" applyBorder="1" applyAlignment="1" applyProtection="1">
      <alignment vertical="center"/>
    </xf>
    <xf numFmtId="181" fontId="41"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1" fontId="41" fillId="5" borderId="14" xfId="0" applyNumberFormat="1" applyFont="1" applyFill="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0"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6"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6"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1" xfId="0" applyBorder="1" applyAlignment="1">
      <alignment horizontal="center" vertical="center"/>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xf>
    <xf numFmtId="186" fontId="18" fillId="2" borderId="1" xfId="0" applyNumberFormat="1" applyFont="1" applyFill="1" applyBorder="1" applyAlignment="1" applyProtection="1">
      <alignment horizontal="center" vertical="center" wrapText="1"/>
    </xf>
    <xf numFmtId="186" fontId="18" fillId="2" borderId="12" xfId="0" applyNumberFormat="1" applyFont="1" applyFill="1" applyBorder="1" applyAlignment="1" applyProtection="1">
      <alignment horizontal="center" vertical="center" wrapText="1"/>
    </xf>
    <xf numFmtId="186" fontId="18" fillId="2" borderId="11" xfId="0" applyNumberFormat="1" applyFont="1" applyFill="1" applyBorder="1" applyAlignment="1" applyProtection="1">
      <alignment horizontal="center" vertical="center" wrapText="1"/>
    </xf>
    <xf numFmtId="186"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1" fontId="18" fillId="2" borderId="10" xfId="0" applyNumberFormat="1"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xf>
    <xf numFmtId="181"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2"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2" borderId="3" xfId="0" applyNumberFormat="1" applyFont="1" applyFill="1" applyBorder="1" applyAlignment="1" applyProtection="1">
      <alignment horizontal="center" vertical="center" wrapText="1"/>
    </xf>
    <xf numFmtId="186" fontId="30" fillId="2" borderId="9" xfId="0" applyNumberFormat="1" applyFont="1" applyFill="1" applyBorder="1" applyAlignment="1" applyProtection="1">
      <alignment horizontal="center" vertical="center" wrapText="1"/>
    </xf>
    <xf numFmtId="0" fontId="138" fillId="0" borderId="1" xfId="4" applyFont="1" applyFill="1" applyBorder="1" applyAlignment="1" applyProtection="1">
      <alignment horizontal="center" vertical="center" wrapText="1"/>
      <protection locked="0"/>
    </xf>
    <xf numFmtId="0" fontId="90" fillId="0" borderId="1" xfId="4" applyFont="1" applyBorder="1" applyAlignment="1" applyProtection="1">
      <alignment horizontal="center" vertical="center" wrapText="1"/>
      <protection locked="0"/>
    </xf>
    <xf numFmtId="0" fontId="92" fillId="0" borderId="1" xfId="4"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90"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81"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1"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9"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1" fontId="18"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7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6" fontId="18" fillId="2" borderId="10"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1" fontId="18"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6" fontId="18" fillId="2" borderId="5" xfId="0" applyNumberFormat="1" applyFont="1" applyFill="1" applyBorder="1" applyAlignment="1" applyProtection="1">
      <alignment horizontal="center" vertical="center" wrapText="1"/>
    </xf>
    <xf numFmtId="186" fontId="18" fillId="2" borderId="6" xfId="0" applyNumberFormat="1" applyFont="1" applyFill="1" applyBorder="1" applyAlignment="1" applyProtection="1">
      <alignment horizontal="center" vertical="center" wrapText="1"/>
    </xf>
    <xf numFmtId="181"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1"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xf>
    <xf numFmtId="186" fontId="18" fillId="2" borderId="13" xfId="0" applyNumberFormat="1" applyFont="1" applyFill="1" applyBorder="1" applyAlignment="1" applyProtection="1">
      <alignment horizontal="center" vertical="center" wrapText="1"/>
    </xf>
    <xf numFmtId="186"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6" fontId="30" fillId="2"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1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1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11" borderId="109" xfId="0" applyFont="1" applyFill="1" applyBorder="1" applyAlignment="1" applyProtection="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pplyProtection="1">
      <alignment vertical="center" wrapText="1"/>
    </xf>
    <xf numFmtId="0" fontId="186" fillId="3" borderId="105"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1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1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6" fillId="2" borderId="1" xfId="0" applyFont="1" applyFill="1" applyBorder="1" applyAlignment="1" applyProtection="1">
      <alignment vertical="center" wrapText="1"/>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1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1" borderId="89" xfId="0" applyFont="1" applyFill="1" applyBorder="1" applyAlignment="1" applyProtection="1">
      <alignment vertical="center" wrapText="1"/>
    </xf>
    <xf numFmtId="185" fontId="78"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9" fontId="186" fillId="3" borderId="1" xfId="5" applyNumberFormat="1" applyFont="1" applyFill="1" applyBorder="1" applyAlignment="1" applyProtection="1">
      <alignment horizontal="center" vertical="center"/>
      <protection locked="0"/>
    </xf>
    <xf numFmtId="181" fontId="186" fillId="2" borderId="9" xfId="0" applyNumberFormat="1" applyFont="1" applyFill="1" applyBorder="1" applyAlignment="1" applyProtection="1">
      <alignment horizontal="center" vertical="center" wrapText="1"/>
    </xf>
    <xf numFmtId="181"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103"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5"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105"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2" borderId="10"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190"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0"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1"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1"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83"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71" fillId="0" borderId="0" xfId="11" applyFont="1" applyAlignment="1">
      <alignment horizontal="left" vertical="center"/>
    </xf>
    <xf numFmtId="0" fontId="191" fillId="3" borderId="9" xfId="11" applyFont="1" applyFill="1" applyBorder="1" applyAlignment="1">
      <alignment horizontal="left" vertical="center"/>
    </xf>
    <xf numFmtId="0" fontId="192" fillId="0" borderId="1" xfId="11" applyFont="1" applyFill="1" applyBorder="1" applyAlignment="1">
      <alignment horizontal="left" vertical="center"/>
    </xf>
    <xf numFmtId="0" fontId="192" fillId="0" borderId="10" xfId="11" applyFont="1" applyFill="1" applyBorder="1" applyAlignment="1">
      <alignment horizontal="left" vertical="center"/>
    </xf>
    <xf numFmtId="0" fontId="191" fillId="3" borderId="169" xfId="11" applyFont="1" applyFill="1" applyBorder="1" applyAlignment="1">
      <alignment horizontal="left" vertical="center"/>
    </xf>
    <xf numFmtId="196" fontId="192" fillId="0" borderId="10" xfId="11" applyNumberFormat="1" applyFont="1" applyFill="1" applyBorder="1" applyAlignment="1">
      <alignment horizontal="left" vertical="center"/>
    </xf>
    <xf numFmtId="0" fontId="192" fillId="0" borderId="170" xfId="11" applyFont="1" applyFill="1" applyBorder="1" applyAlignment="1">
      <alignment horizontal="left" vertical="center"/>
    </xf>
    <xf numFmtId="185" fontId="192" fillId="0" borderId="1" xfId="11" applyNumberFormat="1" applyFont="1" applyFill="1" applyBorder="1" applyAlignment="1">
      <alignment horizontal="left" vertical="center"/>
    </xf>
    <xf numFmtId="0" fontId="192" fillId="0" borderId="9" xfId="11" applyFont="1" applyFill="1" applyBorder="1" applyAlignment="1">
      <alignment horizontal="left" vertical="center"/>
    </xf>
    <xf numFmtId="196" fontId="192"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1" fillId="0" borderId="1" xfId="11" applyFont="1" applyFill="1" applyBorder="1" applyAlignment="1">
      <alignment horizontal="left" vertical="center"/>
    </xf>
    <xf numFmtId="0" fontId="101" fillId="0" borderId="1" xfId="11" applyFont="1" applyBorder="1" applyAlignment="1">
      <alignment horizontal="left" vertical="center"/>
    </xf>
    <xf numFmtId="185" fontId="192" fillId="0" borderId="10" xfId="11" applyNumberFormat="1" applyFont="1" applyFill="1" applyBorder="1" applyAlignment="1">
      <alignment horizontal="left" vertical="center"/>
    </xf>
    <xf numFmtId="0" fontId="101" fillId="0" borderId="170" xfId="11" applyFont="1" applyBorder="1" applyAlignment="1">
      <alignment horizontal="left" vertical="center"/>
    </xf>
    <xf numFmtId="185" fontId="192" fillId="0" borderId="1" xfId="0" applyNumberFormat="1" applyFont="1" applyFill="1" applyBorder="1" applyAlignment="1">
      <alignment horizontal="left" vertical="center"/>
    </xf>
    <xf numFmtId="14" fontId="101"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3" fillId="0" borderId="0" xfId="11"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61"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4"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3"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89"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6"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56" fillId="0" borderId="0" xfId="0" applyFont="1" applyProtection="1">
      <alignment vertical="center"/>
    </xf>
    <xf numFmtId="0" fontId="204" fillId="0" borderId="0" xfId="0" applyFont="1" applyBorder="1" applyAlignment="1" applyProtection="1">
      <alignment horizontal="center" vertical="center"/>
    </xf>
    <xf numFmtId="0" fontId="56"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5" fontId="197"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56"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1" applyFont="1">
      <alignment vertical="center"/>
    </xf>
    <xf numFmtId="0" fontId="1" fillId="0" borderId="0" xfId="11">
      <alignment vertical="center"/>
    </xf>
    <xf numFmtId="0" fontId="209" fillId="0" borderId="0" xfId="11"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5"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6"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209" fillId="0" borderId="0" xfId="11" applyFont="1" applyAlignment="1" applyProtection="1">
      <alignment horizontal="left" vertical="top" wrapText="1"/>
    </xf>
    <xf numFmtId="0" fontId="197" fillId="0" borderId="0" xfId="0" applyFont="1" applyAlignment="1">
      <alignment horizontal="center" vertical="center"/>
    </xf>
    <xf numFmtId="0" fontId="198" fillId="0" borderId="1" xfId="0" applyFont="1" applyBorder="1" applyAlignment="1" applyProtection="1">
      <alignment horizontal="center" vertical="center"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11" xfId="0" applyFont="1" applyBorder="1" applyAlignment="1">
      <alignment horizontal="center" vertical="center" wrapText="1"/>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9" fillId="0" borderId="1" xfId="0" applyFont="1" applyFill="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24"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191" fillId="3" borderId="10" xfId="11" applyFont="1" applyFill="1" applyBorder="1" applyAlignment="1">
      <alignment horizontal="left" vertical="center"/>
    </xf>
    <xf numFmtId="0" fontId="191" fillId="3" borderId="12" xfId="11" applyFont="1" applyFill="1" applyBorder="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2" fillId="0" borderId="170" xfId="11" applyFont="1" applyBorder="1" applyAlignment="1">
      <alignment horizontal="left" vertical="center"/>
    </xf>
    <xf numFmtId="0" fontId="111" fillId="2" borderId="0" xfId="0" applyFont="1" applyFill="1" applyBorder="1" applyAlignment="1" applyProtection="1">
      <alignment horizontal="center" vertical="center" wrapText="1"/>
    </xf>
    <xf numFmtId="0" fontId="186" fillId="2" borderId="63"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2" borderId="100"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181" fontId="186" fillId="6" borderId="10" xfId="0" applyNumberFormat="1" applyFont="1" applyFill="1" applyBorder="1" applyAlignment="1" applyProtection="1">
      <alignment horizontal="center" vertical="center" wrapText="1"/>
      <protection locked="0"/>
    </xf>
    <xf numFmtId="181" fontId="186" fillId="6" borderId="12" xfId="0" applyNumberFormat="1" applyFont="1" applyFill="1" applyBorder="1" applyAlignment="1" applyProtection="1">
      <alignment horizontal="center" vertical="center" wrapText="1"/>
      <protection locked="0"/>
    </xf>
    <xf numFmtId="181"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2"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49" fontId="186" fillId="2" borderId="1" xfId="0" applyNumberFormat="1" applyFont="1" applyFill="1" applyBorder="1" applyAlignment="1" applyProtection="1">
      <alignment horizontal="center" vertical="center" wrapText="1"/>
    </xf>
    <xf numFmtId="0" fontId="186" fillId="2" borderId="35" xfId="0" applyFont="1" applyFill="1" applyBorder="1" applyAlignment="1" applyProtection="1">
      <alignment horizontal="left" vertical="center"/>
    </xf>
    <xf numFmtId="0" fontId="186" fillId="2" borderId="3" xfId="0" applyFont="1" applyFill="1" applyBorder="1" applyAlignment="1" applyProtection="1">
      <alignment horizontal="left" vertical="center"/>
    </xf>
    <xf numFmtId="0" fontId="186" fillId="2" borderId="9" xfId="0" applyFont="1" applyFill="1" applyBorder="1" applyAlignment="1" applyProtection="1">
      <alignment horizontal="left" vertical="center"/>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horizontal="left" vertical="center" wrapText="1"/>
    </xf>
    <xf numFmtId="0" fontId="186" fillId="2" borderId="34" xfId="0" applyFont="1" applyFill="1" applyBorder="1" applyAlignment="1" applyProtection="1">
      <alignment horizontal="left" vertical="center" wrapText="1"/>
    </xf>
    <xf numFmtId="0" fontId="186" fillId="11" borderId="9" xfId="0" applyFont="1" applyFill="1" applyBorder="1" applyAlignment="1" applyProtection="1">
      <alignment horizontal="center" vertical="center" wrapText="1"/>
    </xf>
    <xf numFmtId="0" fontId="186" fillId="11" borderId="164" xfId="0" applyFont="1" applyFill="1" applyBorder="1" applyAlignment="1" applyProtection="1">
      <alignment horizontal="center" vertical="center" wrapText="1"/>
    </xf>
    <xf numFmtId="0" fontId="186" fillId="2"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0" fontId="0" fillId="0" borderId="1" xfId="0" applyBorder="1" applyAlignment="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53" fillId="2" borderId="69" xfId="0" applyFont="1" applyFill="1" applyBorder="1" applyAlignment="1" applyProtection="1">
      <alignment horizontal="center" vertical="center"/>
    </xf>
    <xf numFmtId="0" fontId="153" fillId="2" borderId="41" xfId="0" applyFont="1" applyFill="1" applyBorder="1" applyAlignment="1" applyProtection="1">
      <alignment horizontal="center" vertical="center"/>
    </xf>
    <xf numFmtId="0" fontId="15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180" fillId="2" borderId="159" xfId="0" applyFont="1" applyFill="1" applyBorder="1" applyAlignment="1" applyProtection="1">
      <alignment horizontal="left" vertical="center"/>
    </xf>
    <xf numFmtId="0" fontId="180" fillId="2" borderId="160" xfId="0" applyFont="1" applyFill="1" applyBorder="1" applyAlignment="1" applyProtection="1">
      <alignment horizontal="lef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169" fillId="2" borderId="98" xfId="0" applyFont="1" applyFill="1" applyBorder="1" applyAlignment="1" applyProtection="1">
      <alignment horizontal="center" vertical="center" wrapText="1"/>
    </xf>
    <xf numFmtId="0" fontId="169" fillId="2" borderId="99" xfId="0" applyFont="1" applyFill="1" applyBorder="1" applyAlignment="1" applyProtection="1">
      <alignment horizontal="center" vertical="center" wrapText="1"/>
    </xf>
    <xf numFmtId="0" fontId="169" fillId="2" borderId="100"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8" fillId="2" borderId="1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9"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7" fillId="2" borderId="103" xfId="0" applyFont="1" applyFill="1" applyBorder="1" applyAlignment="1" applyProtection="1">
      <alignment horizontal="center" vertical="center" wrapText="1"/>
    </xf>
    <xf numFmtId="0" fontId="167" fillId="2" borderId="93" xfId="0" applyFont="1" applyFill="1" applyBorder="1" applyAlignment="1" applyProtection="1">
      <alignment horizontal="center" vertical="center" wrapText="1"/>
    </xf>
    <xf numFmtId="0" fontId="167"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52" fillId="2" borderId="98" xfId="0" applyFont="1" applyFill="1" applyBorder="1" applyAlignment="1" applyProtection="1">
      <alignment vertical="center"/>
    </xf>
    <xf numFmtId="0" fontId="152"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184" fontId="39" fillId="2" borderId="1" xfId="0" applyNumberFormat="1"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16"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6" fillId="2" borderId="40" xfId="6" applyFont="1" applyFill="1" applyBorder="1" applyAlignment="1" applyProtection="1">
      <alignment horizontal="center" vertical="center" wrapText="1"/>
    </xf>
    <xf numFmtId="0" fontId="116" fillId="2" borderId="71" xfId="6" applyFont="1" applyFill="1" applyBorder="1" applyAlignment="1" applyProtection="1">
      <alignment horizontal="center" vertical="center" wrapText="1"/>
    </xf>
    <xf numFmtId="0" fontId="129" fillId="2" borderId="0" xfId="6" applyFont="1" applyFill="1" applyAlignment="1" applyProtection="1">
      <alignment horizontal="center" vertical="center"/>
    </xf>
    <xf numFmtId="0" fontId="128"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6" applyFont="1" applyFill="1" applyBorder="1" applyAlignment="1" applyProtection="1">
      <alignment horizontal="center" vertical="center"/>
    </xf>
    <xf numFmtId="0" fontId="128" fillId="2" borderId="9" xfId="6" applyFont="1" applyFill="1" applyBorder="1" applyAlignment="1" applyProtection="1">
      <alignment horizontal="center" vertical="center"/>
    </xf>
    <xf numFmtId="0" fontId="128" fillId="2" borderId="35" xfId="6" applyFont="1" applyFill="1" applyBorder="1" applyAlignment="1" applyProtection="1">
      <alignment horizontal="center" vertical="center"/>
    </xf>
    <xf numFmtId="0" fontId="128"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2" fillId="0" borderId="0" xfId="13" applyFont="1" applyAlignment="1">
      <alignment horizontal="left" vertical="center"/>
    </xf>
    <xf numFmtId="0" fontId="28" fillId="0" borderId="0" xfId="13" applyFont="1" applyAlignment="1">
      <alignment horizontal="left" vertical="center"/>
    </xf>
    <xf numFmtId="0" fontId="12" fillId="0" borderId="0" xfId="13" applyFont="1" applyAlignment="1">
      <alignment horizontal="left" vertical="center"/>
    </xf>
    <xf numFmtId="0" fontId="105" fillId="13" borderId="116" xfId="13" applyFont="1" applyFill="1" applyBorder="1" applyAlignment="1" applyProtection="1">
      <alignment horizontal="left" vertical="center" wrapText="1"/>
    </xf>
    <xf numFmtId="0" fontId="105" fillId="13" borderId="135" xfId="13" applyFont="1" applyFill="1" applyBorder="1" applyAlignment="1" applyProtection="1">
      <alignment horizontal="left" vertical="center" wrapText="1"/>
    </xf>
    <xf numFmtId="0" fontId="105" fillId="13" borderId="136" xfId="13" applyFont="1" applyFill="1" applyBorder="1" applyAlignment="1" applyProtection="1">
      <alignment horizontal="left" vertical="center" wrapText="1"/>
    </xf>
    <xf numFmtId="0" fontId="105" fillId="13" borderId="137" xfId="13" applyFont="1" applyFill="1" applyBorder="1" applyAlignment="1" applyProtection="1">
      <alignment horizontal="left" vertical="center" wrapText="1"/>
    </xf>
    <xf numFmtId="0" fontId="105" fillId="13" borderId="138" xfId="13" applyFont="1" applyFill="1" applyBorder="1" applyAlignment="1" applyProtection="1">
      <alignment horizontal="left" vertical="center" wrapText="1"/>
    </xf>
    <xf numFmtId="0" fontId="67" fillId="13" borderId="138" xfId="13" applyFont="1" applyFill="1" applyBorder="1" applyAlignment="1" applyProtection="1">
      <alignment horizontal="left" vertical="center" wrapText="1"/>
    </xf>
    <xf numFmtId="0" fontId="67" fillId="13" borderId="116" xfId="13" applyFont="1" applyFill="1" applyBorder="1" applyAlignment="1" applyProtection="1">
      <alignment horizontal="left" vertical="center" wrapText="1"/>
    </xf>
    <xf numFmtId="0" fontId="67" fillId="13" borderId="137" xfId="13" applyFont="1" applyFill="1" applyBorder="1" applyAlignment="1" applyProtection="1">
      <alignment horizontal="left" vertical="center" wrapText="1"/>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76" fillId="2" borderId="9" xfId="0" applyFont="1" applyFill="1" applyBorder="1" applyAlignment="1" applyProtection="1">
      <alignment vertical="top" wrapText="1"/>
    </xf>
    <xf numFmtId="0" fontId="76" fillId="2" borderId="74" xfId="0" applyFont="1" applyFill="1" applyBorder="1" applyAlignment="1" applyProtection="1">
      <alignment vertical="top" wrapText="1"/>
    </xf>
    <xf numFmtId="0" fontId="76" fillId="2" borderId="35" xfId="0" applyFont="1" applyFill="1" applyBorder="1" applyAlignment="1" applyProtection="1">
      <alignment vertical="top" wrapText="1"/>
    </xf>
    <xf numFmtId="0" fontId="76"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393700</xdr:colOff>
      <xdr:row>14</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9300" cy="2552700"/>
        </a:xfrm>
        <a:prstGeom prst="rect">
          <a:avLst/>
        </a:prstGeom>
        <a:noFill/>
        <a:ln w="9525">
          <a:noFill/>
        </a:ln>
      </xdr:spPr>
    </xdr:pic>
    <xdr:clientData/>
  </xdr:twoCellAnchor>
  <xdr:twoCellAnchor editAs="oneCell">
    <xdr:from>
      <xdr:col>0</xdr:col>
      <xdr:colOff>0</xdr:colOff>
      <xdr:row>15</xdr:row>
      <xdr:rowOff>0</xdr:rowOff>
    </xdr:from>
    <xdr:to>
      <xdr:col>11</xdr:col>
      <xdr:colOff>247650</xdr:colOff>
      <xdr:row>22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6953250" cy="1320800"/>
        </a:xfrm>
        <a:prstGeom prst="rect">
          <a:avLst/>
        </a:prstGeom>
        <a:noFill/>
        <a:ln w="9525">
          <a:noFill/>
        </a:ln>
      </xdr:spPr>
    </xdr:pic>
    <xdr:clientData/>
  </xdr:twoCellAnchor>
  <xdr:twoCellAnchor editAs="oneCell">
    <xdr:from>
      <xdr:col>0</xdr:col>
      <xdr:colOff>0</xdr:colOff>
      <xdr:row>24</xdr:row>
      <xdr:rowOff>0</xdr:rowOff>
    </xdr:from>
    <xdr:to>
      <xdr:col>11</xdr:col>
      <xdr:colOff>298450</xdr:colOff>
      <xdr:row>30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67200"/>
          <a:ext cx="7004050" cy="1162050"/>
        </a:xfrm>
        <a:prstGeom prst="rect">
          <a:avLst/>
        </a:prstGeom>
        <a:noFill/>
        <a:ln w="9525">
          <a:noFill/>
        </a:ln>
      </xdr:spPr>
    </xdr:pic>
    <xdr:clientData/>
  </xdr:twoCellAnchor>
  <xdr:twoCellAnchor editAs="oneCell">
    <xdr:from>
      <xdr:col>0</xdr:col>
      <xdr:colOff>0</xdr:colOff>
      <xdr:row>31</xdr:row>
      <xdr:rowOff>0</xdr:rowOff>
    </xdr:from>
    <xdr:to>
      <xdr:col>11</xdr:col>
      <xdr:colOff>266700</xdr:colOff>
      <xdr:row>58</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511800"/>
          <a:ext cx="6972300" cy="4845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北京市出让国有建设用地使用权抵押价格预评估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崔锴、赵雯</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受贵公司委托，我公司对北京市出让国有建设用地使用权抵押价格进行了预评估。</v>
      </c>
      <c r="AM6" s="3639"/>
    </row>
    <row r="7" spans="1:55" s="3623" customFormat="1">
      <c r="A7" s="3631" t="s">
        <v>7</v>
      </c>
      <c r="B7" s="3633" t="str">
        <f>'预评函-1'!A6</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2023年11月27日（评估专业人员勘察现场之日）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根据《国有土地使用证》[]，估价对象（分摊）出让国有建设用地使用权面积为26650.41平方米。根据《建设工程规划许可证》[]、《出让合同》[]，估价对象规划建筑面积为46494.69平方米。</v>
      </c>
    </row>
    <row r="16" spans="1:55" s="3623" customFormat="1">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估价期日：2023年11月27日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26650.41</v>
      </c>
    </row>
    <row r="44" spans="1:2">
      <c r="A44" s="3631" t="s">
        <v>44</v>
      </c>
      <c r="B44" s="3633" t="str">
        <f>'预评函-2'!O3</f>
        <v>规划建筑面积/㎡</v>
      </c>
    </row>
    <row r="45" spans="1:2">
      <c r="A45" s="3631" t="s">
        <v>45</v>
      </c>
      <c r="B45" s="3633">
        <f>'预评函-2'!O5</f>
        <v>46494.69</v>
      </c>
    </row>
    <row r="46" spans="1:2">
      <c r="A46" s="3631" t="s">
        <v>46</v>
      </c>
      <c r="B46" s="3633">
        <f ca="1">'预评函-2'!P5</f>
        <v>1235</v>
      </c>
    </row>
    <row r="47" spans="1:2">
      <c r="A47" s="3631" t="s">
        <v>47</v>
      </c>
      <c r="B47" s="3633">
        <f ca="1">'预评函-2'!Q5</f>
        <v>708</v>
      </c>
    </row>
    <row r="48" spans="1:2">
      <c r="A48" s="3631" t="s">
        <v>48</v>
      </c>
      <c r="B48" s="3633">
        <f ca="1">'预评函-2'!R5</f>
        <v>3290</v>
      </c>
    </row>
    <row r="49" spans="1:2">
      <c r="A49" s="3631" t="s">
        <v>49</v>
      </c>
      <c r="B49" s="3633" t="str">
        <f>'预评函-2'!A6</f>
        <v>抵押价格</v>
      </c>
    </row>
    <row r="50" spans="1:2">
      <c r="A50" s="3631" t="s">
        <v>50</v>
      </c>
      <c r="B50" s="3633">
        <f ca="1">'预评函-2'!R6</f>
        <v>3290</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崔锴</v>
      </c>
    </row>
    <row r="70" spans="1:2">
      <c r="A70" s="3631" t="s">
        <v>69</v>
      </c>
      <c r="B70" s="3643">
        <f ca="1">'预评函-3'!B20</f>
        <v>2010110070</v>
      </c>
    </row>
    <row r="71" spans="1:2">
      <c r="A71" s="3631" t="s">
        <v>70</v>
      </c>
      <c r="B71" s="3633" t="str">
        <f>'预评函-3'!A21</f>
        <v>赵雯</v>
      </c>
    </row>
    <row r="72" spans="1:2" s="3618" customFormat="1">
      <c r="A72" s="3634" t="s">
        <v>70</v>
      </c>
      <c r="B72" s="3645">
        <f ca="1">'预评函-3'!B21</f>
        <v>2011110090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4"/>
  </cols>
  <sheetData>
    <row r="1" spans="1:6">
      <c r="A1" s="3445" t="s">
        <v>355</v>
      </c>
      <c r="B1" s="3446"/>
      <c r="C1" s="3446"/>
      <c r="D1" s="3446"/>
      <c r="E1" s="3446"/>
      <c r="F1" s="3447"/>
    </row>
    <row r="2" spans="1:6">
      <c r="A2" s="3448"/>
      <c r="B2" s="3449"/>
      <c r="C2" s="3449"/>
      <c r="D2" s="3449"/>
      <c r="E2" s="3449"/>
      <c r="F2" s="3450"/>
    </row>
    <row r="3" spans="1:6">
      <c r="A3" s="3451" t="s">
        <v>356</v>
      </c>
      <c r="B3" s="3452">
        <f>项目基本情况!D3</f>
        <v>45257</v>
      </c>
      <c r="C3" s="3453"/>
      <c r="D3" s="3453"/>
      <c r="E3" s="3453"/>
      <c r="F3" s="3450"/>
    </row>
    <row r="4" spans="1:6">
      <c r="A4" s="3451" t="s">
        <v>357</v>
      </c>
      <c r="B4" s="3454" t="s">
        <v>358</v>
      </c>
      <c r="C4" s="3454" t="s">
        <v>359</v>
      </c>
      <c r="D4" s="3454" t="s">
        <v>360</v>
      </c>
      <c r="E4" s="3454" t="s">
        <v>361</v>
      </c>
      <c r="F4" s="3450"/>
    </row>
    <row r="5" spans="1:6">
      <c r="A5" s="3455"/>
      <c r="B5" s="3452"/>
      <c r="C5" s="3454">
        <f>ROUNDDOWN(MIN((B5-B3)/365,A5),2)</f>
        <v>-123.99</v>
      </c>
      <c r="D5" s="3456">
        <f>IF(ISERROR(ROUND(POWER(1+E5,A5-C5)*(POWER(1+E5,C5)-1)/(POWER(1+E5,A5)-1),3)),0,ROUND(POWER(1+E5,A5-C5)*(POWER(1+E5,C5)-1)/(POWER(1+E5,A5)-1),4))</f>
        <v>0</v>
      </c>
      <c r="E5" s="3457"/>
      <c r="F5" s="3450"/>
    </row>
    <row r="6" spans="1:6">
      <c r="A6" s="3455"/>
      <c r="B6" s="3452"/>
      <c r="C6" s="3454">
        <f>ROUNDDOWN(MIN((B6-B3)/365,A6),2)</f>
        <v>-123.99</v>
      </c>
      <c r="D6" s="3456">
        <f>IF(ISERROR(ROUND(POWER(1+E6,A6-C6)*(POWER(1+E6,C6)-1)/(POWER(1+E6,A6)-1),3)),0,ROUND(POWER(1+E6,A6-C6)*(POWER(1+E6,C6)-1)/(POWER(1+E6,A6)-1),4))</f>
        <v>0</v>
      </c>
      <c r="E6" s="3457"/>
      <c r="F6" s="3450"/>
    </row>
    <row r="7" spans="1:6">
      <c r="A7" s="3455"/>
      <c r="B7" s="3452"/>
      <c r="C7" s="3454">
        <f>ROUNDDOWN(MIN((B7-B3)/365,A7),2)</f>
        <v>-123.99</v>
      </c>
      <c r="D7" s="3456">
        <f>IF(ISERROR(ROUND(POWER(1+E7,A7-C7)*(POWER(1+E7,C7)-1)/(POWER(1+E7,A7)-1),3)),0,ROUND(POWER(1+E7,A7-C7)*(POWER(1+E7,C7)-1)/(POWER(1+E7,A7)-1),4))</f>
        <v>0</v>
      </c>
      <c r="E7" s="3457"/>
      <c r="F7" s="3450"/>
    </row>
    <row r="8" spans="1:6">
      <c r="A8" s="3448"/>
      <c r="B8" s="3449"/>
      <c r="C8" s="3449"/>
      <c r="D8" s="3449"/>
      <c r="E8" s="3449"/>
      <c r="F8" s="3450"/>
    </row>
    <row r="9" spans="1:6">
      <c r="A9" s="3451" t="s">
        <v>362</v>
      </c>
      <c r="B9" s="3454"/>
      <c r="C9" s="3454"/>
      <c r="D9" s="3454"/>
      <c r="E9" s="3454"/>
      <c r="F9" s="3458"/>
    </row>
    <row r="10" spans="1:6">
      <c r="A10" s="3451" t="s">
        <v>363</v>
      </c>
      <c r="B10" s="3454"/>
      <c r="C10" s="3454"/>
      <c r="D10" s="3454" t="s">
        <v>361</v>
      </c>
      <c r="E10" s="3454"/>
      <c r="F10" s="3458" t="s">
        <v>360</v>
      </c>
    </row>
    <row r="11" spans="1:6">
      <c r="A11" s="3451" t="s">
        <v>364</v>
      </c>
      <c r="B11" s="3459"/>
      <c r="C11" s="3454" t="s">
        <v>365</v>
      </c>
      <c r="D11" s="3460"/>
      <c r="E11" s="3454" t="s">
        <v>366</v>
      </c>
      <c r="F11" s="3461">
        <f>ROUND(1-(1/(POWER(1+D11,B11))),4)</f>
        <v>0</v>
      </c>
    </row>
    <row r="12" spans="1:6">
      <c r="A12" s="3451" t="s">
        <v>367</v>
      </c>
      <c r="B12" s="3459"/>
      <c r="C12" s="3454" t="s">
        <v>368</v>
      </c>
      <c r="D12" s="3460"/>
      <c r="E12" s="3454" t="s">
        <v>369</v>
      </c>
      <c r="F12" s="3461">
        <f>ROUND(1-(1/(POWER(1+D12,B12))),4)</f>
        <v>0</v>
      </c>
    </row>
    <row r="13" spans="1:6">
      <c r="A13" s="3451" t="s">
        <v>370</v>
      </c>
      <c r="B13" s="3454"/>
      <c r="C13" s="3453"/>
      <c r="D13" s="3449"/>
      <c r="E13" s="3449"/>
      <c r="F13" s="3450"/>
    </row>
    <row r="14" spans="1:6">
      <c r="A14" s="3451" t="s">
        <v>371</v>
      </c>
      <c r="B14" s="3459"/>
      <c r="C14" s="3453"/>
      <c r="D14" s="3449"/>
      <c r="E14" s="3449"/>
      <c r="F14" s="3450"/>
    </row>
    <row r="15" spans="1:6">
      <c r="A15" s="3451" t="s">
        <v>372</v>
      </c>
      <c r="B15" s="3454" t="e">
        <f>ROUND(B14*F12/F11,2)</f>
        <v>#DIV/0!</v>
      </c>
      <c r="C15" s="3454" t="e">
        <f>ROUND(F12/F11,4)</f>
        <v>#DIV/0!</v>
      </c>
      <c r="D15" s="3449"/>
      <c r="E15" s="3449"/>
      <c r="F15" s="3450"/>
    </row>
    <row r="16" spans="1:6">
      <c r="A16" s="3451" t="s">
        <v>373</v>
      </c>
      <c r="B16" s="3454"/>
      <c r="C16" s="3453"/>
      <c r="D16" s="3449"/>
      <c r="E16" s="3449"/>
      <c r="F16" s="3450"/>
    </row>
    <row r="17" spans="1:7">
      <c r="A17" s="3451" t="s">
        <v>372</v>
      </c>
      <c r="B17" s="3460"/>
      <c r="C17" s="3453"/>
      <c r="D17" s="3449"/>
      <c r="E17" s="3449"/>
      <c r="F17" s="3450"/>
    </row>
    <row r="18" spans="1:7">
      <c r="A18" s="3462" t="s">
        <v>371</v>
      </c>
      <c r="B18" s="3463" t="e">
        <f>ROUND(B17*F11/F12,2)</f>
        <v>#DIV/0!</v>
      </c>
      <c r="C18" s="3463" t="e">
        <f>ROUND(F11/F12,4)</f>
        <v>#DIV/0!</v>
      </c>
      <c r="D18" s="3464"/>
      <c r="E18" s="3464"/>
      <c r="F18" s="3465"/>
    </row>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0.86599999999999999</v>
      </c>
      <c r="F22" s="3473">
        <v>0.6</v>
      </c>
      <c r="G22" s="3471">
        <f>ROUND(100*(1-(1-E22)*F22),1)</f>
        <v>92</v>
      </c>
    </row>
    <row r="23" spans="1:7">
      <c r="A23" s="3474" t="s">
        <v>380</v>
      </c>
      <c r="B23" s="3472">
        <v>50</v>
      </c>
      <c r="C23" s="3472">
        <v>35</v>
      </c>
      <c r="D23" s="3473">
        <v>0.05</v>
      </c>
      <c r="E23" s="3470">
        <f>ROUND(POWER(1+D23,B23-C23)*(POWER(1+D23,C23)-1)/(POWER(1+D23,B23)-1),3)</f>
        <v>0.89700000000000002</v>
      </c>
      <c r="F23" s="3473">
        <f>F22</f>
        <v>0.6</v>
      </c>
      <c r="G23" s="3471">
        <f>ROUND(100*(1-(1-E23)*F23),1)</f>
        <v>93.8</v>
      </c>
    </row>
    <row r="24" spans="1:7">
      <c r="A24" s="3474" t="s">
        <v>381</v>
      </c>
      <c r="B24" s="3472">
        <v>50</v>
      </c>
      <c r="C24" s="3472">
        <v>25</v>
      </c>
      <c r="D24" s="3473">
        <v>0.05</v>
      </c>
      <c r="E24" s="3470">
        <f>ROUND(POWER(1+D24,B24-C24)*(POWER(1+D24,C24)-1)/(POWER(1+D24,B24)-1),3)</f>
        <v>0.77200000000000002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spans="1:7">
      <c r="A45" s="3491" t="s">
        <v>411</v>
      </c>
      <c r="B45" s="3492" t="s">
        <v>399</v>
      </c>
      <c r="C45" s="3493" t="s">
        <v>399</v>
      </c>
      <c r="D45" s="3493" t="s">
        <v>412</v>
      </c>
      <c r="E45" s="3494" t="s">
        <v>413</v>
      </c>
      <c r="F45" s="3494"/>
      <c r="G45" s="3495"/>
    </row>
  </sheetData>
  <sheetProtection password="CEE9" sheet="1" objects="1" scenarios="1"/>
  <phoneticPr fontId="2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26" sqref="H26"/>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414</v>
      </c>
      <c r="B1" s="3680" t="str">
        <f>IF(B10="北京市","北京市",C10)&amp;F10&amp;A17&amp;"国有建设用地使用权"&amp;B9&amp;"预评估"</f>
        <v>北京市出让国有建设用地使用权抵押价格预评估</v>
      </c>
      <c r="C1" s="3681"/>
      <c r="D1" s="3681"/>
      <c r="E1" s="3681"/>
      <c r="F1" s="3681"/>
      <c r="G1" s="3681"/>
      <c r="H1" s="3681"/>
      <c r="I1" s="3682"/>
      <c r="J1" s="3289"/>
      <c r="K1" s="3412" t="str">
        <f>IF(B10="北京市","北京市",C10)&amp;F10&amp;A17&amp;"国有建设用地使用权"&amp;B9</f>
        <v>北京市出让国有建设用地使用权抵押价格</v>
      </c>
      <c r="L1" s="3413"/>
      <c r="M1" s="3413"/>
      <c r="N1" s="3414"/>
      <c r="O1" s="3415"/>
      <c r="P1" s="3414"/>
      <c r="Q1" s="3414"/>
      <c r="R1" s="3414"/>
      <c r="S1" s="3414"/>
      <c r="T1" s="3414"/>
      <c r="U1" s="3414"/>
    </row>
    <row r="2" spans="1:21">
      <c r="A2" s="3287" t="s">
        <v>415</v>
      </c>
      <c r="B2" s="3288"/>
      <c r="D2" s="3289"/>
      <c r="E2" s="3289"/>
      <c r="F2" s="3289"/>
      <c r="G2" s="3289"/>
      <c r="H2" s="3290"/>
      <c r="I2" s="3416"/>
      <c r="J2" s="3289"/>
      <c r="K2" s="3412" t="str">
        <f>IF(B10="北京市","北京市",C10)&amp;F10&amp;A17&amp;"国有建设用地使用权"</f>
        <v>北京市出让国有建设用地使用权</v>
      </c>
      <c r="L2" s="3413"/>
      <c r="M2" s="3413"/>
      <c r="N2" s="3414"/>
      <c r="O2" s="3415"/>
      <c r="P2" s="3414"/>
      <c r="Q2" s="3414"/>
      <c r="R2" s="3414"/>
      <c r="S2" s="3414"/>
      <c r="T2" s="3414"/>
      <c r="U2" s="3414"/>
    </row>
    <row r="3" spans="1:21">
      <c r="A3" s="3291" t="s">
        <v>416</v>
      </c>
      <c r="B3" s="3292">
        <v>45257</v>
      </c>
      <c r="C3" s="3293" t="s">
        <v>417</v>
      </c>
      <c r="D3" s="3292">
        <f>B3</f>
        <v>45257</v>
      </c>
      <c r="E3" s="3289"/>
      <c r="F3" s="3289"/>
      <c r="G3" s="3289"/>
      <c r="H3" s="3290"/>
      <c r="I3" s="3416"/>
      <c r="J3" s="3289"/>
      <c r="K3" s="3417"/>
      <c r="L3" s="3413"/>
      <c r="M3" s="3413"/>
      <c r="N3" s="3414"/>
      <c r="O3" s="3415"/>
      <c r="P3" s="3414"/>
      <c r="Q3" s="3414"/>
      <c r="R3" s="3414"/>
      <c r="S3" s="3414"/>
      <c r="T3" s="3414"/>
      <c r="U3" s="3414"/>
    </row>
    <row r="4" spans="1:21">
      <c r="A4" s="3294" t="s">
        <v>418</v>
      </c>
      <c r="B4" s="3295" t="s">
        <v>197</v>
      </c>
      <c r="C4" s="3296">
        <f ca="1">SUMIF(土地估价师,B4,估价师及机构信息!E3:E17)</f>
        <v>2010110070</v>
      </c>
      <c r="D4" s="3295" t="s">
        <v>200</v>
      </c>
      <c r="E4" s="3296">
        <f ca="1">SUMIF(土地估价师,D4,估价师及机构信息!E3:E17)</f>
        <v>2011110090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崔锴、赵雯</v>
      </c>
      <c r="L4" s="3413"/>
      <c r="M4" s="3413"/>
      <c r="N4" s="3414"/>
      <c r="O4" s="3415"/>
      <c r="P4" s="3414"/>
      <c r="Q4" s="3414"/>
      <c r="R4" s="3414"/>
      <c r="S4" s="3414"/>
      <c r="T4" s="3414"/>
      <c r="U4" s="3414"/>
    </row>
    <row r="5" spans="1:21">
      <c r="A5" s="3297" t="s">
        <v>419</v>
      </c>
      <c r="B5" s="3298"/>
      <c r="C5" s="3299"/>
      <c r="D5" s="3300"/>
      <c r="E5" s="3289"/>
      <c r="F5" s="3289"/>
      <c r="G5" s="3289"/>
      <c r="H5" s="3290"/>
      <c r="I5" s="3416"/>
      <c r="J5" s="3289"/>
      <c r="K5" s="3417"/>
      <c r="L5" s="3413"/>
      <c r="M5" s="3413"/>
      <c r="N5" s="3414"/>
      <c r="O5" s="3415"/>
      <c r="P5" s="3414"/>
      <c r="Q5" s="3414"/>
      <c r="R5" s="3414"/>
      <c r="S5" s="3414"/>
      <c r="T5" s="3414"/>
      <c r="U5" s="3414"/>
    </row>
    <row r="6" spans="1:21">
      <c r="A6" s="3301" t="s">
        <v>420</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421</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340</v>
      </c>
      <c r="B8" s="3306" t="s">
        <v>342</v>
      </c>
      <c r="C8" s="3307"/>
      <c r="D8" s="3717" t="s">
        <v>422</v>
      </c>
      <c r="E8" s="3308" t="s">
        <v>347</v>
      </c>
      <c r="F8" s="3309"/>
      <c r="G8" s="3290"/>
      <c r="H8" s="3290"/>
      <c r="I8" s="3419"/>
      <c r="J8" s="3289"/>
      <c r="K8" s="3417"/>
      <c r="L8" s="3413"/>
      <c r="M8" s="3413"/>
      <c r="N8" s="3414"/>
      <c r="O8" s="3415"/>
      <c r="P8" s="3414"/>
      <c r="Q8" s="3414"/>
      <c r="R8" s="3414"/>
      <c r="S8" s="3414"/>
      <c r="T8" s="3414"/>
      <c r="U8" s="3414"/>
    </row>
    <row r="9" spans="1:21">
      <c r="A9" s="3310" t="s">
        <v>423</v>
      </c>
      <c r="B9" s="3311" t="s">
        <v>347</v>
      </c>
      <c r="C9" s="3312"/>
      <c r="D9" s="3718"/>
      <c r="E9" s="3311"/>
      <c r="F9" s="3313"/>
      <c r="G9" s="3314"/>
      <c r="H9" s="3314"/>
      <c r="I9" s="3420"/>
      <c r="J9" s="3289"/>
      <c r="K9" s="3417"/>
      <c r="L9" s="3413"/>
      <c r="M9" s="3413"/>
      <c r="N9" s="3414"/>
      <c r="O9" s="3415"/>
      <c r="P9" s="3414"/>
      <c r="Q9" s="3414"/>
      <c r="R9" s="3414"/>
      <c r="S9" s="3414"/>
      <c r="T9" s="3414"/>
      <c r="U9" s="3414"/>
    </row>
    <row r="10" spans="1:21">
      <c r="A10" s="3315" t="s">
        <v>424</v>
      </c>
      <c r="B10" s="3316" t="s">
        <v>425</v>
      </c>
      <c r="C10" s="3317"/>
      <c r="D10" s="3300"/>
      <c r="E10" s="3318" t="s">
        <v>426</v>
      </c>
      <c r="F10" s="3319"/>
      <c r="G10" s="3320"/>
      <c r="H10" s="3321"/>
      <c r="I10" s="3300"/>
      <c r="J10" s="3289"/>
      <c r="K10" s="3417"/>
      <c r="L10" s="3413"/>
      <c r="M10" s="3413"/>
      <c r="N10" s="3414"/>
      <c r="O10" s="3415"/>
      <c r="P10" s="3414"/>
      <c r="Q10" s="3414"/>
      <c r="R10" s="3414"/>
      <c r="S10" s="3414"/>
      <c r="T10" s="3414"/>
      <c r="U10" s="3414"/>
    </row>
    <row r="11" spans="1:21">
      <c r="A11" s="3322" t="s">
        <v>427</v>
      </c>
      <c r="B11" s="3323" t="s">
        <v>428</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429</v>
      </c>
      <c r="B12" s="3683"/>
      <c r="C12" s="3684"/>
      <c r="D12" s="3685"/>
      <c r="E12" s="3328" t="s">
        <v>430</v>
      </c>
      <c r="F12" s="3686" t="s">
        <v>431</v>
      </c>
      <c r="G12" s="3687"/>
      <c r="H12" s="3687"/>
      <c r="I12" s="3688"/>
      <c r="J12" s="3289"/>
      <c r="K12" s="3417"/>
      <c r="L12" s="3413"/>
      <c r="M12" s="3413"/>
      <c r="N12" s="3414"/>
      <c r="O12" s="3415"/>
      <c r="P12" s="3414"/>
      <c r="Q12" s="3414"/>
      <c r="R12" s="3414"/>
      <c r="S12" s="3414"/>
      <c r="T12" s="3414"/>
      <c r="U12" s="3414"/>
    </row>
    <row r="13" spans="1:21">
      <c r="A13" s="3329" t="s">
        <v>432</v>
      </c>
      <c r="B13" s="3683"/>
      <c r="C13" s="3684"/>
      <c r="D13" s="3685"/>
      <c r="E13" s="3328" t="s">
        <v>430</v>
      </c>
      <c r="F13" s="3686" t="s">
        <v>433</v>
      </c>
      <c r="G13" s="3687"/>
      <c r="H13" s="3687"/>
      <c r="I13" s="3688"/>
      <c r="J13" s="3289"/>
      <c r="K13" s="3417"/>
      <c r="L13" s="3413"/>
      <c r="M13" s="3413"/>
      <c r="N13" s="3414"/>
      <c r="O13" s="3415"/>
      <c r="P13" s="3414"/>
      <c r="Q13" s="3414"/>
      <c r="R13" s="3414"/>
      <c r="S13" s="3414"/>
      <c r="T13" s="3414"/>
      <c r="U13" s="3414"/>
    </row>
    <row r="14" spans="1:21">
      <c r="A14" s="3291" t="s">
        <v>434</v>
      </c>
      <c r="B14" s="3328"/>
      <c r="C14" s="3330"/>
      <c r="D14" s="3331" t="str">
        <f>IF(C14="不一致","是否符合证载地类范围","")</f>
        <v/>
      </c>
      <c r="E14" s="3328"/>
      <c r="F14" s="3332"/>
      <c r="G14" s="3333"/>
      <c r="H14" s="3333"/>
      <c r="I14" s="3421"/>
      <c r="J14" s="3289"/>
      <c r="K14" s="3417"/>
      <c r="L14" s="3413"/>
      <c r="M14" s="3413"/>
      <c r="N14" s="3414"/>
      <c r="O14" s="3415"/>
      <c r="P14" s="3414"/>
      <c r="Q14" s="3414"/>
      <c r="R14" s="3414"/>
      <c r="S14" s="3414"/>
      <c r="T14" s="3414"/>
      <c r="U14" s="3414"/>
    </row>
    <row r="15" spans="1:21">
      <c r="A15" s="3334"/>
      <c r="B15" s="3301"/>
      <c r="C15" s="3335" t="s">
        <v>402</v>
      </c>
      <c r="D15" s="3335" t="s">
        <v>435</v>
      </c>
      <c r="E15" s="3335" t="s">
        <v>436</v>
      </c>
      <c r="F15" s="3336" t="s">
        <v>437</v>
      </c>
      <c r="G15" s="3336" t="s">
        <v>438</v>
      </c>
      <c r="H15" s="3336" t="s">
        <v>164</v>
      </c>
      <c r="I15" s="3336" t="s">
        <v>297</v>
      </c>
      <c r="J15" s="3289"/>
      <c r="K15" s="3417"/>
      <c r="L15" s="3413"/>
      <c r="M15" s="3413"/>
      <c r="N15" s="3414"/>
      <c r="O15" s="3415"/>
      <c r="P15" s="3414"/>
      <c r="Q15" s="3414"/>
      <c r="R15" s="3414"/>
      <c r="S15" s="3414"/>
      <c r="T15" s="3414"/>
      <c r="U15" s="3414"/>
    </row>
    <row r="16" spans="1:21" ht="28.5">
      <c r="A16" s="3337" t="s">
        <v>439</v>
      </c>
      <c r="B16" s="3328" t="s">
        <v>352</v>
      </c>
      <c r="C16" s="3335" t="s">
        <v>402</v>
      </c>
      <c r="D16" s="3338" t="s">
        <v>435</v>
      </c>
      <c r="E16" s="3338" t="s">
        <v>436</v>
      </c>
      <c r="F16" s="3338" t="s">
        <v>437</v>
      </c>
      <c r="G16" s="3338" t="s">
        <v>438</v>
      </c>
      <c r="H16" s="3336" t="s">
        <v>164</v>
      </c>
      <c r="I16" s="3336" t="s">
        <v>297</v>
      </c>
      <c r="J16" s="3289"/>
      <c r="K16" s="3422" t="str">
        <f>IF(D17="","",D16&amp;TEXT(D17,"yyyy年m月d日;;"))</f>
        <v/>
      </c>
      <c r="L16" s="3328" t="str">
        <f>IF(OR(K16="",M16=""),"","、")</f>
        <v/>
      </c>
      <c r="M16" s="3422" t="str">
        <f>IF(E17="","",E16&amp;TEXT(E17,"yyyy年m月d日;;"))</f>
        <v/>
      </c>
      <c r="N16" s="3328" t="str">
        <f>IF(OR(M16="",O16=""),"","、")</f>
        <v/>
      </c>
      <c r="O16" s="3422" t="str">
        <f>IF(F17="","",F16&amp;TEXT(F17,"yyyy年m月d日;;"))</f>
        <v/>
      </c>
      <c r="P16" s="3328" t="str">
        <f>IF(OR(O16="",Q16=""),"","、")</f>
        <v/>
      </c>
      <c r="Q16" s="3422" t="str">
        <f>IF(G17="","",G16&amp;TEXT(G17,"yyyy年m月d日;;"))</f>
        <v/>
      </c>
      <c r="R16" s="3328" t="str">
        <f>IF(OR(Q16="",S16=""),"","、")</f>
        <v/>
      </c>
      <c r="S16" s="3422" t="str">
        <f>IF(H17="","",H16&amp;TEXT(H17,"yyyy年m月d日;;"))</f>
        <v>工业2042年7月24日</v>
      </c>
      <c r="T16" s="3328" t="str">
        <f>IF(OR(S16="",U16=""),"","、")</f>
        <v/>
      </c>
      <c r="U16" s="3422" t="str">
        <f>IF(I17="","",I16&amp;TEXT(I17,"yyyy年m月d日;;"))</f>
        <v/>
      </c>
    </row>
    <row r="17" spans="1:21">
      <c r="A17" s="3339" t="s">
        <v>440</v>
      </c>
      <c r="B17" s="3340" t="s">
        <v>358</v>
      </c>
      <c r="C17" s="3341"/>
      <c r="D17" s="3341"/>
      <c r="E17" s="3341"/>
      <c r="F17" s="3341"/>
      <c r="G17" s="3341"/>
      <c r="H17" s="3341">
        <v>52071</v>
      </c>
      <c r="I17" s="3341"/>
      <c r="J17" s="3289"/>
      <c r="K17" s="3423" t="str">
        <f>CONCATENATE(K16,L16,M16,N16,O16,P16,Q16,R16,S16,T16,,U16)</f>
        <v>工业2042年7月24日</v>
      </c>
      <c r="L17" s="3413"/>
      <c r="M17" s="3413"/>
      <c r="N17" s="3414"/>
      <c r="O17" s="3415"/>
      <c r="P17" s="3414"/>
      <c r="Q17" s="3414"/>
      <c r="R17" s="3414"/>
      <c r="S17" s="3414"/>
      <c r="T17" s="3414"/>
      <c r="U17" s="3414"/>
    </row>
    <row r="18" spans="1:21">
      <c r="A18" s="3342"/>
      <c r="B18" s="3340" t="s">
        <v>375</v>
      </c>
      <c r="C18" s="3343"/>
      <c r="D18" s="3343"/>
      <c r="E18" s="3343"/>
      <c r="F18" s="3343"/>
      <c r="G18" s="3343"/>
      <c r="H18" s="3343">
        <v>20</v>
      </c>
      <c r="I18" s="3343"/>
      <c r="J18" s="3289"/>
      <c r="K18" s="3417"/>
      <c r="L18" s="3413"/>
      <c r="M18" s="3413"/>
      <c r="N18" s="3414"/>
      <c r="O18" s="3415"/>
      <c r="P18" s="3414"/>
      <c r="Q18" s="3414"/>
      <c r="R18" s="3414"/>
      <c r="S18" s="3414"/>
      <c r="T18" s="3414"/>
      <c r="U18" s="3414"/>
    </row>
    <row r="19" spans="1:21">
      <c r="A19" s="3342"/>
      <c r="B19" s="3287" t="s">
        <v>441</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18.66</v>
      </c>
      <c r="I19" s="3345" t="str">
        <f>IF(A17="出让",IF(I17="","",ROUNDDOWN(MIN((I17-$D$3)/365,I18),2)),I18)</f>
        <v/>
      </c>
      <c r="J19" s="3289"/>
      <c r="K19" s="3417"/>
      <c r="L19" s="3413"/>
      <c r="M19" s="3413"/>
      <c r="N19" s="3414"/>
      <c r="O19" s="3415"/>
      <c r="P19" s="3414"/>
      <c r="Q19" s="3414"/>
      <c r="R19" s="3414"/>
      <c r="S19" s="3414"/>
      <c r="T19" s="3414"/>
      <c r="U19" s="3414"/>
    </row>
    <row r="20" spans="1:21">
      <c r="A20" s="3346"/>
      <c r="B20" s="3347"/>
      <c r="C20" s="3348" t="s">
        <v>442</v>
      </c>
      <c r="D20" s="3689"/>
      <c r="E20" s="3690"/>
      <c r="F20" s="3690"/>
      <c r="G20" s="3690"/>
      <c r="H20" s="3690"/>
      <c r="I20" s="3691"/>
      <c r="J20" s="3289"/>
      <c r="K20" s="3417"/>
      <c r="L20" s="3413"/>
      <c r="M20" s="3413"/>
      <c r="N20" s="3414"/>
      <c r="O20" s="3415"/>
      <c r="P20" s="3414"/>
      <c r="Q20" s="3414"/>
      <c r="R20" s="3414"/>
      <c r="S20" s="3414"/>
      <c r="T20" s="3414"/>
      <c r="U20" s="3414"/>
    </row>
    <row r="21" spans="1:21">
      <c r="A21" s="3342" t="s">
        <v>443</v>
      </c>
      <c r="B21" s="3349" t="s">
        <v>444</v>
      </c>
      <c r="C21" s="3350">
        <f>'数据-汇总表'!E3</f>
        <v>46494.69</v>
      </c>
      <c r="D21" s="3351" t="s">
        <v>445</v>
      </c>
      <c r="E21" s="3692" t="s">
        <v>446</v>
      </c>
      <c r="F21" s="3693"/>
      <c r="G21" s="3693"/>
      <c r="H21" s="3693"/>
      <c r="I21" s="3694"/>
      <c r="J21" s="3289"/>
      <c r="K21" s="3417"/>
      <c r="L21" s="3413"/>
      <c r="M21" s="3413"/>
      <c r="N21" s="3414"/>
      <c r="O21" s="3415"/>
      <c r="P21" s="3414"/>
      <c r="Q21" s="3414"/>
      <c r="R21" s="3414"/>
      <c r="S21" s="3414"/>
      <c r="T21" s="3414"/>
      <c r="U21" s="3414"/>
    </row>
    <row r="22" spans="1:21">
      <c r="A22" s="3352" t="s">
        <v>138</v>
      </c>
      <c r="B22" s="3291" t="s">
        <v>447</v>
      </c>
      <c r="C22" s="3336">
        <f>'数据-汇总表'!D3</f>
        <v>26650.41</v>
      </c>
      <c r="D22" s="3329" t="s">
        <v>445</v>
      </c>
      <c r="E22" s="3692" t="s">
        <v>431</v>
      </c>
      <c r="F22" s="3693"/>
      <c r="G22" s="3693"/>
      <c r="H22" s="3693"/>
      <c r="I22" s="3694"/>
      <c r="J22" s="3289"/>
      <c r="K22" s="3417"/>
      <c r="L22" s="3413"/>
      <c r="M22" s="3413"/>
      <c r="N22" s="3414"/>
      <c r="O22" s="3415"/>
      <c r="P22" s="3414"/>
      <c r="Q22" s="3414"/>
      <c r="R22" s="3414"/>
      <c r="S22" s="3414"/>
      <c r="T22" s="3414"/>
      <c r="U22" s="3414"/>
    </row>
    <row r="23" spans="1:21" ht="28.5">
      <c r="A23" s="3353" t="s">
        <v>448</v>
      </c>
      <c r="B23" s="3354" t="s">
        <v>449</v>
      </c>
      <c r="C23" s="3355"/>
      <c r="D23" s="3356" t="s">
        <v>450</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430</v>
      </c>
      <c r="B24" s="3695" t="s">
        <v>451</v>
      </c>
      <c r="C24" s="3696"/>
      <c r="D24" s="3697" t="s">
        <v>452</v>
      </c>
      <c r="E24" s="3698"/>
      <c r="F24" s="3361" t="s">
        <v>453</v>
      </c>
      <c r="G24" s="3289"/>
      <c r="H24" s="3289"/>
      <c r="I24" s="3419"/>
      <c r="J24" s="3289"/>
      <c r="K24" s="3719" t="s">
        <v>454</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455</v>
      </c>
      <c r="C25" s="3364" t="s">
        <v>456</v>
      </c>
      <c r="D25" s="3365"/>
      <c r="E25" s="3366" t="s">
        <v>138</v>
      </c>
      <c r="F25" s="3367"/>
      <c r="G25" s="3289"/>
      <c r="H25" s="3289"/>
      <c r="I25" s="3419"/>
      <c r="J25" s="3289"/>
      <c r="K25" s="3719"/>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457</v>
      </c>
      <c r="C26" s="3364" t="s">
        <v>458</v>
      </c>
      <c r="D26" s="3290"/>
      <c r="E26" s="3290"/>
      <c r="F26" s="3370"/>
      <c r="G26" s="3289"/>
      <c r="H26" s="3289"/>
      <c r="I26" s="3419"/>
      <c r="J26" s="3289"/>
      <c r="K26" s="3719"/>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459</v>
      </c>
      <c r="B27" s="3372" t="s">
        <v>460</v>
      </c>
      <c r="C27" s="3373"/>
      <c r="D27" s="3374" t="s">
        <v>460</v>
      </c>
      <c r="E27" s="3375"/>
      <c r="F27" s="3370"/>
      <c r="G27" s="3289"/>
      <c r="H27" s="3289"/>
      <c r="I27" s="3419"/>
      <c r="J27" s="3289"/>
      <c r="K27" s="3417"/>
      <c r="L27" s="3413"/>
      <c r="M27" s="3413"/>
      <c r="N27" s="3414"/>
      <c r="O27" s="3415"/>
      <c r="P27" s="3414"/>
      <c r="Q27" s="3414"/>
      <c r="R27" s="3414"/>
      <c r="S27" s="3414"/>
      <c r="T27" s="3414"/>
      <c r="U27" s="3414"/>
    </row>
    <row r="28" spans="1:21">
      <c r="A28" s="3376"/>
      <c r="B28" s="3372" t="s">
        <v>461</v>
      </c>
      <c r="C28" s="3377"/>
      <c r="D28" s="3378" t="s">
        <v>461</v>
      </c>
      <c r="E28" s="3379"/>
      <c r="F28" s="3370"/>
      <c r="G28" s="3289"/>
      <c r="H28" s="3289"/>
      <c r="I28" s="3419"/>
      <c r="J28" s="3289"/>
      <c r="K28" s="3417"/>
      <c r="L28" s="3413"/>
      <c r="M28" s="3413"/>
      <c r="N28" s="3414"/>
      <c r="O28" s="3415"/>
      <c r="P28" s="3414"/>
      <c r="Q28" s="3414"/>
      <c r="R28" s="3414"/>
      <c r="S28" s="3414"/>
      <c r="T28" s="3414"/>
      <c r="U28" s="3414"/>
    </row>
    <row r="29" spans="1:21">
      <c r="A29" s="3376"/>
      <c r="B29" s="3372" t="s">
        <v>462</v>
      </c>
      <c r="C29" s="3377"/>
      <c r="D29" s="3378" t="s">
        <v>462</v>
      </c>
      <c r="E29" s="3379"/>
      <c r="F29" s="3370"/>
      <c r="G29" s="3289"/>
      <c r="H29" s="3289"/>
      <c r="I29" s="3419"/>
      <c r="J29" s="3289"/>
      <c r="K29" s="3417"/>
      <c r="L29" s="3413"/>
      <c r="M29" s="3413"/>
      <c r="N29" s="3414"/>
      <c r="O29" s="3415"/>
      <c r="P29" s="3414"/>
      <c r="Q29" s="3414"/>
      <c r="R29" s="3414"/>
      <c r="S29" s="3414"/>
      <c r="T29" s="3414"/>
      <c r="U29" s="3414"/>
    </row>
    <row r="30" spans="1:21">
      <c r="A30" s="3380"/>
      <c r="B30" s="3381" t="s">
        <v>463</v>
      </c>
      <c r="C30" s="3382"/>
      <c r="D30" s="3383" t="s">
        <v>463</v>
      </c>
      <c r="E30" s="3384"/>
      <c r="F30" s="3385"/>
      <c r="G30" s="3314"/>
      <c r="H30" s="3314"/>
      <c r="I30" s="3420"/>
      <c r="J30" s="3289"/>
      <c r="K30" s="3417"/>
      <c r="L30" s="3413"/>
      <c r="M30" s="3413"/>
      <c r="N30" s="3414"/>
      <c r="O30" s="3415"/>
      <c r="P30" s="3414"/>
      <c r="Q30" s="3414"/>
      <c r="R30" s="3414"/>
      <c r="S30" s="3414"/>
      <c r="T30" s="3414"/>
      <c r="U30" s="3414"/>
    </row>
    <row r="31" spans="1:21">
      <c r="A31" s="3711" t="s">
        <v>464</v>
      </c>
      <c r="B31" s="3349" t="s">
        <v>465</v>
      </c>
      <c r="C31" s="3699"/>
      <c r="D31" s="3700"/>
      <c r="E31" s="3289"/>
      <c r="F31" s="3289"/>
      <c r="G31" s="3289"/>
      <c r="H31" s="3289"/>
      <c r="I31" s="3419"/>
      <c r="J31" s="3289"/>
      <c r="K31" s="3426"/>
      <c r="L31" s="3414"/>
      <c r="M31" s="3414"/>
      <c r="N31" s="3414"/>
      <c r="O31" s="3414"/>
      <c r="P31" s="3414"/>
      <c r="Q31" s="3414"/>
      <c r="R31" s="3414"/>
      <c r="S31" s="3414"/>
      <c r="T31" s="3414"/>
      <c r="U31" s="3414"/>
    </row>
    <row r="32" spans="1:21">
      <c r="A32" s="3711"/>
      <c r="B32" s="3291" t="s">
        <v>466</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711"/>
      <c r="B33" s="3291" t="s">
        <v>467</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712"/>
      <c r="B34" s="3291" t="s">
        <v>468</v>
      </c>
      <c r="C34" s="3701"/>
      <c r="D34" s="3702"/>
      <c r="E34" s="3289"/>
      <c r="F34" s="3289"/>
      <c r="G34" s="3289"/>
      <c r="H34" s="3289"/>
      <c r="I34" s="3419"/>
      <c r="J34" s="3289"/>
      <c r="K34" s="3426"/>
      <c r="L34" s="3414"/>
      <c r="M34" s="3414"/>
      <c r="N34" s="3414"/>
      <c r="O34" s="3414"/>
      <c r="P34" s="3414"/>
      <c r="Q34" s="3414"/>
      <c r="R34" s="3414"/>
      <c r="S34" s="3414"/>
      <c r="T34" s="3414"/>
      <c r="U34" s="3414"/>
    </row>
    <row r="35" spans="1:28">
      <c r="A35" s="3713" t="s">
        <v>469</v>
      </c>
      <c r="B35" s="3338"/>
      <c r="C35" s="3389" t="str">
        <f>IF(B35="场地平整","——","具体情况：")</f>
        <v>具体情况：</v>
      </c>
      <c r="D35" s="3703"/>
      <c r="E35" s="3704"/>
      <c r="F35" s="3704"/>
      <c r="G35" s="3704"/>
      <c r="H35" s="3704"/>
      <c r="I35" s="3705"/>
      <c r="J35" s="3289"/>
      <c r="K35" s="3427"/>
      <c r="L35" s="3413"/>
      <c r="M35" s="3413"/>
      <c r="N35" s="3414"/>
      <c r="O35" s="3415"/>
      <c r="P35" s="3414"/>
      <c r="Q35" s="3414"/>
      <c r="R35" s="3414"/>
      <c r="S35" s="3414"/>
      <c r="T35" s="3414"/>
      <c r="U35" s="3414"/>
    </row>
    <row r="36" spans="1:28">
      <c r="A36" s="3711"/>
      <c r="B36" s="3706" t="s">
        <v>470</v>
      </c>
      <c r="C36" s="3707"/>
      <c r="D36" s="3390"/>
      <c r="E36" s="3708"/>
      <c r="F36" s="3708"/>
      <c r="G36" s="3329" t="str">
        <f>IF(B35="场地未平整","估价结果处理","")</f>
        <v/>
      </c>
      <c r="H36" s="3709"/>
      <c r="I36" s="3709"/>
      <c r="J36" s="3289"/>
      <c r="K36" s="3427"/>
      <c r="L36" s="3413"/>
      <c r="M36" s="3413"/>
      <c r="N36" s="3414"/>
      <c r="O36" s="3415"/>
      <c r="P36" s="3414"/>
      <c r="Q36" s="3414"/>
      <c r="R36" s="3414"/>
      <c r="S36" s="3414"/>
      <c r="T36" s="3414"/>
      <c r="U36" s="3414"/>
    </row>
    <row r="37" spans="1:28" ht="28.5">
      <c r="A37" s="3711"/>
      <c r="B37" s="3714" t="s">
        <v>471</v>
      </c>
      <c r="C37" s="3392" t="s">
        <v>472</v>
      </c>
      <c r="D37" s="3393"/>
      <c r="E37" s="3394"/>
      <c r="F37" s="3289"/>
      <c r="G37" s="3289"/>
      <c r="H37" s="3289"/>
      <c r="I37" s="3419"/>
      <c r="J37" s="3289"/>
      <c r="K37" s="3427"/>
      <c r="L37" s="3414"/>
      <c r="M37" s="3414"/>
      <c r="N37" s="3414"/>
      <c r="O37" s="3414"/>
      <c r="P37" s="3414"/>
      <c r="Q37" s="3414"/>
      <c r="R37" s="3414"/>
      <c r="S37" s="3414"/>
      <c r="T37" s="3414"/>
      <c r="U37" s="3414"/>
    </row>
    <row r="38" spans="1:28">
      <c r="A38" s="3711"/>
      <c r="B38" s="3715"/>
      <c r="C38" s="3304" t="s">
        <v>473</v>
      </c>
      <c r="D38" s="3395">
        <f>ROUNDDOWN(MIN(('数据-取费表'!$B$2-D37)/365,D34),1)</f>
        <v>123.9</v>
      </c>
      <c r="E38" s="3396" t="s">
        <v>474</v>
      </c>
      <c r="F38" s="3289"/>
      <c r="G38" s="3289"/>
      <c r="H38" s="3289"/>
      <c r="I38" s="3419"/>
      <c r="J38" s="3289"/>
      <c r="K38" s="3427"/>
      <c r="L38" s="3414"/>
      <c r="M38" s="3414"/>
      <c r="N38" s="3414"/>
      <c r="O38" s="3414"/>
      <c r="P38" s="3414"/>
      <c r="Q38" s="3414"/>
      <c r="R38" s="3414"/>
      <c r="S38" s="3414"/>
      <c r="T38" s="3414"/>
      <c r="U38" s="3414"/>
    </row>
    <row r="39" spans="1:28">
      <c r="A39" s="3712"/>
      <c r="B39" s="3716"/>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475</v>
      </c>
      <c r="B40" s="3399"/>
      <c r="C40" s="3399"/>
      <c r="D40" s="3399"/>
      <c r="E40" s="3399"/>
      <c r="F40" s="3399"/>
      <c r="G40" s="3399"/>
      <c r="H40" s="3399"/>
      <c r="I40" s="3419"/>
      <c r="J40" s="3289"/>
      <c r="K40" s="3411">
        <f>COUNTIF(B40:H40,"——")</f>
        <v>0</v>
      </c>
      <c r="L40" s="3328" t="s">
        <v>476</v>
      </c>
      <c r="M40" s="3410" t="s">
        <v>477</v>
      </c>
      <c r="N40" s="3410" t="s">
        <v>286</v>
      </c>
      <c r="O40" s="3410" t="s">
        <v>278</v>
      </c>
      <c r="P40" s="3410" t="s">
        <v>268</v>
      </c>
      <c r="Q40" s="3410" t="s">
        <v>257</v>
      </c>
      <c r="R40" s="3410" t="s">
        <v>245</v>
      </c>
      <c r="S40" s="3720" t="s">
        <v>379</v>
      </c>
      <c r="T40" s="3328" t="str">
        <f>NUMBERSTRING(7-K40,1)&amp;"通"</f>
        <v>七通</v>
      </c>
      <c r="U40" s="3414"/>
    </row>
    <row r="41" spans="1:28">
      <c r="A41" s="3301"/>
      <c r="B41" s="3710" t="s">
        <v>425</v>
      </c>
      <c r="C41" s="3710"/>
      <c r="D41" s="3710"/>
      <c r="E41" s="3710"/>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720"/>
      <c r="T41" s="3331" t="str">
        <f>IF(T40="一通",L41,IF(T40="二通",M41,IF(T40="三通",N41,IF(T40="四通",O41,IF(T40="五通",P41,IF(T40="六通",Q41,R41))))))</f>
        <v>、、、、、、</v>
      </c>
      <c r="U41" s="3414"/>
    </row>
    <row r="42" spans="1:28">
      <c r="A42" s="3401"/>
      <c r="B42" s="3335" t="s">
        <v>435</v>
      </c>
      <c r="C42" s="3335" t="s">
        <v>436</v>
      </c>
      <c r="D42" s="3335" t="s">
        <v>402</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c r="C43" s="3403"/>
      <c r="D43" s="3403"/>
      <c r="E43" s="3403"/>
      <c r="F43" s="3403"/>
      <c r="G43" s="3289"/>
      <c r="H43" s="3289"/>
      <c r="I43" s="3419"/>
      <c r="J43" s="3289"/>
      <c r="K43" s="3417"/>
      <c r="L43" s="3413"/>
      <c r="M43" s="3413"/>
      <c r="N43" s="3414"/>
      <c r="O43" s="3415"/>
      <c r="P43" s="3414"/>
      <c r="Q43" s="3414"/>
      <c r="R43" s="3414"/>
      <c r="S43" s="3414"/>
      <c r="T43" s="3414"/>
      <c r="U43" s="3414"/>
    </row>
    <row r="44" spans="1:28">
      <c r="A44" s="3402" t="s">
        <v>478</v>
      </c>
      <c r="B44" s="3403"/>
      <c r="C44" s="3403"/>
      <c r="D44" s="3403"/>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479</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480</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481</v>
      </c>
      <c r="B48" s="3336" t="s">
        <v>482</v>
      </c>
      <c r="C48" s="3336" t="s">
        <v>483</v>
      </c>
      <c r="D48" s="3336" t="s">
        <v>484</v>
      </c>
      <c r="E48" s="3336" t="s">
        <v>485</v>
      </c>
      <c r="F48" s="3336" t="s">
        <v>486</v>
      </c>
      <c r="G48" s="3336" t="s">
        <v>487</v>
      </c>
      <c r="H48" s="3336" t="s">
        <v>488</v>
      </c>
      <c r="I48" s="3336" t="s">
        <v>489</v>
      </c>
      <c r="J48" s="3435" t="s">
        <v>490</v>
      </c>
      <c r="K48" s="3436" t="s">
        <v>491</v>
      </c>
      <c r="L48" s="3436" t="s">
        <v>492</v>
      </c>
      <c r="M48" s="3436" t="s">
        <v>493</v>
      </c>
      <c r="N48" s="3437" t="s">
        <v>494</v>
      </c>
      <c r="O48" s="3437" t="s">
        <v>495</v>
      </c>
      <c r="P48" s="3437" t="s">
        <v>496</v>
      </c>
      <c r="Q48" s="3443" t="s">
        <v>497</v>
      </c>
      <c r="R48" s="3443" t="s">
        <v>498</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workbookViewId="0">
      <pane xSplit="4" ySplit="12" topLeftCell="E13" activePane="bottomRight" state="frozen"/>
      <selection pane="topRight"/>
      <selection pane="bottomLeft"/>
      <selection pane="bottomRight" activeCell="AP25" sqref="AP25"/>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2" width="9.5" style="3169" customWidth="1"/>
    <col min="13" max="14" width="9.5" style="3169" hidden="1" customWidth="1"/>
    <col min="15" max="15" width="9.875" style="3169" hidden="1"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hidden="1" customWidth="1"/>
    <col min="31" max="31" width="9.75" style="3169" hidden="1" customWidth="1"/>
    <col min="32" max="37" width="9.5" style="3169" hidden="1" customWidth="1"/>
    <col min="38"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499</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500</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192" customFormat="1" ht="24">
      <c r="A2" s="130" t="s">
        <v>501</v>
      </c>
      <c r="B2" s="130" t="s">
        <v>502</v>
      </c>
      <c r="C2" s="130" t="s">
        <v>503</v>
      </c>
      <c r="D2" s="3172"/>
      <c r="E2" s="2657"/>
      <c r="F2" s="265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504</v>
      </c>
      <c r="AZ2" s="3253" t="s">
        <v>505</v>
      </c>
      <c r="BA2" s="3254" t="s">
        <v>506</v>
      </c>
      <c r="BB2" s="3172"/>
      <c r="BC2" s="3172"/>
      <c r="BD2" s="3172"/>
      <c r="BE2" s="3172"/>
      <c r="BF2" s="3172"/>
      <c r="BG2" s="3172"/>
      <c r="BH2" s="3172"/>
      <c r="BI2" s="3172"/>
      <c r="BJ2" s="3172"/>
      <c r="BK2" s="3172"/>
      <c r="BL2" s="3172"/>
      <c r="BM2" s="3172"/>
      <c r="BN2" s="3172"/>
      <c r="BO2" s="3172"/>
      <c r="BP2" s="3172"/>
      <c r="BQ2" s="3172"/>
      <c r="BR2" s="3172"/>
      <c r="BS2" s="3172"/>
      <c r="BT2" s="3172"/>
    </row>
    <row r="3" spans="1:72" s="192" customFormat="1" ht="12.75">
      <c r="A3" s="3173">
        <v>26650.41</v>
      </c>
      <c r="B3" s="3174">
        <f>IF(C3="否",G5-AT5,G5)</f>
        <v>46494.69</v>
      </c>
      <c r="C3" s="3175"/>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192" customFormat="1" ht="12.75">
      <c r="A5" s="1114" t="s">
        <v>507</v>
      </c>
      <c r="B5" s="1220"/>
      <c r="C5" s="1220"/>
      <c r="D5" s="2569"/>
      <c r="E5" s="3179" t="s">
        <v>138</v>
      </c>
      <c r="F5" s="3179">
        <f>SUM(F13:F572)</f>
        <v>0</v>
      </c>
      <c r="G5" s="3179">
        <f>SUM(G13:G572)</f>
        <v>46494.69</v>
      </c>
      <c r="H5" s="3179">
        <f t="shared" ref="H5:AT5" si="0">SUM(H13:H641)</f>
        <v>31713.88</v>
      </c>
      <c r="I5" s="3179">
        <f t="shared" si="0"/>
        <v>31713.88</v>
      </c>
      <c r="J5" s="3179">
        <f t="shared" si="0"/>
        <v>0</v>
      </c>
      <c r="K5" s="3179">
        <f t="shared" si="0"/>
        <v>0</v>
      </c>
      <c r="L5" s="3179">
        <f t="shared" si="0"/>
        <v>0</v>
      </c>
      <c r="M5" s="3179">
        <f t="shared" si="0"/>
        <v>0</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14780.81</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8241.75</v>
      </c>
      <c r="AM5" s="3179">
        <f t="shared" si="0"/>
        <v>0</v>
      </c>
      <c r="AN5" s="3179">
        <f t="shared" si="0"/>
        <v>6539.06</v>
      </c>
      <c r="AO5" s="3179">
        <f t="shared" si="0"/>
        <v>0</v>
      </c>
      <c r="AP5" s="3179">
        <f t="shared" si="0"/>
        <v>0</v>
      </c>
      <c r="AQ5" s="3179">
        <f t="shared" si="0"/>
        <v>0</v>
      </c>
      <c r="AR5" s="3179">
        <f t="shared" si="0"/>
        <v>0</v>
      </c>
      <c r="AS5" s="3179">
        <f t="shared" si="0"/>
        <v>0</v>
      </c>
      <c r="AT5" s="3179">
        <f t="shared" si="0"/>
        <v>0</v>
      </c>
      <c r="AU5" s="2459"/>
      <c r="AV5" s="1114" t="s">
        <v>507</v>
      </c>
      <c r="AW5" s="1220"/>
      <c r="AX5" s="1220"/>
      <c r="AY5" s="3259" t="s">
        <v>138</v>
      </c>
      <c r="AZ5" s="3260">
        <f t="shared" ref="AZ5:BT5" si="1">SUM(AZ13:AZ641)</f>
        <v>46494.69</v>
      </c>
      <c r="BA5" s="3260">
        <f t="shared" si="1"/>
        <v>31713.88</v>
      </c>
      <c r="BB5" s="3260">
        <f t="shared" si="1"/>
        <v>31713.88</v>
      </c>
      <c r="BC5" s="3260">
        <f t="shared" si="1"/>
        <v>0</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14780.81</v>
      </c>
      <c r="BM5" s="3260">
        <f t="shared" si="1"/>
        <v>0</v>
      </c>
      <c r="BN5" s="3260">
        <f t="shared" si="1"/>
        <v>0</v>
      </c>
      <c r="BO5" s="3260">
        <f t="shared" si="1"/>
        <v>0</v>
      </c>
      <c r="BP5" s="3260">
        <f t="shared" si="1"/>
        <v>0</v>
      </c>
      <c r="BQ5" s="3260">
        <f t="shared" si="1"/>
        <v>8241.75</v>
      </c>
      <c r="BR5" s="3260">
        <f t="shared" si="1"/>
        <v>6539.06</v>
      </c>
      <c r="BS5" s="3260">
        <f t="shared" si="1"/>
        <v>0</v>
      </c>
      <c r="BT5" s="3269">
        <f t="shared" si="1"/>
        <v>0</v>
      </c>
    </row>
    <row r="6" spans="1:72" s="3166" customFormat="1" ht="12.75">
      <c r="A6" s="1114" t="s">
        <v>508</v>
      </c>
      <c r="B6" s="3180"/>
      <c r="C6" s="3180"/>
      <c r="D6" s="3181"/>
      <c r="E6" s="3179">
        <f>H6+AC6+AT6</f>
        <v>26650.41</v>
      </c>
      <c r="F6" s="3179" t="s">
        <v>138</v>
      </c>
      <c r="G6" s="3179" t="s">
        <v>138</v>
      </c>
      <c r="H6" s="3182">
        <f>SUMIF(I$12:AB$12,"总值",I6:AB6)</f>
        <v>18178.16</v>
      </c>
      <c r="I6" s="3179">
        <f t="shared" ref="I6:AB6" si="2">ROUND($A$3*I5/$B$3,2)</f>
        <v>18178.16</v>
      </c>
      <c r="J6" s="3179">
        <f t="shared" si="2"/>
        <v>0</v>
      </c>
      <c r="K6" s="3179">
        <f t="shared" si="2"/>
        <v>0</v>
      </c>
      <c r="L6" s="3179">
        <f t="shared" si="2"/>
        <v>0</v>
      </c>
      <c r="M6" s="3179">
        <f t="shared" si="2"/>
        <v>0</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8472.25</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4724.1099999999997</v>
      </c>
      <c r="AM6" s="3179">
        <f t="shared" si="3"/>
        <v>0</v>
      </c>
      <c r="AN6" s="3179">
        <f t="shared" si="3"/>
        <v>3748.14</v>
      </c>
      <c r="AO6" s="3179">
        <f t="shared" si="3"/>
        <v>0</v>
      </c>
      <c r="AP6" s="3179">
        <f t="shared" si="3"/>
        <v>0</v>
      </c>
      <c r="AQ6" s="3179">
        <f t="shared" si="3"/>
        <v>0</v>
      </c>
      <c r="AR6" s="3179">
        <f t="shared" si="3"/>
        <v>0</v>
      </c>
      <c r="AS6" s="3179">
        <f t="shared" si="3"/>
        <v>0</v>
      </c>
      <c r="AT6" s="3182">
        <f>IF(C3="是",ROUND($A$3*AT5/$B$3,2),0)</f>
        <v>0</v>
      </c>
      <c r="AU6" s="3236"/>
      <c r="AV6" s="1114" t="s">
        <v>508</v>
      </c>
      <c r="AW6" s="3180"/>
      <c r="AX6" s="3180"/>
      <c r="AY6" s="3261">
        <f>IF(AY3&gt;0,AY3,ROUND($A$3*AZ5/$B$3,2))</f>
        <v>26650.41</v>
      </c>
      <c r="AZ6" s="3179" t="s">
        <v>138</v>
      </c>
      <c r="BA6" s="3179">
        <f>ROUND($AY$6*BA5/$AZ$5,2)</f>
        <v>18178.16</v>
      </c>
      <c r="BB6" s="3179">
        <f>ROUND($AY$6*BB5/$AZ$5,2)</f>
        <v>18178.16</v>
      </c>
      <c r="BC6" s="3179">
        <f t="shared" ref="BC6:BH6" si="4">ROUND($AY$6*BC5/$AZ$5,2)</f>
        <v>0</v>
      </c>
      <c r="BD6" s="3179">
        <f t="shared" si="4"/>
        <v>0</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8472.25</v>
      </c>
      <c r="BM6" s="3179">
        <f t="shared" si="5"/>
        <v>0</v>
      </c>
      <c r="BN6" s="3179">
        <f t="shared" si="5"/>
        <v>0</v>
      </c>
      <c r="BO6" s="3179">
        <f t="shared" si="5"/>
        <v>0</v>
      </c>
      <c r="BP6" s="3179">
        <f t="shared" si="5"/>
        <v>0</v>
      </c>
      <c r="BQ6" s="3179">
        <f t="shared" si="5"/>
        <v>4724.1099999999997</v>
      </c>
      <c r="BR6" s="3179">
        <f t="shared" si="5"/>
        <v>3748.14</v>
      </c>
      <c r="BS6" s="3179">
        <f t="shared" si="5"/>
        <v>0</v>
      </c>
      <c r="BT6" s="3270">
        <f t="shared" si="5"/>
        <v>0</v>
      </c>
    </row>
    <row r="7" spans="1:72" s="192" customFormat="1" ht="24.75">
      <c r="A7" s="3183" t="s">
        <v>509</v>
      </c>
      <c r="B7" s="3183" t="s">
        <v>510</v>
      </c>
      <c r="C7" s="3183" t="s">
        <v>511</v>
      </c>
      <c r="D7" s="3183" t="s">
        <v>512</v>
      </c>
      <c r="E7" s="3183" t="s">
        <v>508</v>
      </c>
      <c r="F7" s="3183" t="s">
        <v>513</v>
      </c>
      <c r="G7" s="3184" t="s">
        <v>514</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515</v>
      </c>
      <c r="AV7" s="2629" t="s">
        <v>509</v>
      </c>
      <c r="AW7" s="2650" t="s">
        <v>510</v>
      </c>
      <c r="AX7" s="2629" t="s">
        <v>511</v>
      </c>
      <c r="AY7" s="1220" t="s">
        <v>516</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196" customFormat="1" ht="24">
      <c r="A8" s="3186"/>
      <c r="B8" s="3186"/>
      <c r="C8" s="3186"/>
      <c r="D8" s="3186"/>
      <c r="E8" s="3186"/>
      <c r="F8" s="3186"/>
      <c r="G8" s="3187" t="s">
        <v>517</v>
      </c>
      <c r="H8" s="3188" t="s">
        <v>518</v>
      </c>
      <c r="I8" s="3209"/>
      <c r="J8" s="129"/>
      <c r="K8" s="129"/>
      <c r="L8" s="129"/>
      <c r="M8" s="129"/>
      <c r="N8" s="129"/>
      <c r="O8" s="129"/>
      <c r="P8" s="129"/>
      <c r="Q8" s="129"/>
      <c r="R8" s="129"/>
      <c r="S8" s="129"/>
      <c r="T8" s="129"/>
      <c r="U8" s="129"/>
      <c r="V8" s="3221"/>
      <c r="W8" s="129"/>
      <c r="X8" s="129"/>
      <c r="Y8" s="129"/>
      <c r="Z8" s="129"/>
      <c r="AA8" s="3221"/>
      <c r="AB8" s="3223"/>
      <c r="AC8" s="2402" t="s">
        <v>519</v>
      </c>
      <c r="AD8" s="3224"/>
      <c r="AE8" s="3225"/>
      <c r="AF8" s="129"/>
      <c r="AG8" s="129"/>
      <c r="AH8" s="129"/>
      <c r="AI8" s="129"/>
      <c r="AJ8" s="129"/>
      <c r="AK8" s="129"/>
      <c r="AL8" s="129"/>
      <c r="AM8" s="129"/>
      <c r="AN8" s="129"/>
      <c r="AO8" s="129"/>
      <c r="AP8" s="129"/>
      <c r="AQ8" s="129"/>
      <c r="AR8" s="129"/>
      <c r="AS8" s="189"/>
      <c r="AT8" s="3238" t="s">
        <v>520</v>
      </c>
      <c r="AU8" s="3186" t="s">
        <v>521</v>
      </c>
      <c r="AV8" s="987"/>
      <c r="AW8" s="2657"/>
      <c r="AX8" s="987"/>
      <c r="AY8" s="2650" t="s">
        <v>508</v>
      </c>
      <c r="AZ8" s="128" t="s">
        <v>502</v>
      </c>
      <c r="BA8" s="129"/>
      <c r="BB8" s="129"/>
      <c r="BC8" s="129"/>
      <c r="BD8" s="129"/>
      <c r="BE8" s="129"/>
      <c r="BF8" s="129"/>
      <c r="BG8" s="129"/>
      <c r="BH8" s="129"/>
      <c r="BI8" s="129"/>
      <c r="BJ8" s="129"/>
      <c r="BK8" s="129"/>
      <c r="BL8" s="129"/>
      <c r="BM8" s="129"/>
      <c r="BN8" s="129"/>
      <c r="BO8" s="129"/>
      <c r="BP8" s="129"/>
      <c r="BQ8" s="129"/>
      <c r="BR8" s="129"/>
      <c r="BS8" s="129"/>
      <c r="BT8" s="1037"/>
    </row>
    <row r="9" spans="1:72" s="196" customFormat="1" ht="12.75">
      <c r="A9" s="3186"/>
      <c r="B9" s="3186"/>
      <c r="C9" s="3186"/>
      <c r="D9" s="3186"/>
      <c r="E9" s="3186"/>
      <c r="F9" s="3186"/>
      <c r="G9" s="987"/>
      <c r="H9" s="3189" t="s">
        <v>522</v>
      </c>
      <c r="I9" s="3210" t="s">
        <v>523</v>
      </c>
      <c r="J9" s="2402"/>
      <c r="K9" s="3210"/>
      <c r="L9" s="2402"/>
      <c r="M9" s="3210"/>
      <c r="N9" s="2402"/>
      <c r="O9" s="3211"/>
      <c r="P9" s="2402"/>
      <c r="Q9" s="3211"/>
      <c r="R9" s="2402"/>
      <c r="S9" s="3211"/>
      <c r="T9" s="2402"/>
      <c r="U9" s="3211"/>
      <c r="V9" s="2402"/>
      <c r="W9" s="3211"/>
      <c r="X9" s="3222"/>
      <c r="Y9" s="3211"/>
      <c r="Z9" s="2402"/>
      <c r="AA9" s="3211"/>
      <c r="AB9" s="2402"/>
      <c r="AC9" s="3187" t="s">
        <v>522</v>
      </c>
      <c r="AD9" s="1114" t="s">
        <v>524</v>
      </c>
      <c r="AE9" s="1244"/>
      <c r="AF9" s="1114" t="s">
        <v>525</v>
      </c>
      <c r="AG9" s="1244"/>
      <c r="AH9" s="1114" t="s">
        <v>524</v>
      </c>
      <c r="AI9" s="1244"/>
      <c r="AJ9" s="1114" t="s">
        <v>525</v>
      </c>
      <c r="AK9" s="1244"/>
      <c r="AL9" s="1114" t="s">
        <v>524</v>
      </c>
      <c r="AM9" s="1244"/>
      <c r="AN9" s="1114" t="s">
        <v>525</v>
      </c>
      <c r="AO9" s="1244"/>
      <c r="AP9" s="3239" t="s">
        <v>524</v>
      </c>
      <c r="AQ9" s="3240"/>
      <c r="AR9" s="3239" t="s">
        <v>525</v>
      </c>
      <c r="AS9" s="3241"/>
      <c r="AT9" s="3186"/>
      <c r="AU9" s="3186" t="s">
        <v>526</v>
      </c>
      <c r="AV9" s="987"/>
      <c r="AW9" s="2657"/>
      <c r="AX9" s="987"/>
      <c r="AY9" s="2630"/>
      <c r="AZ9" s="2630" t="s">
        <v>517</v>
      </c>
      <c r="BA9" s="3262" t="s">
        <v>527</v>
      </c>
      <c r="BB9" s="3263"/>
      <c r="BC9" s="1057"/>
      <c r="BD9" s="1057"/>
      <c r="BE9" s="1057"/>
      <c r="BF9" s="1057"/>
      <c r="BG9" s="1057"/>
      <c r="BH9" s="1057"/>
      <c r="BI9" s="1057"/>
      <c r="BJ9" s="1057"/>
      <c r="BK9" s="3268"/>
      <c r="BL9" s="1114" t="s">
        <v>528</v>
      </c>
      <c r="BM9" s="129"/>
      <c r="BN9" s="3209"/>
      <c r="BO9" s="129"/>
      <c r="BP9" s="129"/>
      <c r="BQ9" s="129"/>
      <c r="BR9" s="129"/>
      <c r="BS9" s="129"/>
      <c r="BT9" s="1037"/>
    </row>
    <row r="10" spans="1:72" s="196" customFormat="1" ht="12.75">
      <c r="A10" s="3186"/>
      <c r="B10" s="3186"/>
      <c r="C10" s="3186"/>
      <c r="D10" s="3186"/>
      <c r="E10" s="3186"/>
      <c r="F10" s="3186"/>
      <c r="G10" s="987"/>
      <c r="H10" s="2630"/>
      <c r="I10" s="3210" t="s">
        <v>164</v>
      </c>
      <c r="J10" s="2402"/>
      <c r="K10" s="3212"/>
      <c r="L10" s="2402"/>
      <c r="M10" s="3212"/>
      <c r="N10" s="2402"/>
      <c r="O10" s="3213"/>
      <c r="P10" s="2402"/>
      <c r="Q10" s="3213"/>
      <c r="R10" s="2402"/>
      <c r="S10" s="3213"/>
      <c r="T10" s="2402"/>
      <c r="U10" s="3213"/>
      <c r="V10" s="2402"/>
      <c r="W10" s="3213"/>
      <c r="X10" s="2402"/>
      <c r="Y10" s="3213"/>
      <c r="Z10" s="2402"/>
      <c r="AA10" s="3213"/>
      <c r="AB10" s="2402"/>
      <c r="AC10" s="987"/>
      <c r="AD10" s="2755" t="s">
        <v>229</v>
      </c>
      <c r="AE10" s="3226"/>
      <c r="AF10" s="2755" t="s">
        <v>229</v>
      </c>
      <c r="AG10" s="3226"/>
      <c r="AH10" s="2755" t="s">
        <v>529</v>
      </c>
      <c r="AI10" s="3226"/>
      <c r="AJ10" s="1114" t="s">
        <v>530</v>
      </c>
      <c r="AK10" s="3232"/>
      <c r="AL10" s="2755" t="s">
        <v>531</v>
      </c>
      <c r="AM10" s="3233"/>
      <c r="AN10" s="1114" t="s">
        <v>532</v>
      </c>
      <c r="AO10" s="1244"/>
      <c r="AP10" s="3239" t="s">
        <v>533</v>
      </c>
      <c r="AQ10" s="3240"/>
      <c r="AR10" s="3239" t="s">
        <v>533</v>
      </c>
      <c r="AS10" s="3240"/>
      <c r="AT10" s="3186"/>
      <c r="AU10" s="3186"/>
      <c r="AV10" s="987"/>
      <c r="AW10" s="2657"/>
      <c r="AX10" s="987"/>
      <c r="AY10" s="2630"/>
      <c r="AZ10" s="2630"/>
      <c r="BA10" s="3190" t="s">
        <v>522</v>
      </c>
      <c r="BB10" s="3264" t="str">
        <f>I9</f>
        <v>地上</v>
      </c>
      <c r="BC10" s="1071">
        <f>K9</f>
        <v>0</v>
      </c>
      <c r="BD10" s="1071">
        <f>M9</f>
        <v>0</v>
      </c>
      <c r="BE10" s="1071">
        <f>O9</f>
        <v>0</v>
      </c>
      <c r="BF10" s="1071">
        <f>Q9</f>
        <v>0</v>
      </c>
      <c r="BG10" s="1071">
        <f>S9</f>
        <v>0</v>
      </c>
      <c r="BH10" s="1071">
        <f>U9</f>
        <v>0</v>
      </c>
      <c r="BI10" s="1071">
        <f>W9</f>
        <v>0</v>
      </c>
      <c r="BJ10" s="1071">
        <f>Y9</f>
        <v>0</v>
      </c>
      <c r="BK10" s="1071">
        <f>AA9</f>
        <v>0</v>
      </c>
      <c r="BL10" s="1067" t="s">
        <v>522</v>
      </c>
      <c r="BM10" s="128" t="str">
        <f>AD9</f>
        <v>地上</v>
      </c>
      <c r="BN10" s="1071" t="str">
        <f>AF9</f>
        <v>地下</v>
      </c>
      <c r="BO10" s="128" t="str">
        <f>AH9</f>
        <v>地上</v>
      </c>
      <c r="BP10" s="1071" t="str">
        <f>AJ9</f>
        <v>地下</v>
      </c>
      <c r="BQ10" s="128" t="str">
        <f>AL9</f>
        <v>地上</v>
      </c>
      <c r="BR10" s="1071" t="str">
        <f>AN9</f>
        <v>地下</v>
      </c>
      <c r="BS10" s="128" t="str">
        <f>AP9</f>
        <v>地上</v>
      </c>
      <c r="BT10" s="2641" t="str">
        <f>AR9</f>
        <v>地下</v>
      </c>
    </row>
    <row r="11" spans="1:72" s="196" customFormat="1" ht="12.75">
      <c r="A11" s="3186"/>
      <c r="B11" s="3186"/>
      <c r="C11" s="3186"/>
      <c r="D11" s="3186"/>
      <c r="E11" s="3186"/>
      <c r="F11" s="3186"/>
      <c r="G11" s="987"/>
      <c r="H11" s="3190"/>
      <c r="I11" s="3214" t="s">
        <v>534</v>
      </c>
      <c r="J11" s="3215"/>
      <c r="K11" s="3214"/>
      <c r="L11" s="3215"/>
      <c r="M11" s="3216"/>
      <c r="N11" s="3215"/>
      <c r="O11" s="3216"/>
      <c r="P11" s="3215"/>
      <c r="Q11" s="3216"/>
      <c r="R11" s="3215"/>
      <c r="S11" s="3216"/>
      <c r="T11" s="3215"/>
      <c r="U11" s="3216"/>
      <c r="V11" s="3215"/>
      <c r="W11" s="3216"/>
      <c r="X11" s="3215"/>
      <c r="Y11" s="3216"/>
      <c r="Z11" s="3215"/>
      <c r="AA11" s="3216"/>
      <c r="AB11" s="3215"/>
      <c r="AC11" s="987"/>
      <c r="AD11" s="3227" t="s">
        <v>535</v>
      </c>
      <c r="AE11" s="189"/>
      <c r="AF11" s="3227" t="s">
        <v>535</v>
      </c>
      <c r="AG11" s="189"/>
      <c r="AH11" s="3227" t="s">
        <v>536</v>
      </c>
      <c r="AI11" s="3234"/>
      <c r="AJ11" s="3227" t="s">
        <v>536</v>
      </c>
      <c r="AK11" s="3232"/>
      <c r="AL11" s="128"/>
      <c r="AM11" s="189"/>
      <c r="AN11" s="128"/>
      <c r="AO11" s="189"/>
      <c r="AP11" s="3242"/>
      <c r="AQ11" s="3243"/>
      <c r="AR11" s="3242"/>
      <c r="AS11" s="3243"/>
      <c r="AT11" s="2657"/>
      <c r="AU11" s="3186"/>
      <c r="AV11" s="987"/>
      <c r="AW11" s="2657"/>
      <c r="AX11" s="987"/>
      <c r="AY11" s="2630"/>
      <c r="AZ11" s="2630"/>
      <c r="BA11" s="2630"/>
      <c r="BB11" s="3223" t="str">
        <f>I10</f>
        <v>工业</v>
      </c>
      <c r="BC11" s="3223">
        <f>K10</f>
        <v>0</v>
      </c>
      <c r="BD11" s="3223">
        <f>M10</f>
        <v>0</v>
      </c>
      <c r="BE11" s="3223">
        <f>O10</f>
        <v>0</v>
      </c>
      <c r="BF11" s="3223">
        <f>Q10</f>
        <v>0</v>
      </c>
      <c r="BG11" s="3223">
        <f>S10</f>
        <v>0</v>
      </c>
      <c r="BH11" s="3223">
        <f>U10</f>
        <v>0</v>
      </c>
      <c r="BI11" s="3223">
        <f>W10</f>
        <v>0</v>
      </c>
      <c r="BJ11" s="3223">
        <f>Y10</f>
        <v>0</v>
      </c>
      <c r="BK11" s="3223">
        <f>AA10</f>
        <v>0</v>
      </c>
      <c r="BL11" s="98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7" t="str">
        <f>AP10</f>
        <v>未注明</v>
      </c>
      <c r="BT11" s="2631" t="str">
        <f>AR10</f>
        <v>未注明</v>
      </c>
    </row>
    <row r="12" spans="1:72" s="192" customFormat="1" ht="12.75">
      <c r="A12" s="3191"/>
      <c r="B12" s="3191"/>
      <c r="C12" s="3191"/>
      <c r="D12" s="3191"/>
      <c r="E12" s="3191"/>
      <c r="F12" s="3191"/>
      <c r="G12" s="2640"/>
      <c r="H12" s="3192"/>
      <c r="I12" s="2569" t="s">
        <v>537</v>
      </c>
      <c r="J12" s="130" t="s">
        <v>538</v>
      </c>
      <c r="K12" s="130" t="s">
        <v>537</v>
      </c>
      <c r="L12" s="130" t="s">
        <v>538</v>
      </c>
      <c r="M12" s="130" t="s">
        <v>537</v>
      </c>
      <c r="N12" s="130" t="s">
        <v>538</v>
      </c>
      <c r="O12" s="130" t="s">
        <v>537</v>
      </c>
      <c r="P12" s="130" t="s">
        <v>538</v>
      </c>
      <c r="Q12" s="130" t="s">
        <v>537</v>
      </c>
      <c r="R12" s="130" t="s">
        <v>538</v>
      </c>
      <c r="S12" s="130" t="s">
        <v>537</v>
      </c>
      <c r="T12" s="130" t="s">
        <v>538</v>
      </c>
      <c r="U12" s="130" t="s">
        <v>537</v>
      </c>
      <c r="V12" s="2459" t="s">
        <v>538</v>
      </c>
      <c r="W12" s="130" t="s">
        <v>537</v>
      </c>
      <c r="X12" s="130" t="s">
        <v>538</v>
      </c>
      <c r="Y12" s="130" t="s">
        <v>537</v>
      </c>
      <c r="Z12" s="130" t="s">
        <v>538</v>
      </c>
      <c r="AA12" s="130" t="s">
        <v>537</v>
      </c>
      <c r="AB12" s="130" t="s">
        <v>538</v>
      </c>
      <c r="AC12" s="3228"/>
      <c r="AD12" s="2569" t="s">
        <v>537</v>
      </c>
      <c r="AE12" s="130" t="s">
        <v>538</v>
      </c>
      <c r="AF12" s="130" t="s">
        <v>537</v>
      </c>
      <c r="AG12" s="130" t="s">
        <v>538</v>
      </c>
      <c r="AH12" s="130" t="s">
        <v>537</v>
      </c>
      <c r="AI12" s="130" t="s">
        <v>538</v>
      </c>
      <c r="AJ12" s="130" t="s">
        <v>537</v>
      </c>
      <c r="AK12" s="130" t="s">
        <v>538</v>
      </c>
      <c r="AL12" s="130" t="s">
        <v>537</v>
      </c>
      <c r="AM12" s="130" t="s">
        <v>538</v>
      </c>
      <c r="AN12" s="130" t="s">
        <v>537</v>
      </c>
      <c r="AO12" s="130" t="s">
        <v>538</v>
      </c>
      <c r="AP12" s="3244" t="s">
        <v>537</v>
      </c>
      <c r="AQ12" s="3244" t="s">
        <v>538</v>
      </c>
      <c r="AR12" s="3245" t="s">
        <v>537</v>
      </c>
      <c r="AS12" s="3246" t="s">
        <v>538</v>
      </c>
      <c r="AT12" s="3247"/>
      <c r="AU12" s="3191"/>
      <c r="AV12" s="2635"/>
      <c r="AW12" s="2650"/>
      <c r="AX12" s="2635"/>
      <c r="AY12" s="3265"/>
      <c r="AZ12" s="2630"/>
      <c r="BA12" s="3190"/>
      <c r="BB12" s="127" t="str">
        <f>I11</f>
        <v>标准厂房</v>
      </c>
      <c r="BC12" s="3266">
        <f>K11</f>
        <v>0</v>
      </c>
      <c r="BD12" s="3266">
        <f>M11</f>
        <v>0</v>
      </c>
      <c r="BE12" s="3223">
        <f>O11</f>
        <v>0</v>
      </c>
      <c r="BF12" s="3223">
        <f>Q11</f>
        <v>0</v>
      </c>
      <c r="BG12" s="3223">
        <f>S11</f>
        <v>0</v>
      </c>
      <c r="BH12" s="3223">
        <f>U11</f>
        <v>0</v>
      </c>
      <c r="BI12" s="3223">
        <f>W11</f>
        <v>0</v>
      </c>
      <c r="BJ12" s="3223">
        <f>Y11</f>
        <v>0</v>
      </c>
      <c r="BK12" s="3223">
        <f>AA11</f>
        <v>0</v>
      </c>
      <c r="BL12" s="987"/>
      <c r="BM12" s="128" t="str">
        <f>AD11</f>
        <v>（住宅）</v>
      </c>
      <c r="BN12" s="128" t="str">
        <f>AF11</f>
        <v>（住宅）</v>
      </c>
      <c r="BO12" s="127" t="str">
        <f>AH11</f>
        <v>（住宅、计出让金）</v>
      </c>
      <c r="BP12" s="127" t="str">
        <f>AJ11</f>
        <v>（住宅、计出让金）</v>
      </c>
      <c r="BQ12" s="127">
        <f>AL11</f>
        <v>0</v>
      </c>
      <c r="BR12" s="127">
        <f>AN11</f>
        <v>0</v>
      </c>
      <c r="BS12" s="1067">
        <f>AP11</f>
        <v>0</v>
      </c>
      <c r="BT12" s="2631">
        <f>AR11</f>
        <v>0</v>
      </c>
    </row>
    <row r="13" spans="1:72" s="192" customFormat="1" ht="12.75">
      <c r="A13" s="3193"/>
      <c r="B13" s="3193"/>
      <c r="C13" s="3193"/>
      <c r="D13" s="3194" t="s">
        <v>539</v>
      </c>
      <c r="E13" s="3179">
        <f t="shared" ref="E13:E20" si="6">IF($C$3="是",ROUND($A$3*G13/$B$3,2),ROUND($A$3*(G13-AT13)/$B$3,2))</f>
        <v>26650.41</v>
      </c>
      <c r="F13" s="3195"/>
      <c r="G13" s="3196">
        <f t="shared" ref="G13:G20" si="7">H13+AC13+AT13</f>
        <v>46494.69</v>
      </c>
      <c r="H13" s="3182">
        <f t="shared" ref="H13:H20" si="8">SUMIF(I$12:AB$12,"总值",I13:AB13)</f>
        <v>31713.88</v>
      </c>
      <c r="I13" s="3217">
        <f>面积表!D16+面积表!D17+面积表!D18+面积表!D19</f>
        <v>31713.88</v>
      </c>
      <c r="J13" s="3217"/>
      <c r="K13" s="3217"/>
      <c r="L13" s="3217"/>
      <c r="M13" s="3217"/>
      <c r="N13" s="3218"/>
      <c r="O13" s="3218"/>
      <c r="P13" s="3218"/>
      <c r="Q13" s="3218"/>
      <c r="R13" s="3218"/>
      <c r="S13" s="3218"/>
      <c r="T13" s="3218"/>
      <c r="U13" s="3218"/>
      <c r="V13" s="3218"/>
      <c r="W13" s="3218"/>
      <c r="X13" s="3218"/>
      <c r="Y13" s="3218"/>
      <c r="Z13" s="3218"/>
      <c r="AA13" s="3218"/>
      <c r="AB13" s="3218"/>
      <c r="AC13" s="3179">
        <f t="shared" ref="AC13:AC20" si="9">SUMIF(AD$12:AS$12,"总值",AD13:AS13)</f>
        <v>14780.81</v>
      </c>
      <c r="AD13" s="3229"/>
      <c r="AE13" s="3229"/>
      <c r="AF13" s="3229"/>
      <c r="AG13" s="3229"/>
      <c r="AH13" s="3229"/>
      <c r="AI13" s="3229"/>
      <c r="AJ13" s="3229"/>
      <c r="AK13" s="3229"/>
      <c r="AL13" s="3229">
        <f>面积表!H13</f>
        <v>8241.75</v>
      </c>
      <c r="AM13" s="3229"/>
      <c r="AN13" s="3229">
        <f>面积表!I13</f>
        <v>6539.06</v>
      </c>
      <c r="AO13" s="3229"/>
      <c r="AP13" s="3229"/>
      <c r="AQ13" s="3229"/>
      <c r="AR13" s="3229"/>
      <c r="AS13" s="3229"/>
      <c r="AT13" s="3248"/>
      <c r="AU13" s="3249"/>
      <c r="AV13" s="130">
        <f t="shared" ref="AV13:AX20" si="10">A13</f>
        <v>0</v>
      </c>
      <c r="AW13" s="130">
        <f t="shared" si="10"/>
        <v>0</v>
      </c>
      <c r="AX13" s="130">
        <f t="shared" si="10"/>
        <v>0</v>
      </c>
      <c r="AY13" s="2569">
        <f t="shared" ref="AY13:AY20" si="11">ROUND($AY$6*AZ13/$AZ$5,2)</f>
        <v>26650.41</v>
      </c>
      <c r="AZ13" s="3179">
        <f t="shared" ref="AZ13:AZ20" si="12">BA13+BL13</f>
        <v>46494.69</v>
      </c>
      <c r="BA13" s="3179">
        <f t="shared" ref="BA13:BA20" si="13">SUM(BB13:BK13)</f>
        <v>31713.88</v>
      </c>
      <c r="BB13" s="3179">
        <f t="shared" ref="BB13:BB20" si="14">IF($D13="是",I13-J13,0)</f>
        <v>31713.88</v>
      </c>
      <c r="BC13" s="3179">
        <f t="shared" ref="BC13:BC20" si="15">IF($D13="是",K13-L13,0)</f>
        <v>0</v>
      </c>
      <c r="BD13" s="3179">
        <f t="shared" ref="BD13:BD20" si="16">IF($D13="是",M13-N13,0)</f>
        <v>0</v>
      </c>
      <c r="BE13" s="3179">
        <f t="shared" ref="BE13:BE20" si="17">IF($D13="是",O13-P13,0)</f>
        <v>0</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14780.81</v>
      </c>
      <c r="BM13" s="3179">
        <f t="shared" ref="BM13:BM20" si="25">IF($D13="是",AD13-AE13,0)</f>
        <v>0</v>
      </c>
      <c r="BN13" s="3179">
        <f t="shared" ref="BN13:BN20" si="26">IF($D13="是",AF13-AG13,0)</f>
        <v>0</v>
      </c>
      <c r="BO13" s="3179">
        <f t="shared" ref="BO13:BO20" si="27">IF($D13="是",AH13-AI13,0)</f>
        <v>0</v>
      </c>
      <c r="BP13" s="3179">
        <f t="shared" ref="BP13:BP20" si="28">IF($D13="是",AJ13-AK13,0)</f>
        <v>0</v>
      </c>
      <c r="BQ13" s="3179">
        <f t="shared" ref="BQ13:BQ20" si="29">IF($D13="是",AL13-AM13,0)</f>
        <v>8241.75</v>
      </c>
      <c r="BR13" s="3179">
        <f t="shared" ref="BR13:BR20" si="30">IF($D13="是",AN13-AO13,0)</f>
        <v>6539.06</v>
      </c>
      <c r="BS13" s="3179">
        <f t="shared" ref="BS13:BS20" si="31">IF($D13="是",AP13-AQ13,0)</f>
        <v>0</v>
      </c>
      <c r="BT13" s="3270">
        <f t="shared" ref="BT13:BT20" si="32">IF($D13="是",AR13-AS13,0)</f>
        <v>0</v>
      </c>
    </row>
    <row r="14" spans="1:72" s="192"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30">
        <f t="shared" si="10"/>
        <v>0</v>
      </c>
      <c r="AW14" s="130">
        <f t="shared" si="10"/>
        <v>0</v>
      </c>
      <c r="AX14" s="130">
        <f t="shared" si="10"/>
        <v>0</v>
      </c>
      <c r="AY14" s="2569">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192"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30">
        <f t="shared" si="10"/>
        <v>0</v>
      </c>
      <c r="AW15" s="130">
        <f t="shared" si="10"/>
        <v>0</v>
      </c>
      <c r="AX15" s="130">
        <f t="shared" si="10"/>
        <v>0</v>
      </c>
      <c r="AY15" s="2569">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192"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30">
        <f t="shared" si="10"/>
        <v>0</v>
      </c>
      <c r="AW16" s="130">
        <f t="shared" si="10"/>
        <v>0</v>
      </c>
      <c r="AX16" s="130">
        <f t="shared" si="10"/>
        <v>0</v>
      </c>
      <c r="AY16" s="2569">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192"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30">
        <f t="shared" si="10"/>
        <v>0</v>
      </c>
      <c r="AW17" s="130">
        <f t="shared" si="10"/>
        <v>0</v>
      </c>
      <c r="AX17" s="130">
        <f t="shared" si="10"/>
        <v>0</v>
      </c>
      <c r="AY17" s="2569">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464">
        <f t="shared" si="10"/>
        <v>0</v>
      </c>
      <c r="AW18" s="464">
        <f t="shared" si="10"/>
        <v>0</v>
      </c>
      <c r="AX18" s="464">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464">
        <f t="shared" si="10"/>
        <v>0</v>
      </c>
      <c r="AW19" s="464">
        <f t="shared" si="10"/>
        <v>0</v>
      </c>
      <c r="AX19" s="464">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464">
        <f t="shared" si="10"/>
        <v>0</v>
      </c>
      <c r="AW20" s="464">
        <f t="shared" si="10"/>
        <v>0</v>
      </c>
      <c r="AX20" s="464">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464">
        <f t="shared" ref="AV21:AV112" si="37">A21</f>
        <v>0</v>
      </c>
      <c r="AW21" s="464">
        <f t="shared" ref="AW21:AW112" si="38">B21</f>
        <v>0</v>
      </c>
      <c r="AX21" s="464">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464">
        <f t="shared" si="37"/>
        <v>0</v>
      </c>
      <c r="AW22" s="464">
        <f t="shared" si="38"/>
        <v>0</v>
      </c>
      <c r="AX22" s="464">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464">
        <f t="shared" si="37"/>
        <v>0</v>
      </c>
      <c r="AW23" s="464">
        <f t="shared" si="38"/>
        <v>0</v>
      </c>
      <c r="AX23" s="464">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464">
        <f t="shared" si="37"/>
        <v>0</v>
      </c>
      <c r="AW24" s="464">
        <f t="shared" si="38"/>
        <v>0</v>
      </c>
      <c r="AX24" s="464">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464">
        <f t="shared" si="37"/>
        <v>0</v>
      </c>
      <c r="AW25" s="464">
        <f t="shared" si="38"/>
        <v>0</v>
      </c>
      <c r="AX25" s="464">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464">
        <f t="shared" si="37"/>
        <v>0</v>
      </c>
      <c r="AW26" s="464">
        <f t="shared" si="38"/>
        <v>0</v>
      </c>
      <c r="AX26" s="464">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464">
        <f t="shared" si="37"/>
        <v>0</v>
      </c>
      <c r="AW27" s="464">
        <f t="shared" si="38"/>
        <v>0</v>
      </c>
      <c r="AX27" s="464">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464">
        <f t="shared" si="37"/>
        <v>0</v>
      </c>
      <c r="AW28" s="464">
        <f t="shared" si="38"/>
        <v>0</v>
      </c>
      <c r="AX28" s="464">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464">
        <f t="shared" si="37"/>
        <v>0</v>
      </c>
      <c r="AW29" s="464">
        <f t="shared" si="38"/>
        <v>0</v>
      </c>
      <c r="AX29" s="464">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464">
        <f t="shared" si="37"/>
        <v>0</v>
      </c>
      <c r="AW30" s="464">
        <f t="shared" si="38"/>
        <v>0</v>
      </c>
      <c r="AX30" s="464">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464">
        <f t="shared" si="37"/>
        <v>0</v>
      </c>
      <c r="AW31" s="464">
        <f t="shared" si="38"/>
        <v>0</v>
      </c>
      <c r="AX31" s="464">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464">
        <f t="shared" si="37"/>
        <v>0</v>
      </c>
      <c r="AW32" s="464">
        <f t="shared" si="38"/>
        <v>0</v>
      </c>
      <c r="AX32" s="464">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464">
        <f t="shared" si="37"/>
        <v>0</v>
      </c>
      <c r="AW33" s="464">
        <f t="shared" si="38"/>
        <v>0</v>
      </c>
      <c r="AX33" s="464">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464">
        <f t="shared" si="37"/>
        <v>0</v>
      </c>
      <c r="AW34" s="464">
        <f t="shared" si="38"/>
        <v>0</v>
      </c>
      <c r="AX34" s="464">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464">
        <f t="shared" si="37"/>
        <v>0</v>
      </c>
      <c r="AW35" s="464">
        <f t="shared" si="38"/>
        <v>0</v>
      </c>
      <c r="AX35" s="464">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464">
        <f t="shared" si="37"/>
        <v>0</v>
      </c>
      <c r="AW36" s="464">
        <f t="shared" si="38"/>
        <v>0</v>
      </c>
      <c r="AX36" s="464">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464">
        <f t="shared" si="37"/>
        <v>0</v>
      </c>
      <c r="AW37" s="464">
        <f t="shared" si="38"/>
        <v>0</v>
      </c>
      <c r="AX37" s="464">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464">
        <f t="shared" si="37"/>
        <v>0</v>
      </c>
      <c r="AW38" s="464">
        <f t="shared" si="38"/>
        <v>0</v>
      </c>
      <c r="AX38" s="464">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464">
        <f t="shared" si="37"/>
        <v>0</v>
      </c>
      <c r="AW39" s="464">
        <f t="shared" si="38"/>
        <v>0</v>
      </c>
      <c r="AX39" s="464">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464">
        <f t="shared" si="37"/>
        <v>0</v>
      </c>
      <c r="AW40" s="464">
        <f t="shared" si="38"/>
        <v>0</v>
      </c>
      <c r="AX40" s="464">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464">
        <f t="shared" si="37"/>
        <v>0</v>
      </c>
      <c r="AW41" s="464">
        <f t="shared" si="38"/>
        <v>0</v>
      </c>
      <c r="AX41" s="464">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464">
        <f t="shared" si="37"/>
        <v>0</v>
      </c>
      <c r="AW42" s="464">
        <f t="shared" si="38"/>
        <v>0</v>
      </c>
      <c r="AX42" s="464">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464">
        <f t="shared" si="37"/>
        <v>0</v>
      </c>
      <c r="AW43" s="464">
        <f t="shared" si="38"/>
        <v>0</v>
      </c>
      <c r="AX43" s="464">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464">
        <f t="shared" si="37"/>
        <v>0</v>
      </c>
      <c r="AW44" s="464">
        <f t="shared" si="38"/>
        <v>0</v>
      </c>
      <c r="AX44" s="464">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464">
        <f t="shared" si="37"/>
        <v>0</v>
      </c>
      <c r="AW45" s="464">
        <f t="shared" si="38"/>
        <v>0</v>
      </c>
      <c r="AX45" s="464">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464">
        <f t="shared" si="37"/>
        <v>0</v>
      </c>
      <c r="AW46" s="464">
        <f t="shared" si="38"/>
        <v>0</v>
      </c>
      <c r="AX46" s="464">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464">
        <f t="shared" si="37"/>
        <v>0</v>
      </c>
      <c r="AW47" s="464">
        <f t="shared" si="38"/>
        <v>0</v>
      </c>
      <c r="AX47" s="464">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464">
        <f t="shared" si="37"/>
        <v>0</v>
      </c>
      <c r="AW48" s="464">
        <f t="shared" si="38"/>
        <v>0</v>
      </c>
      <c r="AX48" s="464">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464">
        <f t="shared" si="37"/>
        <v>0</v>
      </c>
      <c r="AW49" s="464">
        <f t="shared" si="38"/>
        <v>0</v>
      </c>
      <c r="AX49" s="464">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464">
        <f t="shared" si="37"/>
        <v>0</v>
      </c>
      <c r="AW50" s="464">
        <f t="shared" si="38"/>
        <v>0</v>
      </c>
      <c r="AX50" s="464">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464">
        <f t="shared" si="37"/>
        <v>0</v>
      </c>
      <c r="AW51" s="464">
        <f t="shared" si="38"/>
        <v>0</v>
      </c>
      <c r="AX51" s="464">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464">
        <f t="shared" si="37"/>
        <v>0</v>
      </c>
      <c r="AW52" s="464">
        <f t="shared" si="38"/>
        <v>0</v>
      </c>
      <c r="AX52" s="464">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464">
        <f t="shared" si="37"/>
        <v>0</v>
      </c>
      <c r="AW53" s="464">
        <f t="shared" si="38"/>
        <v>0</v>
      </c>
      <c r="AX53" s="464">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464">
        <f t="shared" si="37"/>
        <v>0</v>
      </c>
      <c r="AW54" s="464">
        <f t="shared" si="38"/>
        <v>0</v>
      </c>
      <c r="AX54" s="464">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464">
        <f t="shared" si="37"/>
        <v>0</v>
      </c>
      <c r="AW55" s="464">
        <f t="shared" si="38"/>
        <v>0</v>
      </c>
      <c r="AX55" s="464">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464">
        <f t="shared" si="37"/>
        <v>0</v>
      </c>
      <c r="AW56" s="464">
        <f t="shared" si="38"/>
        <v>0</v>
      </c>
      <c r="AX56" s="464">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464">
        <f t="shared" si="37"/>
        <v>0</v>
      </c>
      <c r="AW57" s="464">
        <f t="shared" si="38"/>
        <v>0</v>
      </c>
      <c r="AX57" s="464">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464">
        <f t="shared" si="37"/>
        <v>0</v>
      </c>
      <c r="AW58" s="464">
        <f t="shared" si="38"/>
        <v>0</v>
      </c>
      <c r="AX58" s="464">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464">
        <f t="shared" si="37"/>
        <v>0</v>
      </c>
      <c r="AW59" s="464">
        <f t="shared" si="38"/>
        <v>0</v>
      </c>
      <c r="AX59" s="464">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464">
        <f t="shared" si="37"/>
        <v>0</v>
      </c>
      <c r="AW60" s="464">
        <f t="shared" si="38"/>
        <v>0</v>
      </c>
      <c r="AX60" s="464">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464">
        <f t="shared" si="37"/>
        <v>0</v>
      </c>
      <c r="AW61" s="464">
        <f t="shared" si="38"/>
        <v>0</v>
      </c>
      <c r="AX61" s="464">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464">
        <f t="shared" si="37"/>
        <v>0</v>
      </c>
      <c r="AW62" s="464">
        <f t="shared" si="38"/>
        <v>0</v>
      </c>
      <c r="AX62" s="464">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464">
        <f t="shared" si="37"/>
        <v>0</v>
      </c>
      <c r="AW63" s="464">
        <f t="shared" si="38"/>
        <v>0</v>
      </c>
      <c r="AX63" s="464">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464">
        <f t="shared" si="37"/>
        <v>0</v>
      </c>
      <c r="AW64" s="464">
        <f t="shared" si="38"/>
        <v>0</v>
      </c>
      <c r="AX64" s="464">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464">
        <f t="shared" si="37"/>
        <v>0</v>
      </c>
      <c r="AW65" s="464">
        <f t="shared" si="38"/>
        <v>0</v>
      </c>
      <c r="AX65" s="464">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464">
        <f t="shared" si="37"/>
        <v>0</v>
      </c>
      <c r="AW66" s="464">
        <f t="shared" si="38"/>
        <v>0</v>
      </c>
      <c r="AX66" s="464">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464">
        <f t="shared" si="37"/>
        <v>0</v>
      </c>
      <c r="AW67" s="464">
        <f t="shared" si="38"/>
        <v>0</v>
      </c>
      <c r="AX67" s="464">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464">
        <f t="shared" si="37"/>
        <v>0</v>
      </c>
      <c r="AW68" s="464">
        <f t="shared" si="38"/>
        <v>0</v>
      </c>
      <c r="AX68" s="464">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464">
        <f t="shared" si="37"/>
        <v>0</v>
      </c>
      <c r="AW69" s="464">
        <f t="shared" si="38"/>
        <v>0</v>
      </c>
      <c r="AX69" s="464">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464">
        <f t="shared" si="37"/>
        <v>0</v>
      </c>
      <c r="AW70" s="464">
        <f t="shared" si="38"/>
        <v>0</v>
      </c>
      <c r="AX70" s="464">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464">
        <f t="shared" si="37"/>
        <v>0</v>
      </c>
      <c r="AW71" s="464">
        <f t="shared" si="38"/>
        <v>0</v>
      </c>
      <c r="AX71" s="464">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464">
        <f t="shared" si="37"/>
        <v>0</v>
      </c>
      <c r="AW72" s="464">
        <f t="shared" si="38"/>
        <v>0</v>
      </c>
      <c r="AX72" s="464">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464">
        <f t="shared" si="37"/>
        <v>0</v>
      </c>
      <c r="AW73" s="464">
        <f t="shared" si="38"/>
        <v>0</v>
      </c>
      <c r="AX73" s="464">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464">
        <f t="shared" si="37"/>
        <v>0</v>
      </c>
      <c r="AW74" s="464">
        <f t="shared" si="38"/>
        <v>0</v>
      </c>
      <c r="AX74" s="464">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464">
        <f t="shared" si="37"/>
        <v>0</v>
      </c>
      <c r="AW75" s="464">
        <f t="shared" si="38"/>
        <v>0</v>
      </c>
      <c r="AX75" s="464">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464">
        <f t="shared" si="37"/>
        <v>0</v>
      </c>
      <c r="AW76" s="464">
        <f t="shared" si="38"/>
        <v>0</v>
      </c>
      <c r="AX76" s="464">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464">
        <f t="shared" si="37"/>
        <v>0</v>
      </c>
      <c r="AW77" s="464">
        <f t="shared" si="38"/>
        <v>0</v>
      </c>
      <c r="AX77" s="464">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464">
        <f t="shared" si="37"/>
        <v>0</v>
      </c>
      <c r="AW78" s="464">
        <f t="shared" si="38"/>
        <v>0</v>
      </c>
      <c r="AX78" s="464">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464">
        <f t="shared" si="37"/>
        <v>0</v>
      </c>
      <c r="AW79" s="464">
        <f t="shared" si="38"/>
        <v>0</v>
      </c>
      <c r="AX79" s="464">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464">
        <f t="shared" si="37"/>
        <v>0</v>
      </c>
      <c r="AW80" s="464">
        <f t="shared" si="38"/>
        <v>0</v>
      </c>
      <c r="AX80" s="464">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464">
        <f t="shared" si="37"/>
        <v>0</v>
      </c>
      <c r="AW81" s="464">
        <f t="shared" si="38"/>
        <v>0</v>
      </c>
      <c r="AX81" s="464">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464">
        <f t="shared" si="37"/>
        <v>0</v>
      </c>
      <c r="AW82" s="464">
        <f t="shared" si="38"/>
        <v>0</v>
      </c>
      <c r="AX82" s="464">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464">
        <f t="shared" si="37"/>
        <v>0</v>
      </c>
      <c r="AW83" s="464">
        <f t="shared" si="38"/>
        <v>0</v>
      </c>
      <c r="AX83" s="464">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464">
        <f t="shared" si="37"/>
        <v>0</v>
      </c>
      <c r="AW84" s="464">
        <f t="shared" si="38"/>
        <v>0</v>
      </c>
      <c r="AX84" s="464">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464">
        <f t="shared" si="37"/>
        <v>0</v>
      </c>
      <c r="AW85" s="464">
        <f t="shared" si="38"/>
        <v>0</v>
      </c>
      <c r="AX85" s="464">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464">
        <f t="shared" si="37"/>
        <v>0</v>
      </c>
      <c r="AW86" s="464">
        <f t="shared" si="38"/>
        <v>0</v>
      </c>
      <c r="AX86" s="464">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464">
        <f t="shared" si="37"/>
        <v>0</v>
      </c>
      <c r="AW87" s="464">
        <f t="shared" si="38"/>
        <v>0</v>
      </c>
      <c r="AX87" s="464">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464">
        <f t="shared" si="37"/>
        <v>0</v>
      </c>
      <c r="AW88" s="464">
        <f t="shared" si="38"/>
        <v>0</v>
      </c>
      <c r="AX88" s="464">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464">
        <f t="shared" si="37"/>
        <v>0</v>
      </c>
      <c r="AW89" s="464">
        <f t="shared" si="38"/>
        <v>0</v>
      </c>
      <c r="AX89" s="464">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464">
        <f t="shared" si="37"/>
        <v>0</v>
      </c>
      <c r="AW90" s="464">
        <f t="shared" si="38"/>
        <v>0</v>
      </c>
      <c r="AX90" s="464">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464">
        <f t="shared" si="37"/>
        <v>0</v>
      </c>
      <c r="AW91" s="464">
        <f t="shared" si="38"/>
        <v>0</v>
      </c>
      <c r="AX91" s="464">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464">
        <f t="shared" si="37"/>
        <v>0</v>
      </c>
      <c r="AW92" s="464">
        <f t="shared" si="38"/>
        <v>0</v>
      </c>
      <c r="AX92" s="464">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464">
        <f t="shared" si="37"/>
        <v>0</v>
      </c>
      <c r="AW93" s="464">
        <f t="shared" si="38"/>
        <v>0</v>
      </c>
      <c r="AX93" s="464">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464">
        <f t="shared" si="37"/>
        <v>0</v>
      </c>
      <c r="AW94" s="464">
        <f t="shared" si="38"/>
        <v>0</v>
      </c>
      <c r="AX94" s="464">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464">
        <f t="shared" si="37"/>
        <v>0</v>
      </c>
      <c r="AW95" s="464">
        <f t="shared" si="38"/>
        <v>0</v>
      </c>
      <c r="AX95" s="464">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464">
        <f t="shared" si="37"/>
        <v>0</v>
      </c>
      <c r="AW96" s="464">
        <f t="shared" si="38"/>
        <v>0</v>
      </c>
      <c r="AX96" s="464">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464">
        <f t="shared" si="37"/>
        <v>0</v>
      </c>
      <c r="AW97" s="464">
        <f t="shared" si="38"/>
        <v>0</v>
      </c>
      <c r="AX97" s="464">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464">
        <f t="shared" si="37"/>
        <v>0</v>
      </c>
      <c r="AW98" s="464">
        <f t="shared" si="38"/>
        <v>0</v>
      </c>
      <c r="AX98" s="464">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464">
        <f t="shared" si="37"/>
        <v>0</v>
      </c>
      <c r="AW99" s="464">
        <f t="shared" si="38"/>
        <v>0</v>
      </c>
      <c r="AX99" s="464">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464">
        <f t="shared" si="37"/>
        <v>0</v>
      </c>
      <c r="AW100" s="464">
        <f t="shared" si="38"/>
        <v>0</v>
      </c>
      <c r="AX100" s="464">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464">
        <f t="shared" si="37"/>
        <v>0</v>
      </c>
      <c r="AW101" s="464">
        <f t="shared" si="38"/>
        <v>0</v>
      </c>
      <c r="AX101" s="464">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464">
        <f t="shared" si="37"/>
        <v>0</v>
      </c>
      <c r="AW102" s="464">
        <f t="shared" si="38"/>
        <v>0</v>
      </c>
      <c r="AX102" s="464">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464">
        <f t="shared" si="37"/>
        <v>0</v>
      </c>
      <c r="AW103" s="464">
        <f t="shared" si="38"/>
        <v>0</v>
      </c>
      <c r="AX103" s="464">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464">
        <f t="shared" si="37"/>
        <v>0</v>
      </c>
      <c r="AW104" s="464">
        <f t="shared" si="38"/>
        <v>0</v>
      </c>
      <c r="AX104" s="464">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464">
        <f t="shared" si="37"/>
        <v>0</v>
      </c>
      <c r="AW105" s="464">
        <f t="shared" si="38"/>
        <v>0</v>
      </c>
      <c r="AX105" s="464">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464">
        <f t="shared" si="37"/>
        <v>0</v>
      </c>
      <c r="AW106" s="464">
        <f t="shared" si="38"/>
        <v>0</v>
      </c>
      <c r="AX106" s="464">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464">
        <f t="shared" si="37"/>
        <v>0</v>
      </c>
      <c r="AW107" s="464">
        <f t="shared" si="38"/>
        <v>0</v>
      </c>
      <c r="AX107" s="464">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464">
        <f t="shared" si="37"/>
        <v>0</v>
      </c>
      <c r="AW108" s="464">
        <f t="shared" si="38"/>
        <v>0</v>
      </c>
      <c r="AX108" s="464">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464">
        <f t="shared" si="37"/>
        <v>0</v>
      </c>
      <c r="AW109" s="464">
        <f t="shared" si="38"/>
        <v>0</v>
      </c>
      <c r="AX109" s="464">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464">
        <f t="shared" si="37"/>
        <v>0</v>
      </c>
      <c r="AW110" s="464">
        <f t="shared" si="38"/>
        <v>0</v>
      </c>
      <c r="AX110" s="464">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464">
        <f t="shared" si="37"/>
        <v>0</v>
      </c>
      <c r="AW111" s="464">
        <f t="shared" si="38"/>
        <v>0</v>
      </c>
      <c r="AX111" s="464">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464">
        <f t="shared" si="37"/>
        <v>0</v>
      </c>
      <c r="AW112" s="464">
        <f t="shared" si="38"/>
        <v>0</v>
      </c>
      <c r="AX112" s="464">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464">
        <f t="shared" ref="AV113:AV144" si="88">A113</f>
        <v>0</v>
      </c>
      <c r="AW113" s="464">
        <f t="shared" ref="AW113:AW144" si="89">B113</f>
        <v>0</v>
      </c>
      <c r="AX113" s="464">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464">
        <f t="shared" si="88"/>
        <v>0</v>
      </c>
      <c r="AW114" s="464">
        <f t="shared" si="89"/>
        <v>0</v>
      </c>
      <c r="AX114" s="464">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464">
        <f t="shared" si="88"/>
        <v>0</v>
      </c>
      <c r="AW115" s="464">
        <f t="shared" si="89"/>
        <v>0</v>
      </c>
      <c r="AX115" s="464">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464">
        <f t="shared" si="88"/>
        <v>0</v>
      </c>
      <c r="AW116" s="464">
        <f t="shared" si="89"/>
        <v>0</v>
      </c>
      <c r="AX116" s="464">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464">
        <f t="shared" si="88"/>
        <v>0</v>
      </c>
      <c r="AW117" s="464">
        <f t="shared" si="89"/>
        <v>0</v>
      </c>
      <c r="AX117" s="464">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464">
        <f t="shared" si="88"/>
        <v>0</v>
      </c>
      <c r="AW118" s="464">
        <f t="shared" si="89"/>
        <v>0</v>
      </c>
      <c r="AX118" s="464">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464">
        <f t="shared" si="88"/>
        <v>0</v>
      </c>
      <c r="AW119" s="464">
        <f t="shared" si="89"/>
        <v>0</v>
      </c>
      <c r="AX119" s="464">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464">
        <f t="shared" si="88"/>
        <v>0</v>
      </c>
      <c r="AW120" s="464">
        <f t="shared" si="89"/>
        <v>0</v>
      </c>
      <c r="AX120" s="464">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464">
        <f t="shared" si="88"/>
        <v>0</v>
      </c>
      <c r="AW121" s="464">
        <f t="shared" si="89"/>
        <v>0</v>
      </c>
      <c r="AX121" s="464">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464">
        <f t="shared" si="88"/>
        <v>0</v>
      </c>
      <c r="AW122" s="464">
        <f t="shared" si="89"/>
        <v>0</v>
      </c>
      <c r="AX122" s="464">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464">
        <f t="shared" si="88"/>
        <v>0</v>
      </c>
      <c r="AW123" s="464">
        <f t="shared" si="89"/>
        <v>0</v>
      </c>
      <c r="AX123" s="464">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464">
        <f t="shared" si="88"/>
        <v>0</v>
      </c>
      <c r="AW124" s="464">
        <f t="shared" si="89"/>
        <v>0</v>
      </c>
      <c r="AX124" s="464">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464">
        <f t="shared" si="88"/>
        <v>0</v>
      </c>
      <c r="AW125" s="464">
        <f t="shared" si="89"/>
        <v>0</v>
      </c>
      <c r="AX125" s="464">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464">
        <f t="shared" si="88"/>
        <v>0</v>
      </c>
      <c r="AW126" s="464">
        <f t="shared" si="89"/>
        <v>0</v>
      </c>
      <c r="AX126" s="464">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464">
        <f t="shared" si="88"/>
        <v>0</v>
      </c>
      <c r="AW127" s="464">
        <f t="shared" si="89"/>
        <v>0</v>
      </c>
      <c r="AX127" s="464">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464">
        <f t="shared" si="88"/>
        <v>0</v>
      </c>
      <c r="AW128" s="464">
        <f t="shared" si="89"/>
        <v>0</v>
      </c>
      <c r="AX128" s="464">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464">
        <f t="shared" si="88"/>
        <v>0</v>
      </c>
      <c r="AW129" s="464">
        <f t="shared" si="89"/>
        <v>0</v>
      </c>
      <c r="AX129" s="464">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464">
        <f t="shared" si="88"/>
        <v>0</v>
      </c>
      <c r="AW130" s="464">
        <f t="shared" si="89"/>
        <v>0</v>
      </c>
      <c r="AX130" s="464">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464">
        <f t="shared" si="88"/>
        <v>0</v>
      </c>
      <c r="AW131" s="464">
        <f t="shared" si="89"/>
        <v>0</v>
      </c>
      <c r="AX131" s="464">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464">
        <f t="shared" si="88"/>
        <v>0</v>
      </c>
      <c r="AW132" s="464">
        <f t="shared" si="89"/>
        <v>0</v>
      </c>
      <c r="AX132" s="464">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464">
        <f t="shared" si="88"/>
        <v>0</v>
      </c>
      <c r="AW133" s="464">
        <f t="shared" si="89"/>
        <v>0</v>
      </c>
      <c r="AX133" s="464">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464">
        <f t="shared" si="88"/>
        <v>0</v>
      </c>
      <c r="AW134" s="464">
        <f t="shared" si="89"/>
        <v>0</v>
      </c>
      <c r="AX134" s="464">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464">
        <f t="shared" si="88"/>
        <v>0</v>
      </c>
      <c r="AW135" s="464">
        <f t="shared" si="89"/>
        <v>0</v>
      </c>
      <c r="AX135" s="464">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464">
        <f t="shared" si="88"/>
        <v>0</v>
      </c>
      <c r="AW136" s="464">
        <f t="shared" si="89"/>
        <v>0</v>
      </c>
      <c r="AX136" s="464">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464">
        <f t="shared" si="88"/>
        <v>0</v>
      </c>
      <c r="AW137" s="464">
        <f t="shared" si="89"/>
        <v>0</v>
      </c>
      <c r="AX137" s="464">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464">
        <f t="shared" si="88"/>
        <v>0</v>
      </c>
      <c r="AW138" s="464">
        <f t="shared" si="89"/>
        <v>0</v>
      </c>
      <c r="AX138" s="464">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464">
        <f t="shared" si="88"/>
        <v>0</v>
      </c>
      <c r="AW139" s="464">
        <f t="shared" si="89"/>
        <v>0</v>
      </c>
      <c r="AX139" s="464">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464">
        <f t="shared" si="88"/>
        <v>0</v>
      </c>
      <c r="AW140" s="464">
        <f t="shared" si="89"/>
        <v>0</v>
      </c>
      <c r="AX140" s="464">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464">
        <f t="shared" si="88"/>
        <v>0</v>
      </c>
      <c r="AW141" s="464">
        <f t="shared" si="89"/>
        <v>0</v>
      </c>
      <c r="AX141" s="464">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464">
        <f t="shared" si="88"/>
        <v>0</v>
      </c>
      <c r="AW142" s="464">
        <f t="shared" si="89"/>
        <v>0</v>
      </c>
      <c r="AX142" s="464">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464">
        <f t="shared" si="88"/>
        <v>0</v>
      </c>
      <c r="AW143" s="464">
        <f t="shared" si="89"/>
        <v>0</v>
      </c>
      <c r="AX143" s="464">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464">
        <f t="shared" si="88"/>
        <v>0</v>
      </c>
      <c r="AW144" s="464">
        <f t="shared" si="89"/>
        <v>0</v>
      </c>
      <c r="AX144" s="464">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464">
        <f t="shared" ref="AV145:AV176" si="117">A145</f>
        <v>0</v>
      </c>
      <c r="AW145" s="464">
        <f t="shared" ref="AW145:AW176" si="118">B145</f>
        <v>0</v>
      </c>
      <c r="AX145" s="464">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464">
        <f t="shared" si="117"/>
        <v>0</v>
      </c>
      <c r="AW146" s="464">
        <f t="shared" si="118"/>
        <v>0</v>
      </c>
      <c r="AX146" s="464">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464">
        <f t="shared" si="117"/>
        <v>0</v>
      </c>
      <c r="AW147" s="464">
        <f t="shared" si="118"/>
        <v>0</v>
      </c>
      <c r="AX147" s="464">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464">
        <f t="shared" si="117"/>
        <v>0</v>
      </c>
      <c r="AW148" s="464">
        <f t="shared" si="118"/>
        <v>0</v>
      </c>
      <c r="AX148" s="464">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464">
        <f t="shared" si="117"/>
        <v>0</v>
      </c>
      <c r="AW149" s="464">
        <f t="shared" si="118"/>
        <v>0</v>
      </c>
      <c r="AX149" s="464">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464">
        <f t="shared" si="117"/>
        <v>0</v>
      </c>
      <c r="AW150" s="464">
        <f t="shared" si="118"/>
        <v>0</v>
      </c>
      <c r="AX150" s="464">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464">
        <f t="shared" si="117"/>
        <v>0</v>
      </c>
      <c r="AW151" s="464">
        <f t="shared" si="118"/>
        <v>0</v>
      </c>
      <c r="AX151" s="464">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464">
        <f t="shared" si="117"/>
        <v>0</v>
      </c>
      <c r="AW152" s="464">
        <f t="shared" si="118"/>
        <v>0</v>
      </c>
      <c r="AX152" s="464">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464">
        <f t="shared" si="117"/>
        <v>0</v>
      </c>
      <c r="AW153" s="464">
        <f t="shared" si="118"/>
        <v>0</v>
      </c>
      <c r="AX153" s="464">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464">
        <f t="shared" si="117"/>
        <v>0</v>
      </c>
      <c r="AW154" s="464">
        <f t="shared" si="118"/>
        <v>0</v>
      </c>
      <c r="AX154" s="464">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464">
        <f t="shared" si="117"/>
        <v>0</v>
      </c>
      <c r="AW155" s="464">
        <f t="shared" si="118"/>
        <v>0</v>
      </c>
      <c r="AX155" s="464">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464">
        <f t="shared" si="117"/>
        <v>0</v>
      </c>
      <c r="AW156" s="464">
        <f t="shared" si="118"/>
        <v>0</v>
      </c>
      <c r="AX156" s="464">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464">
        <f t="shared" si="117"/>
        <v>0</v>
      </c>
      <c r="AW157" s="464">
        <f t="shared" si="118"/>
        <v>0</v>
      </c>
      <c r="AX157" s="464">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464">
        <f t="shared" si="117"/>
        <v>0</v>
      </c>
      <c r="AW158" s="464">
        <f t="shared" si="118"/>
        <v>0</v>
      </c>
      <c r="AX158" s="464">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464">
        <f t="shared" si="117"/>
        <v>0</v>
      </c>
      <c r="AW159" s="464">
        <f t="shared" si="118"/>
        <v>0</v>
      </c>
      <c r="AX159" s="464">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464">
        <f t="shared" si="117"/>
        <v>0</v>
      </c>
      <c r="AW160" s="464">
        <f t="shared" si="118"/>
        <v>0</v>
      </c>
      <c r="AX160" s="464">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464">
        <f t="shared" si="117"/>
        <v>0</v>
      </c>
      <c r="AW161" s="464">
        <f t="shared" si="118"/>
        <v>0</v>
      </c>
      <c r="AX161" s="464">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464">
        <f t="shared" si="117"/>
        <v>0</v>
      </c>
      <c r="AW162" s="464">
        <f t="shared" si="118"/>
        <v>0</v>
      </c>
      <c r="AX162" s="464">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464">
        <f t="shared" si="117"/>
        <v>0</v>
      </c>
      <c r="AW163" s="464">
        <f t="shared" si="118"/>
        <v>0</v>
      </c>
      <c r="AX163" s="464">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464">
        <f t="shared" si="117"/>
        <v>0</v>
      </c>
      <c r="AW164" s="464">
        <f t="shared" si="118"/>
        <v>0</v>
      </c>
      <c r="AX164" s="464">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464">
        <f t="shared" si="117"/>
        <v>0</v>
      </c>
      <c r="AW165" s="464">
        <f t="shared" si="118"/>
        <v>0</v>
      </c>
      <c r="AX165" s="464">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464">
        <f t="shared" si="117"/>
        <v>0</v>
      </c>
      <c r="AW166" s="464">
        <f t="shared" si="118"/>
        <v>0</v>
      </c>
      <c r="AX166" s="464">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464">
        <f t="shared" si="117"/>
        <v>0</v>
      </c>
      <c r="AW167" s="464">
        <f t="shared" si="118"/>
        <v>0</v>
      </c>
      <c r="AX167" s="464">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464">
        <f t="shared" si="117"/>
        <v>0</v>
      </c>
      <c r="AW168" s="464">
        <f t="shared" si="118"/>
        <v>0</v>
      </c>
      <c r="AX168" s="464">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464">
        <f t="shared" si="117"/>
        <v>0</v>
      </c>
      <c r="AW169" s="464">
        <f t="shared" si="118"/>
        <v>0</v>
      </c>
      <c r="AX169" s="464">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464">
        <f t="shared" si="117"/>
        <v>0</v>
      </c>
      <c r="AW170" s="464">
        <f t="shared" si="118"/>
        <v>0</v>
      </c>
      <c r="AX170" s="464">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464">
        <f t="shared" si="117"/>
        <v>0</v>
      </c>
      <c r="AW171" s="464">
        <f t="shared" si="118"/>
        <v>0</v>
      </c>
      <c r="AX171" s="464">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464">
        <f t="shared" si="117"/>
        <v>0</v>
      </c>
      <c r="AW172" s="464">
        <f t="shared" si="118"/>
        <v>0</v>
      </c>
      <c r="AX172" s="464">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464">
        <f t="shared" si="117"/>
        <v>0</v>
      </c>
      <c r="AW173" s="464">
        <f t="shared" si="118"/>
        <v>0</v>
      </c>
      <c r="AX173" s="464">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464">
        <f t="shared" si="117"/>
        <v>0</v>
      </c>
      <c r="AW174" s="464">
        <f t="shared" si="118"/>
        <v>0</v>
      </c>
      <c r="AX174" s="464">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464">
        <f t="shared" si="117"/>
        <v>0</v>
      </c>
      <c r="AW175" s="464">
        <f t="shared" si="118"/>
        <v>0</v>
      </c>
      <c r="AX175" s="464">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464">
        <f t="shared" si="117"/>
        <v>0</v>
      </c>
      <c r="AW176" s="464">
        <f t="shared" si="118"/>
        <v>0</v>
      </c>
      <c r="AX176" s="464">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464">
        <f t="shared" ref="AV177:AV204" si="146">A177</f>
        <v>0</v>
      </c>
      <c r="AW177" s="464">
        <f t="shared" ref="AW177:AW204" si="147">B177</f>
        <v>0</v>
      </c>
      <c r="AX177" s="464">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464">
        <f t="shared" si="146"/>
        <v>0</v>
      </c>
      <c r="AW178" s="464">
        <f t="shared" si="147"/>
        <v>0</v>
      </c>
      <c r="AX178" s="464">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464">
        <f t="shared" si="146"/>
        <v>0</v>
      </c>
      <c r="AW179" s="464">
        <f t="shared" si="147"/>
        <v>0</v>
      </c>
      <c r="AX179" s="464">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464">
        <f t="shared" si="146"/>
        <v>0</v>
      </c>
      <c r="AW180" s="464">
        <f t="shared" si="147"/>
        <v>0</v>
      </c>
      <c r="AX180" s="464">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464">
        <f t="shared" si="146"/>
        <v>0</v>
      </c>
      <c r="AW181" s="464">
        <f t="shared" si="147"/>
        <v>0</v>
      </c>
      <c r="AX181" s="464">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464">
        <f t="shared" si="146"/>
        <v>0</v>
      </c>
      <c r="AW182" s="464">
        <f t="shared" si="147"/>
        <v>0</v>
      </c>
      <c r="AX182" s="464">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464">
        <f t="shared" si="146"/>
        <v>0</v>
      </c>
      <c r="AW183" s="464">
        <f t="shared" si="147"/>
        <v>0</v>
      </c>
      <c r="AX183" s="464">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464">
        <f t="shared" si="146"/>
        <v>0</v>
      </c>
      <c r="AW184" s="464">
        <f t="shared" si="147"/>
        <v>0</v>
      </c>
      <c r="AX184" s="464">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464">
        <f t="shared" si="146"/>
        <v>0</v>
      </c>
      <c r="AW185" s="464">
        <f t="shared" si="147"/>
        <v>0</v>
      </c>
      <c r="AX185" s="464">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464">
        <f t="shared" si="146"/>
        <v>0</v>
      </c>
      <c r="AW186" s="464">
        <f t="shared" si="147"/>
        <v>0</v>
      </c>
      <c r="AX186" s="464">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464">
        <f t="shared" si="146"/>
        <v>0</v>
      </c>
      <c r="AW187" s="464">
        <f t="shared" si="147"/>
        <v>0</v>
      </c>
      <c r="AX187" s="464">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464">
        <f t="shared" si="146"/>
        <v>0</v>
      </c>
      <c r="AW188" s="464">
        <f t="shared" si="147"/>
        <v>0</v>
      </c>
      <c r="AX188" s="464">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464">
        <f t="shared" si="146"/>
        <v>0</v>
      </c>
      <c r="AW189" s="464">
        <f t="shared" si="147"/>
        <v>0</v>
      </c>
      <c r="AX189" s="464">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464">
        <f t="shared" si="146"/>
        <v>0</v>
      </c>
      <c r="AW190" s="464">
        <f t="shared" si="147"/>
        <v>0</v>
      </c>
      <c r="AX190" s="464">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464">
        <f t="shared" si="146"/>
        <v>0</v>
      </c>
      <c r="AW191" s="464">
        <f t="shared" si="147"/>
        <v>0</v>
      </c>
      <c r="AX191" s="464">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464">
        <f t="shared" si="146"/>
        <v>0</v>
      </c>
      <c r="AW192" s="464">
        <f t="shared" si="147"/>
        <v>0</v>
      </c>
      <c r="AX192" s="464">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464">
        <f t="shared" si="146"/>
        <v>0</v>
      </c>
      <c r="AW193" s="464">
        <f t="shared" si="147"/>
        <v>0</v>
      </c>
      <c r="AX193" s="464">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464">
        <f t="shared" si="146"/>
        <v>0</v>
      </c>
      <c r="AW194" s="464">
        <f t="shared" si="147"/>
        <v>0</v>
      </c>
      <c r="AX194" s="464">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464">
        <f t="shared" si="146"/>
        <v>0</v>
      </c>
      <c r="AW195" s="464">
        <f t="shared" si="147"/>
        <v>0</v>
      </c>
      <c r="AX195" s="464">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464">
        <f t="shared" si="146"/>
        <v>0</v>
      </c>
      <c r="AW196" s="464">
        <f t="shared" si="147"/>
        <v>0</v>
      </c>
      <c r="AX196" s="464">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464">
        <f t="shared" si="146"/>
        <v>0</v>
      </c>
      <c r="AW197" s="464">
        <f t="shared" si="147"/>
        <v>0</v>
      </c>
      <c r="AX197" s="464">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464">
        <f t="shared" si="146"/>
        <v>0</v>
      </c>
      <c r="AW198" s="464">
        <f t="shared" si="147"/>
        <v>0</v>
      </c>
      <c r="AX198" s="464">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464">
        <f t="shared" si="146"/>
        <v>0</v>
      </c>
      <c r="AW199" s="464">
        <f t="shared" si="147"/>
        <v>0</v>
      </c>
      <c r="AX199" s="464">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464">
        <f t="shared" si="146"/>
        <v>0</v>
      </c>
      <c r="AW200" s="464">
        <f t="shared" si="147"/>
        <v>0</v>
      </c>
      <c r="AX200" s="464">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464">
        <f t="shared" si="146"/>
        <v>0</v>
      </c>
      <c r="AW201" s="464">
        <f t="shared" si="147"/>
        <v>0</v>
      </c>
      <c r="AX201" s="464">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464">
        <f t="shared" si="146"/>
        <v>0</v>
      </c>
      <c r="AW202" s="464">
        <f t="shared" si="147"/>
        <v>0</v>
      </c>
      <c r="AX202" s="464">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464">
        <f t="shared" si="146"/>
        <v>0</v>
      </c>
      <c r="AW203" s="464">
        <f t="shared" si="147"/>
        <v>0</v>
      </c>
      <c r="AX203" s="464">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464">
        <f t="shared" si="146"/>
        <v>0</v>
      </c>
      <c r="AW204" s="464">
        <f t="shared" si="147"/>
        <v>0</v>
      </c>
      <c r="AX204" s="464">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464">
        <f t="shared" ref="AV205:AV296" si="153">A205</f>
        <v>0</v>
      </c>
      <c r="AW205" s="464">
        <f t="shared" ref="AW205:AW296" si="154">B205</f>
        <v>0</v>
      </c>
      <c r="AX205" s="464">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464">
        <f t="shared" si="153"/>
        <v>0</v>
      </c>
      <c r="AW206" s="464">
        <f t="shared" si="154"/>
        <v>0</v>
      </c>
      <c r="AX206" s="464">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464">
        <f t="shared" si="153"/>
        <v>0</v>
      </c>
      <c r="AW207" s="464">
        <f t="shared" si="154"/>
        <v>0</v>
      </c>
      <c r="AX207" s="464">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464">
        <f t="shared" si="153"/>
        <v>0</v>
      </c>
      <c r="AW208" s="464">
        <f t="shared" si="154"/>
        <v>0</v>
      </c>
      <c r="AX208" s="464">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464">
        <f t="shared" si="153"/>
        <v>0</v>
      </c>
      <c r="AW209" s="464">
        <f t="shared" si="154"/>
        <v>0</v>
      </c>
      <c r="AX209" s="464">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464">
        <f t="shared" si="153"/>
        <v>0</v>
      </c>
      <c r="AW210" s="464">
        <f t="shared" si="154"/>
        <v>0</v>
      </c>
      <c r="AX210" s="464">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464">
        <f t="shared" si="153"/>
        <v>0</v>
      </c>
      <c r="AW211" s="464">
        <f t="shared" si="154"/>
        <v>0</v>
      </c>
      <c r="AX211" s="464">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464">
        <f t="shared" si="153"/>
        <v>0</v>
      </c>
      <c r="AW212" s="464">
        <f t="shared" si="154"/>
        <v>0</v>
      </c>
      <c r="AX212" s="464">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464">
        <f t="shared" si="153"/>
        <v>0</v>
      </c>
      <c r="AW213" s="464">
        <f t="shared" si="154"/>
        <v>0</v>
      </c>
      <c r="AX213" s="464">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464">
        <f t="shared" si="153"/>
        <v>0</v>
      </c>
      <c r="AW214" s="464">
        <f t="shared" si="154"/>
        <v>0</v>
      </c>
      <c r="AX214" s="464">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464">
        <f t="shared" si="153"/>
        <v>0</v>
      </c>
      <c r="AW215" s="464">
        <f t="shared" si="154"/>
        <v>0</v>
      </c>
      <c r="AX215" s="464">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464">
        <f t="shared" si="153"/>
        <v>0</v>
      </c>
      <c r="AW216" s="464">
        <f t="shared" si="154"/>
        <v>0</v>
      </c>
      <c r="AX216" s="464">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464">
        <f t="shared" si="153"/>
        <v>0</v>
      </c>
      <c r="AW217" s="464">
        <f t="shared" si="154"/>
        <v>0</v>
      </c>
      <c r="AX217" s="464">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464">
        <f t="shared" si="153"/>
        <v>0</v>
      </c>
      <c r="AW218" s="464">
        <f t="shared" si="154"/>
        <v>0</v>
      </c>
      <c r="AX218" s="464">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464">
        <f t="shared" si="153"/>
        <v>0</v>
      </c>
      <c r="AW219" s="464">
        <f t="shared" si="154"/>
        <v>0</v>
      </c>
      <c r="AX219" s="464">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464">
        <f t="shared" si="153"/>
        <v>0</v>
      </c>
      <c r="AW220" s="464">
        <f t="shared" si="154"/>
        <v>0</v>
      </c>
      <c r="AX220" s="464">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464">
        <f t="shared" si="153"/>
        <v>0</v>
      </c>
      <c r="AW221" s="464">
        <f t="shared" si="154"/>
        <v>0</v>
      </c>
      <c r="AX221" s="464">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464">
        <f t="shared" si="153"/>
        <v>0</v>
      </c>
      <c r="AW222" s="464">
        <f t="shared" si="154"/>
        <v>0</v>
      </c>
      <c r="AX222" s="464">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464">
        <f t="shared" si="153"/>
        <v>0</v>
      </c>
      <c r="AW223" s="464">
        <f t="shared" si="154"/>
        <v>0</v>
      </c>
      <c r="AX223" s="464">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464">
        <f t="shared" si="153"/>
        <v>0</v>
      </c>
      <c r="AW224" s="464">
        <f t="shared" si="154"/>
        <v>0</v>
      </c>
      <c r="AX224" s="464">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464">
        <f t="shared" si="153"/>
        <v>0</v>
      </c>
      <c r="AW225" s="464">
        <f t="shared" si="154"/>
        <v>0</v>
      </c>
      <c r="AX225" s="464">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464">
        <f t="shared" si="153"/>
        <v>0</v>
      </c>
      <c r="AW226" s="464">
        <f t="shared" si="154"/>
        <v>0</v>
      </c>
      <c r="AX226" s="464">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464">
        <f t="shared" si="153"/>
        <v>0</v>
      </c>
      <c r="AW227" s="464">
        <f t="shared" si="154"/>
        <v>0</v>
      </c>
      <c r="AX227" s="464">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464">
        <f t="shared" si="153"/>
        <v>0</v>
      </c>
      <c r="AW228" s="464">
        <f t="shared" si="154"/>
        <v>0</v>
      </c>
      <c r="AX228" s="464">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464">
        <f t="shared" si="153"/>
        <v>0</v>
      </c>
      <c r="AW229" s="464">
        <f t="shared" si="154"/>
        <v>0</v>
      </c>
      <c r="AX229" s="464">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464">
        <f t="shared" si="153"/>
        <v>0</v>
      </c>
      <c r="AW230" s="464">
        <f t="shared" si="154"/>
        <v>0</v>
      </c>
      <c r="AX230" s="464">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464">
        <f t="shared" si="153"/>
        <v>0</v>
      </c>
      <c r="AW231" s="464">
        <f t="shared" si="154"/>
        <v>0</v>
      </c>
      <c r="AX231" s="464">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464">
        <f t="shared" si="153"/>
        <v>0</v>
      </c>
      <c r="AW232" s="464">
        <f t="shared" si="154"/>
        <v>0</v>
      </c>
      <c r="AX232" s="464">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464">
        <f t="shared" si="153"/>
        <v>0</v>
      </c>
      <c r="AW233" s="464">
        <f t="shared" si="154"/>
        <v>0</v>
      </c>
      <c r="AX233" s="464">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464">
        <f t="shared" si="153"/>
        <v>0</v>
      </c>
      <c r="AW234" s="464">
        <f t="shared" si="154"/>
        <v>0</v>
      </c>
      <c r="AX234" s="464">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464">
        <f t="shared" si="153"/>
        <v>0</v>
      </c>
      <c r="AW235" s="464">
        <f t="shared" si="154"/>
        <v>0</v>
      </c>
      <c r="AX235" s="464">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464">
        <f t="shared" si="153"/>
        <v>0</v>
      </c>
      <c r="AW236" s="464">
        <f t="shared" si="154"/>
        <v>0</v>
      </c>
      <c r="AX236" s="464">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464">
        <f t="shared" si="153"/>
        <v>0</v>
      </c>
      <c r="AW237" s="464">
        <f t="shared" si="154"/>
        <v>0</v>
      </c>
      <c r="AX237" s="464">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464">
        <f t="shared" si="153"/>
        <v>0</v>
      </c>
      <c r="AW238" s="464">
        <f t="shared" si="154"/>
        <v>0</v>
      </c>
      <c r="AX238" s="464">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464">
        <f t="shared" si="153"/>
        <v>0</v>
      </c>
      <c r="AW239" s="464">
        <f t="shared" si="154"/>
        <v>0</v>
      </c>
      <c r="AX239" s="464">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464">
        <f t="shared" si="153"/>
        <v>0</v>
      </c>
      <c r="AW240" s="464">
        <f t="shared" si="154"/>
        <v>0</v>
      </c>
      <c r="AX240" s="464">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464">
        <f t="shared" si="153"/>
        <v>0</v>
      </c>
      <c r="AW241" s="464">
        <f t="shared" si="154"/>
        <v>0</v>
      </c>
      <c r="AX241" s="464">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464">
        <f t="shared" si="153"/>
        <v>0</v>
      </c>
      <c r="AW242" s="464">
        <f t="shared" si="154"/>
        <v>0</v>
      </c>
      <c r="AX242" s="464">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464">
        <f t="shared" si="153"/>
        <v>0</v>
      </c>
      <c r="AW243" s="464">
        <f t="shared" si="154"/>
        <v>0</v>
      </c>
      <c r="AX243" s="464">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464">
        <f t="shared" si="153"/>
        <v>0</v>
      </c>
      <c r="AW244" s="464">
        <f t="shared" si="154"/>
        <v>0</v>
      </c>
      <c r="AX244" s="464">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464">
        <f t="shared" si="153"/>
        <v>0</v>
      </c>
      <c r="AW245" s="464">
        <f t="shared" si="154"/>
        <v>0</v>
      </c>
      <c r="AX245" s="464">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464">
        <f t="shared" si="153"/>
        <v>0</v>
      </c>
      <c r="AW246" s="464">
        <f t="shared" si="154"/>
        <v>0</v>
      </c>
      <c r="AX246" s="464">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464">
        <f t="shared" si="153"/>
        <v>0</v>
      </c>
      <c r="AW247" s="464">
        <f t="shared" si="154"/>
        <v>0</v>
      </c>
      <c r="AX247" s="464">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464">
        <f t="shared" si="153"/>
        <v>0</v>
      </c>
      <c r="AW248" s="464">
        <f t="shared" si="154"/>
        <v>0</v>
      </c>
      <c r="AX248" s="464">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464">
        <f t="shared" si="153"/>
        <v>0</v>
      </c>
      <c r="AW249" s="464">
        <f t="shared" si="154"/>
        <v>0</v>
      </c>
      <c r="AX249" s="464">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464">
        <f t="shared" si="153"/>
        <v>0</v>
      </c>
      <c r="AW250" s="464">
        <f t="shared" si="154"/>
        <v>0</v>
      </c>
      <c r="AX250" s="464">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464">
        <f t="shared" si="153"/>
        <v>0</v>
      </c>
      <c r="AW251" s="464">
        <f t="shared" si="154"/>
        <v>0</v>
      </c>
      <c r="AX251" s="464">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464">
        <f t="shared" si="153"/>
        <v>0</v>
      </c>
      <c r="AW252" s="464">
        <f t="shared" si="154"/>
        <v>0</v>
      </c>
      <c r="AX252" s="464">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464">
        <f t="shared" si="153"/>
        <v>0</v>
      </c>
      <c r="AW253" s="464">
        <f t="shared" si="154"/>
        <v>0</v>
      </c>
      <c r="AX253" s="464">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464">
        <f t="shared" si="153"/>
        <v>0</v>
      </c>
      <c r="AW254" s="464">
        <f t="shared" si="154"/>
        <v>0</v>
      </c>
      <c r="AX254" s="464">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464">
        <f t="shared" si="153"/>
        <v>0</v>
      </c>
      <c r="AW255" s="464">
        <f t="shared" si="154"/>
        <v>0</v>
      </c>
      <c r="AX255" s="464">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464">
        <f t="shared" si="153"/>
        <v>0</v>
      </c>
      <c r="AW256" s="464">
        <f t="shared" si="154"/>
        <v>0</v>
      </c>
      <c r="AX256" s="464">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464">
        <f t="shared" si="153"/>
        <v>0</v>
      </c>
      <c r="AW257" s="464">
        <f t="shared" si="154"/>
        <v>0</v>
      </c>
      <c r="AX257" s="464">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464">
        <f t="shared" si="153"/>
        <v>0</v>
      </c>
      <c r="AW258" s="464">
        <f t="shared" si="154"/>
        <v>0</v>
      </c>
      <c r="AX258" s="464">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464">
        <f t="shared" si="153"/>
        <v>0</v>
      </c>
      <c r="AW259" s="464">
        <f t="shared" si="154"/>
        <v>0</v>
      </c>
      <c r="AX259" s="464">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464">
        <f t="shared" si="153"/>
        <v>0</v>
      </c>
      <c r="AW260" s="464">
        <f t="shared" si="154"/>
        <v>0</v>
      </c>
      <c r="AX260" s="464">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464">
        <f t="shared" si="153"/>
        <v>0</v>
      </c>
      <c r="AW261" s="464">
        <f t="shared" si="154"/>
        <v>0</v>
      </c>
      <c r="AX261" s="464">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464">
        <f t="shared" si="153"/>
        <v>0</v>
      </c>
      <c r="AW262" s="464">
        <f t="shared" si="154"/>
        <v>0</v>
      </c>
      <c r="AX262" s="464">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464">
        <f t="shared" si="153"/>
        <v>0</v>
      </c>
      <c r="AW263" s="464">
        <f t="shared" si="154"/>
        <v>0</v>
      </c>
      <c r="AX263" s="464">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464">
        <f t="shared" si="153"/>
        <v>0</v>
      </c>
      <c r="AW264" s="464">
        <f t="shared" si="154"/>
        <v>0</v>
      </c>
      <c r="AX264" s="464">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464">
        <f t="shared" si="153"/>
        <v>0</v>
      </c>
      <c r="AW265" s="464">
        <f t="shared" si="154"/>
        <v>0</v>
      </c>
      <c r="AX265" s="464">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464">
        <f t="shared" si="153"/>
        <v>0</v>
      </c>
      <c r="AW266" s="464">
        <f t="shared" si="154"/>
        <v>0</v>
      </c>
      <c r="AX266" s="464">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464">
        <f t="shared" si="153"/>
        <v>0</v>
      </c>
      <c r="AW267" s="464">
        <f t="shared" si="154"/>
        <v>0</v>
      </c>
      <c r="AX267" s="464">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464">
        <f t="shared" si="153"/>
        <v>0</v>
      </c>
      <c r="AW268" s="464">
        <f t="shared" si="154"/>
        <v>0</v>
      </c>
      <c r="AX268" s="464">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464">
        <f t="shared" si="153"/>
        <v>0</v>
      </c>
      <c r="AW269" s="464">
        <f t="shared" si="154"/>
        <v>0</v>
      </c>
      <c r="AX269" s="464">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464">
        <f t="shared" si="153"/>
        <v>0</v>
      </c>
      <c r="AW270" s="464">
        <f t="shared" si="154"/>
        <v>0</v>
      </c>
      <c r="AX270" s="464">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464">
        <f t="shared" si="153"/>
        <v>0</v>
      </c>
      <c r="AW271" s="464">
        <f t="shared" si="154"/>
        <v>0</v>
      </c>
      <c r="AX271" s="464">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464">
        <f t="shared" si="153"/>
        <v>0</v>
      </c>
      <c r="AW272" s="464">
        <f t="shared" si="154"/>
        <v>0</v>
      </c>
      <c r="AX272" s="464">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464">
        <f t="shared" si="153"/>
        <v>0</v>
      </c>
      <c r="AW273" s="464">
        <f t="shared" si="154"/>
        <v>0</v>
      </c>
      <c r="AX273" s="464">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464">
        <f t="shared" si="153"/>
        <v>0</v>
      </c>
      <c r="AW274" s="464">
        <f t="shared" si="154"/>
        <v>0</v>
      </c>
      <c r="AX274" s="464">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464">
        <f t="shared" si="153"/>
        <v>0</v>
      </c>
      <c r="AW275" s="464">
        <f t="shared" si="154"/>
        <v>0</v>
      </c>
      <c r="AX275" s="464">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464">
        <f t="shared" si="153"/>
        <v>0</v>
      </c>
      <c r="AW276" s="464">
        <f t="shared" si="154"/>
        <v>0</v>
      </c>
      <c r="AX276" s="464">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464">
        <f t="shared" si="153"/>
        <v>0</v>
      </c>
      <c r="AW277" s="464">
        <f t="shared" si="154"/>
        <v>0</v>
      </c>
      <c r="AX277" s="464">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464">
        <f t="shared" si="153"/>
        <v>0</v>
      </c>
      <c r="AW278" s="464">
        <f t="shared" si="154"/>
        <v>0</v>
      </c>
      <c r="AX278" s="464">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464">
        <f t="shared" si="153"/>
        <v>0</v>
      </c>
      <c r="AW279" s="464">
        <f t="shared" si="154"/>
        <v>0</v>
      </c>
      <c r="AX279" s="464">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464">
        <f t="shared" si="153"/>
        <v>0</v>
      </c>
      <c r="AW280" s="464">
        <f t="shared" si="154"/>
        <v>0</v>
      </c>
      <c r="AX280" s="464">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464">
        <f t="shared" si="153"/>
        <v>0</v>
      </c>
      <c r="AW281" s="464">
        <f t="shared" si="154"/>
        <v>0</v>
      </c>
      <c r="AX281" s="464">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464">
        <f t="shared" si="153"/>
        <v>0</v>
      </c>
      <c r="AW282" s="464">
        <f t="shared" si="154"/>
        <v>0</v>
      </c>
      <c r="AX282" s="464">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464">
        <f t="shared" si="153"/>
        <v>0</v>
      </c>
      <c r="AW283" s="464">
        <f t="shared" si="154"/>
        <v>0</v>
      </c>
      <c r="AX283" s="464">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464">
        <f t="shared" si="153"/>
        <v>0</v>
      </c>
      <c r="AW284" s="464">
        <f t="shared" si="154"/>
        <v>0</v>
      </c>
      <c r="AX284" s="464">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464">
        <f t="shared" si="153"/>
        <v>0</v>
      </c>
      <c r="AW285" s="464">
        <f t="shared" si="154"/>
        <v>0</v>
      </c>
      <c r="AX285" s="464">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464">
        <f t="shared" si="153"/>
        <v>0</v>
      </c>
      <c r="AW286" s="464">
        <f t="shared" si="154"/>
        <v>0</v>
      </c>
      <c r="AX286" s="464">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464">
        <f t="shared" si="153"/>
        <v>0</v>
      </c>
      <c r="AW287" s="464">
        <f t="shared" si="154"/>
        <v>0</v>
      </c>
      <c r="AX287" s="464">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464">
        <f t="shared" si="153"/>
        <v>0</v>
      </c>
      <c r="AW288" s="464">
        <f t="shared" si="154"/>
        <v>0</v>
      </c>
      <c r="AX288" s="464">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464">
        <f t="shared" si="153"/>
        <v>0</v>
      </c>
      <c r="AW289" s="464">
        <f t="shared" si="154"/>
        <v>0</v>
      </c>
      <c r="AX289" s="464">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464">
        <f t="shared" si="153"/>
        <v>0</v>
      </c>
      <c r="AW290" s="464">
        <f t="shared" si="154"/>
        <v>0</v>
      </c>
      <c r="AX290" s="464">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464">
        <f t="shared" si="153"/>
        <v>0</v>
      </c>
      <c r="AW291" s="464">
        <f t="shared" si="154"/>
        <v>0</v>
      </c>
      <c r="AX291" s="464">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464">
        <f t="shared" si="153"/>
        <v>0</v>
      </c>
      <c r="AW292" s="464">
        <f t="shared" si="154"/>
        <v>0</v>
      </c>
      <c r="AX292" s="464">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464">
        <f t="shared" si="153"/>
        <v>0</v>
      </c>
      <c r="AW293" s="464">
        <f t="shared" si="154"/>
        <v>0</v>
      </c>
      <c r="AX293" s="464">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464">
        <f t="shared" si="153"/>
        <v>0</v>
      </c>
      <c r="AW294" s="464">
        <f t="shared" si="154"/>
        <v>0</v>
      </c>
      <c r="AX294" s="464">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464">
        <f t="shared" si="153"/>
        <v>0</v>
      </c>
      <c r="AW295" s="464">
        <f t="shared" si="154"/>
        <v>0</v>
      </c>
      <c r="AX295" s="464">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464">
        <f t="shared" si="153"/>
        <v>0</v>
      </c>
      <c r="AW296" s="464">
        <f t="shared" si="154"/>
        <v>0</v>
      </c>
      <c r="AX296" s="464">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464">
        <f t="shared" ref="AV297:AV328" si="204">A297</f>
        <v>0</v>
      </c>
      <c r="AW297" s="464">
        <f t="shared" ref="AW297:AW328" si="205">B297</f>
        <v>0</v>
      </c>
      <c r="AX297" s="464">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464">
        <f t="shared" si="204"/>
        <v>0</v>
      </c>
      <c r="AW298" s="464">
        <f t="shared" si="205"/>
        <v>0</v>
      </c>
      <c r="AX298" s="464">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464">
        <f t="shared" si="204"/>
        <v>0</v>
      </c>
      <c r="AW299" s="464">
        <f t="shared" si="205"/>
        <v>0</v>
      </c>
      <c r="AX299" s="464">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464">
        <f t="shared" si="204"/>
        <v>0</v>
      </c>
      <c r="AW300" s="464">
        <f t="shared" si="205"/>
        <v>0</v>
      </c>
      <c r="AX300" s="464">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464">
        <f t="shared" si="204"/>
        <v>0</v>
      </c>
      <c r="AW301" s="464">
        <f t="shared" si="205"/>
        <v>0</v>
      </c>
      <c r="AX301" s="464">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464">
        <f t="shared" si="204"/>
        <v>0</v>
      </c>
      <c r="AW302" s="464">
        <f t="shared" si="205"/>
        <v>0</v>
      </c>
      <c r="AX302" s="464">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464">
        <f t="shared" si="204"/>
        <v>0</v>
      </c>
      <c r="AW303" s="464">
        <f t="shared" si="205"/>
        <v>0</v>
      </c>
      <c r="AX303" s="464">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464">
        <f t="shared" si="204"/>
        <v>0</v>
      </c>
      <c r="AW304" s="464">
        <f t="shared" si="205"/>
        <v>0</v>
      </c>
      <c r="AX304" s="464">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464">
        <f t="shared" si="204"/>
        <v>0</v>
      </c>
      <c r="AW305" s="464">
        <f t="shared" si="205"/>
        <v>0</v>
      </c>
      <c r="AX305" s="464">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464">
        <f t="shared" si="204"/>
        <v>0</v>
      </c>
      <c r="AW306" s="464">
        <f t="shared" si="205"/>
        <v>0</v>
      </c>
      <c r="AX306" s="464">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464">
        <f t="shared" si="204"/>
        <v>0</v>
      </c>
      <c r="AW307" s="464">
        <f t="shared" si="205"/>
        <v>0</v>
      </c>
      <c r="AX307" s="464">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464">
        <f t="shared" si="204"/>
        <v>0</v>
      </c>
      <c r="AW308" s="464">
        <f t="shared" si="205"/>
        <v>0</v>
      </c>
      <c r="AX308" s="464">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464">
        <f t="shared" si="204"/>
        <v>0</v>
      </c>
      <c r="AW309" s="464">
        <f t="shared" si="205"/>
        <v>0</v>
      </c>
      <c r="AX309" s="464">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464">
        <f t="shared" si="204"/>
        <v>0</v>
      </c>
      <c r="AW310" s="464">
        <f t="shared" si="205"/>
        <v>0</v>
      </c>
      <c r="AX310" s="464">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464">
        <f t="shared" si="204"/>
        <v>0</v>
      </c>
      <c r="AW311" s="464">
        <f t="shared" si="205"/>
        <v>0</v>
      </c>
      <c r="AX311" s="464">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464">
        <f t="shared" si="204"/>
        <v>0</v>
      </c>
      <c r="AW312" s="464">
        <f t="shared" si="205"/>
        <v>0</v>
      </c>
      <c r="AX312" s="464">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464">
        <f t="shared" si="204"/>
        <v>0</v>
      </c>
      <c r="AW313" s="464">
        <f t="shared" si="205"/>
        <v>0</v>
      </c>
      <c r="AX313" s="464">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464">
        <f t="shared" si="204"/>
        <v>0</v>
      </c>
      <c r="AW314" s="464">
        <f t="shared" si="205"/>
        <v>0</v>
      </c>
      <c r="AX314" s="464">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464">
        <f t="shared" si="204"/>
        <v>0</v>
      </c>
      <c r="AW315" s="464">
        <f t="shared" si="205"/>
        <v>0</v>
      </c>
      <c r="AX315" s="464">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464">
        <f t="shared" si="204"/>
        <v>0</v>
      </c>
      <c r="AW316" s="464">
        <f t="shared" si="205"/>
        <v>0</v>
      </c>
      <c r="AX316" s="464">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464">
        <f t="shared" si="204"/>
        <v>0</v>
      </c>
      <c r="AW317" s="464">
        <f t="shared" si="205"/>
        <v>0</v>
      </c>
      <c r="AX317" s="464">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464">
        <f t="shared" si="204"/>
        <v>0</v>
      </c>
      <c r="AW318" s="464">
        <f t="shared" si="205"/>
        <v>0</v>
      </c>
      <c r="AX318" s="464">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464">
        <f t="shared" si="204"/>
        <v>0</v>
      </c>
      <c r="AW319" s="464">
        <f t="shared" si="205"/>
        <v>0</v>
      </c>
      <c r="AX319" s="464">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464">
        <f t="shared" si="204"/>
        <v>0</v>
      </c>
      <c r="AW320" s="464">
        <f t="shared" si="205"/>
        <v>0</v>
      </c>
      <c r="AX320" s="464">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464">
        <f t="shared" si="204"/>
        <v>0</v>
      </c>
      <c r="AW321" s="464">
        <f t="shared" si="205"/>
        <v>0</v>
      </c>
      <c r="AX321" s="464">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464">
        <f t="shared" si="204"/>
        <v>0</v>
      </c>
      <c r="AW322" s="464">
        <f t="shared" si="205"/>
        <v>0</v>
      </c>
      <c r="AX322" s="464">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464">
        <f t="shared" si="204"/>
        <v>0</v>
      </c>
      <c r="AW323" s="464">
        <f t="shared" si="205"/>
        <v>0</v>
      </c>
      <c r="AX323" s="464">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464">
        <f t="shared" si="204"/>
        <v>0</v>
      </c>
      <c r="AW324" s="464">
        <f t="shared" si="205"/>
        <v>0</v>
      </c>
      <c r="AX324" s="464">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464">
        <f t="shared" si="204"/>
        <v>0</v>
      </c>
      <c r="AW325" s="464">
        <f t="shared" si="205"/>
        <v>0</v>
      </c>
      <c r="AX325" s="464">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464">
        <f t="shared" si="204"/>
        <v>0</v>
      </c>
      <c r="AW326" s="464">
        <f t="shared" si="205"/>
        <v>0</v>
      </c>
      <c r="AX326" s="464">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464">
        <f t="shared" si="204"/>
        <v>0</v>
      </c>
      <c r="AW327" s="464">
        <f t="shared" si="205"/>
        <v>0</v>
      </c>
      <c r="AX327" s="464">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464">
        <f t="shared" si="204"/>
        <v>0</v>
      </c>
      <c r="AW328" s="464">
        <f t="shared" si="205"/>
        <v>0</v>
      </c>
      <c r="AX328" s="464">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464">
        <f t="shared" ref="AV329:AV360" si="233">A329</f>
        <v>0</v>
      </c>
      <c r="AW329" s="464">
        <f t="shared" ref="AW329:AW360" si="234">B329</f>
        <v>0</v>
      </c>
      <c r="AX329" s="464">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464">
        <f t="shared" si="233"/>
        <v>0</v>
      </c>
      <c r="AW330" s="464">
        <f t="shared" si="234"/>
        <v>0</v>
      </c>
      <c r="AX330" s="464">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464">
        <f t="shared" si="233"/>
        <v>0</v>
      </c>
      <c r="AW331" s="464">
        <f t="shared" si="234"/>
        <v>0</v>
      </c>
      <c r="AX331" s="464">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464">
        <f t="shared" si="233"/>
        <v>0</v>
      </c>
      <c r="AW332" s="464">
        <f t="shared" si="234"/>
        <v>0</v>
      </c>
      <c r="AX332" s="464">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464">
        <f t="shared" si="233"/>
        <v>0</v>
      </c>
      <c r="AW333" s="464">
        <f t="shared" si="234"/>
        <v>0</v>
      </c>
      <c r="AX333" s="464">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464">
        <f t="shared" si="233"/>
        <v>0</v>
      </c>
      <c r="AW334" s="464">
        <f t="shared" si="234"/>
        <v>0</v>
      </c>
      <c r="AX334" s="464">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464">
        <f t="shared" si="233"/>
        <v>0</v>
      </c>
      <c r="AW335" s="464">
        <f t="shared" si="234"/>
        <v>0</v>
      </c>
      <c r="AX335" s="464">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464">
        <f t="shared" si="233"/>
        <v>0</v>
      </c>
      <c r="AW336" s="464">
        <f t="shared" si="234"/>
        <v>0</v>
      </c>
      <c r="AX336" s="464">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464">
        <f t="shared" si="233"/>
        <v>0</v>
      </c>
      <c r="AW337" s="464">
        <f t="shared" si="234"/>
        <v>0</v>
      </c>
      <c r="AX337" s="464">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464">
        <f t="shared" si="233"/>
        <v>0</v>
      </c>
      <c r="AW338" s="464">
        <f t="shared" si="234"/>
        <v>0</v>
      </c>
      <c r="AX338" s="464">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464">
        <f t="shared" si="233"/>
        <v>0</v>
      </c>
      <c r="AW339" s="464">
        <f t="shared" si="234"/>
        <v>0</v>
      </c>
      <c r="AX339" s="464">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464">
        <f t="shared" si="233"/>
        <v>0</v>
      </c>
      <c r="AW340" s="464">
        <f t="shared" si="234"/>
        <v>0</v>
      </c>
      <c r="AX340" s="464">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464">
        <f t="shared" si="233"/>
        <v>0</v>
      </c>
      <c r="AW341" s="464">
        <f t="shared" si="234"/>
        <v>0</v>
      </c>
      <c r="AX341" s="464">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464">
        <f t="shared" si="233"/>
        <v>0</v>
      </c>
      <c r="AW342" s="464">
        <f t="shared" si="234"/>
        <v>0</v>
      </c>
      <c r="AX342" s="464">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464">
        <f t="shared" si="233"/>
        <v>0</v>
      </c>
      <c r="AW343" s="464">
        <f t="shared" si="234"/>
        <v>0</v>
      </c>
      <c r="AX343" s="464">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464">
        <f t="shared" si="233"/>
        <v>0</v>
      </c>
      <c r="AW344" s="464">
        <f t="shared" si="234"/>
        <v>0</v>
      </c>
      <c r="AX344" s="464">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464">
        <f t="shared" si="233"/>
        <v>0</v>
      </c>
      <c r="AW345" s="464">
        <f t="shared" si="234"/>
        <v>0</v>
      </c>
      <c r="AX345" s="464">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464">
        <f t="shared" si="233"/>
        <v>0</v>
      </c>
      <c r="AW346" s="464">
        <f t="shared" si="234"/>
        <v>0</v>
      </c>
      <c r="AX346" s="464">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464">
        <f t="shared" si="233"/>
        <v>0</v>
      </c>
      <c r="AW347" s="464">
        <f t="shared" si="234"/>
        <v>0</v>
      </c>
      <c r="AX347" s="464">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464">
        <f t="shared" si="233"/>
        <v>0</v>
      </c>
      <c r="AW348" s="464">
        <f t="shared" si="234"/>
        <v>0</v>
      </c>
      <c r="AX348" s="464">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464">
        <f t="shared" si="233"/>
        <v>0</v>
      </c>
      <c r="AW349" s="464">
        <f t="shared" si="234"/>
        <v>0</v>
      </c>
      <c r="AX349" s="464">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464">
        <f t="shared" si="233"/>
        <v>0</v>
      </c>
      <c r="AW350" s="464">
        <f t="shared" si="234"/>
        <v>0</v>
      </c>
      <c r="AX350" s="464">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464">
        <f t="shared" si="233"/>
        <v>0</v>
      </c>
      <c r="AW351" s="464">
        <f t="shared" si="234"/>
        <v>0</v>
      </c>
      <c r="AX351" s="464">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464">
        <f t="shared" si="233"/>
        <v>0</v>
      </c>
      <c r="AW352" s="464">
        <f t="shared" si="234"/>
        <v>0</v>
      </c>
      <c r="AX352" s="464">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464">
        <f t="shared" si="233"/>
        <v>0</v>
      </c>
      <c r="AW353" s="464">
        <f t="shared" si="234"/>
        <v>0</v>
      </c>
      <c r="AX353" s="464">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464">
        <f t="shared" si="233"/>
        <v>0</v>
      </c>
      <c r="AW354" s="464">
        <f t="shared" si="234"/>
        <v>0</v>
      </c>
      <c r="AX354" s="464">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464">
        <f t="shared" si="233"/>
        <v>0</v>
      </c>
      <c r="AW355" s="464">
        <f t="shared" si="234"/>
        <v>0</v>
      </c>
      <c r="AX355" s="464">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464">
        <f t="shared" si="233"/>
        <v>0</v>
      </c>
      <c r="AW356" s="464">
        <f t="shared" si="234"/>
        <v>0</v>
      </c>
      <c r="AX356" s="464">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464">
        <f t="shared" si="233"/>
        <v>0</v>
      </c>
      <c r="AW357" s="464">
        <f t="shared" si="234"/>
        <v>0</v>
      </c>
      <c r="AX357" s="464">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464">
        <f t="shared" si="233"/>
        <v>0</v>
      </c>
      <c r="AW358" s="464">
        <f t="shared" si="234"/>
        <v>0</v>
      </c>
      <c r="AX358" s="464">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464">
        <f t="shared" si="233"/>
        <v>0</v>
      </c>
      <c r="AW359" s="464">
        <f t="shared" si="234"/>
        <v>0</v>
      </c>
      <c r="AX359" s="464">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464">
        <f t="shared" si="233"/>
        <v>0</v>
      </c>
      <c r="AW360" s="464">
        <f t="shared" si="234"/>
        <v>0</v>
      </c>
      <c r="AX360" s="464">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464">
        <f t="shared" ref="AV361:AV388" si="262">A361</f>
        <v>0</v>
      </c>
      <c r="AW361" s="464">
        <f t="shared" ref="AW361:AW388" si="263">B361</f>
        <v>0</v>
      </c>
      <c r="AX361" s="464">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464">
        <f t="shared" si="262"/>
        <v>0</v>
      </c>
      <c r="AW362" s="464">
        <f t="shared" si="263"/>
        <v>0</v>
      </c>
      <c r="AX362" s="464">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464">
        <f t="shared" si="262"/>
        <v>0</v>
      </c>
      <c r="AW363" s="464">
        <f t="shared" si="263"/>
        <v>0</v>
      </c>
      <c r="AX363" s="464">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464">
        <f t="shared" si="262"/>
        <v>0</v>
      </c>
      <c r="AW364" s="464">
        <f t="shared" si="263"/>
        <v>0</v>
      </c>
      <c r="AX364" s="464">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464">
        <f t="shared" si="262"/>
        <v>0</v>
      </c>
      <c r="AW365" s="464">
        <f t="shared" si="263"/>
        <v>0</v>
      </c>
      <c r="AX365" s="464">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464">
        <f t="shared" si="262"/>
        <v>0</v>
      </c>
      <c r="AW366" s="464">
        <f t="shared" si="263"/>
        <v>0</v>
      </c>
      <c r="AX366" s="464">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464">
        <f t="shared" si="262"/>
        <v>0</v>
      </c>
      <c r="AW367" s="464">
        <f t="shared" si="263"/>
        <v>0</v>
      </c>
      <c r="AX367" s="464">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464">
        <f t="shared" si="262"/>
        <v>0</v>
      </c>
      <c r="AW368" s="464">
        <f t="shared" si="263"/>
        <v>0</v>
      </c>
      <c r="AX368" s="464">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464">
        <f t="shared" si="262"/>
        <v>0</v>
      </c>
      <c r="AW369" s="464">
        <f t="shared" si="263"/>
        <v>0</v>
      </c>
      <c r="AX369" s="464">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464">
        <f t="shared" si="262"/>
        <v>0</v>
      </c>
      <c r="AW370" s="464">
        <f t="shared" si="263"/>
        <v>0</v>
      </c>
      <c r="AX370" s="464">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464">
        <f t="shared" si="262"/>
        <v>0</v>
      </c>
      <c r="AW371" s="464">
        <f t="shared" si="263"/>
        <v>0</v>
      </c>
      <c r="AX371" s="464">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464">
        <f t="shared" si="262"/>
        <v>0</v>
      </c>
      <c r="AW372" s="464">
        <f t="shared" si="263"/>
        <v>0</v>
      </c>
      <c r="AX372" s="464">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464">
        <f t="shared" si="262"/>
        <v>0</v>
      </c>
      <c r="AW373" s="464">
        <f t="shared" si="263"/>
        <v>0</v>
      </c>
      <c r="AX373" s="464">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464">
        <f t="shared" si="262"/>
        <v>0</v>
      </c>
      <c r="AW374" s="464">
        <f t="shared" si="263"/>
        <v>0</v>
      </c>
      <c r="AX374" s="464">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464">
        <f t="shared" si="262"/>
        <v>0</v>
      </c>
      <c r="AW375" s="464">
        <f t="shared" si="263"/>
        <v>0</v>
      </c>
      <c r="AX375" s="464">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464">
        <f t="shared" si="262"/>
        <v>0</v>
      </c>
      <c r="AW376" s="464">
        <f t="shared" si="263"/>
        <v>0</v>
      </c>
      <c r="AX376" s="464">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464">
        <f t="shared" si="262"/>
        <v>0</v>
      </c>
      <c r="AW377" s="464">
        <f t="shared" si="263"/>
        <v>0</v>
      </c>
      <c r="AX377" s="464">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464">
        <f t="shared" si="262"/>
        <v>0</v>
      </c>
      <c r="AW378" s="464">
        <f t="shared" si="263"/>
        <v>0</v>
      </c>
      <c r="AX378" s="464">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464">
        <f t="shared" si="262"/>
        <v>0</v>
      </c>
      <c r="AW379" s="464">
        <f t="shared" si="263"/>
        <v>0</v>
      </c>
      <c r="AX379" s="464">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464">
        <f t="shared" si="262"/>
        <v>0</v>
      </c>
      <c r="AW380" s="464">
        <f t="shared" si="263"/>
        <v>0</v>
      </c>
      <c r="AX380" s="464">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464">
        <f t="shared" si="262"/>
        <v>0</v>
      </c>
      <c r="AW381" s="464">
        <f t="shared" si="263"/>
        <v>0</v>
      </c>
      <c r="AX381" s="464">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464">
        <f t="shared" si="262"/>
        <v>0</v>
      </c>
      <c r="AW382" s="464">
        <f t="shared" si="263"/>
        <v>0</v>
      </c>
      <c r="AX382" s="464">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464">
        <f t="shared" si="262"/>
        <v>0</v>
      </c>
      <c r="AW383" s="464">
        <f t="shared" si="263"/>
        <v>0</v>
      </c>
      <c r="AX383" s="464">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464">
        <f t="shared" si="262"/>
        <v>0</v>
      </c>
      <c r="AW384" s="464">
        <f t="shared" si="263"/>
        <v>0</v>
      </c>
      <c r="AX384" s="464">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464">
        <f t="shared" si="262"/>
        <v>0</v>
      </c>
      <c r="AW385" s="464">
        <f t="shared" si="263"/>
        <v>0</v>
      </c>
      <c r="AX385" s="464">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464">
        <f t="shared" si="262"/>
        <v>0</v>
      </c>
      <c r="AW386" s="464">
        <f t="shared" si="263"/>
        <v>0</v>
      </c>
      <c r="AX386" s="464">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464">
        <f t="shared" si="262"/>
        <v>0</v>
      </c>
      <c r="AW387" s="464">
        <f t="shared" si="263"/>
        <v>0</v>
      </c>
      <c r="AX387" s="464">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464">
        <f t="shared" si="262"/>
        <v>0</v>
      </c>
      <c r="AW388" s="464">
        <f t="shared" si="263"/>
        <v>0</v>
      </c>
      <c r="AX388" s="464">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464">
        <f t="shared" ref="AV389:AV480" si="269">A389</f>
        <v>0</v>
      </c>
      <c r="AW389" s="464">
        <f t="shared" ref="AW389:AW480" si="270">B389</f>
        <v>0</v>
      </c>
      <c r="AX389" s="464">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464">
        <f t="shared" si="269"/>
        <v>0</v>
      </c>
      <c r="AW390" s="464">
        <f t="shared" si="270"/>
        <v>0</v>
      </c>
      <c r="AX390" s="464">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464">
        <f t="shared" si="269"/>
        <v>0</v>
      </c>
      <c r="AW391" s="464">
        <f t="shared" si="270"/>
        <v>0</v>
      </c>
      <c r="AX391" s="464">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464">
        <f t="shared" si="269"/>
        <v>0</v>
      </c>
      <c r="AW392" s="464">
        <f t="shared" si="270"/>
        <v>0</v>
      </c>
      <c r="AX392" s="464">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464">
        <f t="shared" si="269"/>
        <v>0</v>
      </c>
      <c r="AW393" s="464">
        <f t="shared" si="270"/>
        <v>0</v>
      </c>
      <c r="AX393" s="464">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464">
        <f t="shared" si="269"/>
        <v>0</v>
      </c>
      <c r="AW394" s="464">
        <f t="shared" si="270"/>
        <v>0</v>
      </c>
      <c r="AX394" s="464">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464">
        <f t="shared" si="269"/>
        <v>0</v>
      </c>
      <c r="AW395" s="464">
        <f t="shared" si="270"/>
        <v>0</v>
      </c>
      <c r="AX395" s="464">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464">
        <f t="shared" si="269"/>
        <v>0</v>
      </c>
      <c r="AW396" s="464">
        <f t="shared" si="270"/>
        <v>0</v>
      </c>
      <c r="AX396" s="464">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464">
        <f t="shared" si="269"/>
        <v>0</v>
      </c>
      <c r="AW397" s="464">
        <f t="shared" si="270"/>
        <v>0</v>
      </c>
      <c r="AX397" s="464">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464">
        <f t="shared" si="269"/>
        <v>0</v>
      </c>
      <c r="AW398" s="464">
        <f t="shared" si="270"/>
        <v>0</v>
      </c>
      <c r="AX398" s="464">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464">
        <f t="shared" si="269"/>
        <v>0</v>
      </c>
      <c r="AW399" s="464">
        <f t="shared" si="270"/>
        <v>0</v>
      </c>
      <c r="AX399" s="464">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464">
        <f t="shared" si="269"/>
        <v>0</v>
      </c>
      <c r="AW400" s="464">
        <f t="shared" si="270"/>
        <v>0</v>
      </c>
      <c r="AX400" s="464">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464">
        <f t="shared" si="269"/>
        <v>0</v>
      </c>
      <c r="AW401" s="464">
        <f t="shared" si="270"/>
        <v>0</v>
      </c>
      <c r="AX401" s="464">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464">
        <f t="shared" si="269"/>
        <v>0</v>
      </c>
      <c r="AW402" s="464">
        <f t="shared" si="270"/>
        <v>0</v>
      </c>
      <c r="AX402" s="464">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464">
        <f t="shared" si="269"/>
        <v>0</v>
      </c>
      <c r="AW403" s="464">
        <f t="shared" si="270"/>
        <v>0</v>
      </c>
      <c r="AX403" s="464">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464">
        <f t="shared" si="269"/>
        <v>0</v>
      </c>
      <c r="AW404" s="464">
        <f t="shared" si="270"/>
        <v>0</v>
      </c>
      <c r="AX404" s="464">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464">
        <f t="shared" si="269"/>
        <v>0</v>
      </c>
      <c r="AW405" s="464">
        <f t="shared" si="270"/>
        <v>0</v>
      </c>
      <c r="AX405" s="464">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464">
        <f t="shared" si="269"/>
        <v>0</v>
      </c>
      <c r="AW406" s="464">
        <f t="shared" si="270"/>
        <v>0</v>
      </c>
      <c r="AX406" s="464">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464">
        <f t="shared" si="269"/>
        <v>0</v>
      </c>
      <c r="AW407" s="464">
        <f t="shared" si="270"/>
        <v>0</v>
      </c>
      <c r="AX407" s="464">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464">
        <f t="shared" si="269"/>
        <v>0</v>
      </c>
      <c r="AW408" s="464">
        <f t="shared" si="270"/>
        <v>0</v>
      </c>
      <c r="AX408" s="464">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464">
        <f t="shared" si="269"/>
        <v>0</v>
      </c>
      <c r="AW409" s="464">
        <f t="shared" si="270"/>
        <v>0</v>
      </c>
      <c r="AX409" s="464">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464">
        <f t="shared" si="269"/>
        <v>0</v>
      </c>
      <c r="AW410" s="464">
        <f t="shared" si="270"/>
        <v>0</v>
      </c>
      <c r="AX410" s="464">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464">
        <f t="shared" si="269"/>
        <v>0</v>
      </c>
      <c r="AW411" s="464">
        <f t="shared" si="270"/>
        <v>0</v>
      </c>
      <c r="AX411" s="464">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464">
        <f t="shared" si="269"/>
        <v>0</v>
      </c>
      <c r="AW412" s="464">
        <f t="shared" si="270"/>
        <v>0</v>
      </c>
      <c r="AX412" s="464">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464">
        <f t="shared" si="269"/>
        <v>0</v>
      </c>
      <c r="AW413" s="464">
        <f t="shared" si="270"/>
        <v>0</v>
      </c>
      <c r="AX413" s="464">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464">
        <f t="shared" si="269"/>
        <v>0</v>
      </c>
      <c r="AW414" s="464">
        <f t="shared" si="270"/>
        <v>0</v>
      </c>
      <c r="AX414" s="464">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464">
        <f t="shared" si="269"/>
        <v>0</v>
      </c>
      <c r="AW415" s="464">
        <f t="shared" si="270"/>
        <v>0</v>
      </c>
      <c r="AX415" s="464">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464">
        <f t="shared" si="269"/>
        <v>0</v>
      </c>
      <c r="AW416" s="464">
        <f t="shared" si="270"/>
        <v>0</v>
      </c>
      <c r="AX416" s="464">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464">
        <f t="shared" si="269"/>
        <v>0</v>
      </c>
      <c r="AW417" s="464">
        <f t="shared" si="270"/>
        <v>0</v>
      </c>
      <c r="AX417" s="464">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464">
        <f t="shared" si="269"/>
        <v>0</v>
      </c>
      <c r="AW418" s="464">
        <f t="shared" si="270"/>
        <v>0</v>
      </c>
      <c r="AX418" s="464">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464">
        <f t="shared" si="269"/>
        <v>0</v>
      </c>
      <c r="AW419" s="464">
        <f t="shared" si="270"/>
        <v>0</v>
      </c>
      <c r="AX419" s="464">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464">
        <f t="shared" si="269"/>
        <v>0</v>
      </c>
      <c r="AW420" s="464">
        <f t="shared" si="270"/>
        <v>0</v>
      </c>
      <c r="AX420" s="464">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464">
        <f t="shared" si="269"/>
        <v>0</v>
      </c>
      <c r="AW421" s="464">
        <f t="shared" si="270"/>
        <v>0</v>
      </c>
      <c r="AX421" s="464">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464">
        <f t="shared" si="269"/>
        <v>0</v>
      </c>
      <c r="AW422" s="464">
        <f t="shared" si="270"/>
        <v>0</v>
      </c>
      <c r="AX422" s="464">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464">
        <f t="shared" si="269"/>
        <v>0</v>
      </c>
      <c r="AW423" s="464">
        <f t="shared" si="270"/>
        <v>0</v>
      </c>
      <c r="AX423" s="464">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464">
        <f t="shared" si="269"/>
        <v>0</v>
      </c>
      <c r="AW424" s="464">
        <f t="shared" si="270"/>
        <v>0</v>
      </c>
      <c r="AX424" s="464">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464">
        <f t="shared" si="269"/>
        <v>0</v>
      </c>
      <c r="AW425" s="464">
        <f t="shared" si="270"/>
        <v>0</v>
      </c>
      <c r="AX425" s="464">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464">
        <f t="shared" si="269"/>
        <v>0</v>
      </c>
      <c r="AW426" s="464">
        <f t="shared" si="270"/>
        <v>0</v>
      </c>
      <c r="AX426" s="464">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464">
        <f t="shared" si="269"/>
        <v>0</v>
      </c>
      <c r="AW427" s="464">
        <f t="shared" si="270"/>
        <v>0</v>
      </c>
      <c r="AX427" s="464">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464">
        <f t="shared" si="269"/>
        <v>0</v>
      </c>
      <c r="AW428" s="464">
        <f t="shared" si="270"/>
        <v>0</v>
      </c>
      <c r="AX428" s="464">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464">
        <f t="shared" si="269"/>
        <v>0</v>
      </c>
      <c r="AW429" s="464">
        <f t="shared" si="270"/>
        <v>0</v>
      </c>
      <c r="AX429" s="464">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464">
        <f t="shared" si="269"/>
        <v>0</v>
      </c>
      <c r="AW430" s="464">
        <f t="shared" si="270"/>
        <v>0</v>
      </c>
      <c r="AX430" s="464">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464">
        <f t="shared" si="269"/>
        <v>0</v>
      </c>
      <c r="AW431" s="464">
        <f t="shared" si="270"/>
        <v>0</v>
      </c>
      <c r="AX431" s="464">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464">
        <f t="shared" si="269"/>
        <v>0</v>
      </c>
      <c r="AW432" s="464">
        <f t="shared" si="270"/>
        <v>0</v>
      </c>
      <c r="AX432" s="464">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464">
        <f t="shared" si="269"/>
        <v>0</v>
      </c>
      <c r="AW433" s="464">
        <f t="shared" si="270"/>
        <v>0</v>
      </c>
      <c r="AX433" s="464">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464">
        <f t="shared" si="269"/>
        <v>0</v>
      </c>
      <c r="AW434" s="464">
        <f t="shared" si="270"/>
        <v>0</v>
      </c>
      <c r="AX434" s="464">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464">
        <f t="shared" si="269"/>
        <v>0</v>
      </c>
      <c r="AW435" s="464">
        <f t="shared" si="270"/>
        <v>0</v>
      </c>
      <c r="AX435" s="464">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464">
        <f t="shared" si="269"/>
        <v>0</v>
      </c>
      <c r="AW436" s="464">
        <f t="shared" si="270"/>
        <v>0</v>
      </c>
      <c r="AX436" s="464">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464">
        <f t="shared" si="269"/>
        <v>0</v>
      </c>
      <c r="AW437" s="464">
        <f t="shared" si="270"/>
        <v>0</v>
      </c>
      <c r="AX437" s="464">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464">
        <f t="shared" si="269"/>
        <v>0</v>
      </c>
      <c r="AW438" s="464">
        <f t="shared" si="270"/>
        <v>0</v>
      </c>
      <c r="AX438" s="464">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464">
        <f t="shared" si="269"/>
        <v>0</v>
      </c>
      <c r="AW439" s="464">
        <f t="shared" si="270"/>
        <v>0</v>
      </c>
      <c r="AX439" s="464">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464">
        <f t="shared" si="269"/>
        <v>0</v>
      </c>
      <c r="AW440" s="464">
        <f t="shared" si="270"/>
        <v>0</v>
      </c>
      <c r="AX440" s="464">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464">
        <f t="shared" si="269"/>
        <v>0</v>
      </c>
      <c r="AW441" s="464">
        <f t="shared" si="270"/>
        <v>0</v>
      </c>
      <c r="AX441" s="464">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464">
        <f t="shared" si="269"/>
        <v>0</v>
      </c>
      <c r="AW442" s="464">
        <f t="shared" si="270"/>
        <v>0</v>
      </c>
      <c r="AX442" s="464">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464">
        <f t="shared" si="269"/>
        <v>0</v>
      </c>
      <c r="AW443" s="464">
        <f t="shared" si="270"/>
        <v>0</v>
      </c>
      <c r="AX443" s="464">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464">
        <f t="shared" si="269"/>
        <v>0</v>
      </c>
      <c r="AW444" s="464">
        <f t="shared" si="270"/>
        <v>0</v>
      </c>
      <c r="AX444" s="464">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464">
        <f t="shared" si="269"/>
        <v>0</v>
      </c>
      <c r="AW445" s="464">
        <f t="shared" si="270"/>
        <v>0</v>
      </c>
      <c r="AX445" s="464">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464">
        <f t="shared" si="269"/>
        <v>0</v>
      </c>
      <c r="AW446" s="464">
        <f t="shared" si="270"/>
        <v>0</v>
      </c>
      <c r="AX446" s="464">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464">
        <f t="shared" si="269"/>
        <v>0</v>
      </c>
      <c r="AW447" s="464">
        <f t="shared" si="270"/>
        <v>0</v>
      </c>
      <c r="AX447" s="464">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464">
        <f t="shared" si="269"/>
        <v>0</v>
      </c>
      <c r="AW448" s="464">
        <f t="shared" si="270"/>
        <v>0</v>
      </c>
      <c r="AX448" s="464">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464">
        <f t="shared" si="269"/>
        <v>0</v>
      </c>
      <c r="AW449" s="464">
        <f t="shared" si="270"/>
        <v>0</v>
      </c>
      <c r="AX449" s="464">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464">
        <f t="shared" si="269"/>
        <v>0</v>
      </c>
      <c r="AW450" s="464">
        <f t="shared" si="270"/>
        <v>0</v>
      </c>
      <c r="AX450" s="464">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464">
        <f t="shared" si="269"/>
        <v>0</v>
      </c>
      <c r="AW451" s="464">
        <f t="shared" si="270"/>
        <v>0</v>
      </c>
      <c r="AX451" s="464">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464">
        <f t="shared" si="269"/>
        <v>0</v>
      </c>
      <c r="AW452" s="464">
        <f t="shared" si="270"/>
        <v>0</v>
      </c>
      <c r="AX452" s="464">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464">
        <f t="shared" si="269"/>
        <v>0</v>
      </c>
      <c r="AW453" s="464">
        <f t="shared" si="270"/>
        <v>0</v>
      </c>
      <c r="AX453" s="464">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464">
        <f t="shared" si="269"/>
        <v>0</v>
      </c>
      <c r="AW454" s="464">
        <f t="shared" si="270"/>
        <v>0</v>
      </c>
      <c r="AX454" s="464">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464">
        <f t="shared" si="269"/>
        <v>0</v>
      </c>
      <c r="AW455" s="464">
        <f t="shared" si="270"/>
        <v>0</v>
      </c>
      <c r="AX455" s="464">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464">
        <f t="shared" si="269"/>
        <v>0</v>
      </c>
      <c r="AW456" s="464">
        <f t="shared" si="270"/>
        <v>0</v>
      </c>
      <c r="AX456" s="464">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464">
        <f t="shared" si="269"/>
        <v>0</v>
      </c>
      <c r="AW457" s="464">
        <f t="shared" si="270"/>
        <v>0</v>
      </c>
      <c r="AX457" s="464">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464">
        <f t="shared" si="269"/>
        <v>0</v>
      </c>
      <c r="AW458" s="464">
        <f t="shared" si="270"/>
        <v>0</v>
      </c>
      <c r="AX458" s="464">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464">
        <f t="shared" si="269"/>
        <v>0</v>
      </c>
      <c r="AW459" s="464">
        <f t="shared" si="270"/>
        <v>0</v>
      </c>
      <c r="AX459" s="464">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464">
        <f t="shared" si="269"/>
        <v>0</v>
      </c>
      <c r="AW460" s="464">
        <f t="shared" si="270"/>
        <v>0</v>
      </c>
      <c r="AX460" s="464">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464">
        <f t="shared" si="269"/>
        <v>0</v>
      </c>
      <c r="AW461" s="464">
        <f t="shared" si="270"/>
        <v>0</v>
      </c>
      <c r="AX461" s="464">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464">
        <f t="shared" si="269"/>
        <v>0</v>
      </c>
      <c r="AW462" s="464">
        <f t="shared" si="270"/>
        <v>0</v>
      </c>
      <c r="AX462" s="464">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464">
        <f t="shared" si="269"/>
        <v>0</v>
      </c>
      <c r="AW463" s="464">
        <f t="shared" si="270"/>
        <v>0</v>
      </c>
      <c r="AX463" s="464">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464">
        <f t="shared" si="269"/>
        <v>0</v>
      </c>
      <c r="AW464" s="464">
        <f t="shared" si="270"/>
        <v>0</v>
      </c>
      <c r="AX464" s="464">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464">
        <f t="shared" si="269"/>
        <v>0</v>
      </c>
      <c r="AW465" s="464">
        <f t="shared" si="270"/>
        <v>0</v>
      </c>
      <c r="AX465" s="464">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464">
        <f t="shared" si="269"/>
        <v>0</v>
      </c>
      <c r="AW466" s="464">
        <f t="shared" si="270"/>
        <v>0</v>
      </c>
      <c r="AX466" s="464">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464">
        <f t="shared" si="269"/>
        <v>0</v>
      </c>
      <c r="AW467" s="464">
        <f t="shared" si="270"/>
        <v>0</v>
      </c>
      <c r="AX467" s="464">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464">
        <f t="shared" si="269"/>
        <v>0</v>
      </c>
      <c r="AW468" s="464">
        <f t="shared" si="270"/>
        <v>0</v>
      </c>
      <c r="AX468" s="464">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464">
        <f t="shared" si="269"/>
        <v>0</v>
      </c>
      <c r="AW469" s="464">
        <f t="shared" si="270"/>
        <v>0</v>
      </c>
      <c r="AX469" s="464">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464">
        <f t="shared" si="269"/>
        <v>0</v>
      </c>
      <c r="AW470" s="464">
        <f t="shared" si="270"/>
        <v>0</v>
      </c>
      <c r="AX470" s="464">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464">
        <f t="shared" si="269"/>
        <v>0</v>
      </c>
      <c r="AW471" s="464">
        <f t="shared" si="270"/>
        <v>0</v>
      </c>
      <c r="AX471" s="464">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464">
        <f t="shared" si="269"/>
        <v>0</v>
      </c>
      <c r="AW472" s="464">
        <f t="shared" si="270"/>
        <v>0</v>
      </c>
      <c r="AX472" s="464">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464">
        <f t="shared" si="269"/>
        <v>0</v>
      </c>
      <c r="AW473" s="464">
        <f t="shared" si="270"/>
        <v>0</v>
      </c>
      <c r="AX473" s="464">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464">
        <f t="shared" si="269"/>
        <v>0</v>
      </c>
      <c r="AW474" s="464">
        <f t="shared" si="270"/>
        <v>0</v>
      </c>
      <c r="AX474" s="464">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464">
        <f t="shared" si="269"/>
        <v>0</v>
      </c>
      <c r="AW475" s="464">
        <f t="shared" si="270"/>
        <v>0</v>
      </c>
      <c r="AX475" s="464">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464">
        <f t="shared" si="269"/>
        <v>0</v>
      </c>
      <c r="AW476" s="464">
        <f t="shared" si="270"/>
        <v>0</v>
      </c>
      <c r="AX476" s="464">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464">
        <f t="shared" si="269"/>
        <v>0</v>
      </c>
      <c r="AW477" s="464">
        <f t="shared" si="270"/>
        <v>0</v>
      </c>
      <c r="AX477" s="464">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464">
        <f t="shared" si="269"/>
        <v>0</v>
      </c>
      <c r="AW478" s="464">
        <f t="shared" si="270"/>
        <v>0</v>
      </c>
      <c r="AX478" s="464">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464">
        <f t="shared" si="269"/>
        <v>0</v>
      </c>
      <c r="AW479" s="464">
        <f t="shared" si="270"/>
        <v>0</v>
      </c>
      <c r="AX479" s="464">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464">
        <f t="shared" si="269"/>
        <v>0</v>
      </c>
      <c r="AW480" s="464">
        <f t="shared" si="270"/>
        <v>0</v>
      </c>
      <c r="AX480" s="464">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464">
        <f t="shared" ref="AV481:AV505" si="320">A481</f>
        <v>0</v>
      </c>
      <c r="AW481" s="464">
        <f t="shared" ref="AW481:AW505" si="321">B481</f>
        <v>0</v>
      </c>
      <c r="AX481" s="464">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464">
        <f t="shared" si="320"/>
        <v>0</v>
      </c>
      <c r="AW482" s="464">
        <f t="shared" si="321"/>
        <v>0</v>
      </c>
      <c r="AX482" s="464">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464">
        <f t="shared" si="320"/>
        <v>0</v>
      </c>
      <c r="AW483" s="464">
        <f t="shared" si="321"/>
        <v>0</v>
      </c>
      <c r="AX483" s="464">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464">
        <f t="shared" si="320"/>
        <v>0</v>
      </c>
      <c r="AW484" s="464">
        <f t="shared" si="321"/>
        <v>0</v>
      </c>
      <c r="AX484" s="464">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464">
        <f t="shared" si="320"/>
        <v>0</v>
      </c>
      <c r="AW485" s="464">
        <f t="shared" si="321"/>
        <v>0</v>
      </c>
      <c r="AX485" s="464">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464">
        <f t="shared" si="320"/>
        <v>0</v>
      </c>
      <c r="AW486" s="464">
        <f t="shared" si="321"/>
        <v>0</v>
      </c>
      <c r="AX486" s="464">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464">
        <f t="shared" si="320"/>
        <v>0</v>
      </c>
      <c r="AW487" s="464">
        <f t="shared" si="321"/>
        <v>0</v>
      </c>
      <c r="AX487" s="464">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464">
        <f t="shared" si="320"/>
        <v>0</v>
      </c>
      <c r="AW488" s="464">
        <f t="shared" si="321"/>
        <v>0</v>
      </c>
      <c r="AX488" s="464">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464">
        <f t="shared" si="320"/>
        <v>0</v>
      </c>
      <c r="AW489" s="464">
        <f t="shared" si="321"/>
        <v>0</v>
      </c>
      <c r="AX489" s="464">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464">
        <f t="shared" si="320"/>
        <v>0</v>
      </c>
      <c r="AW490" s="464">
        <f t="shared" si="321"/>
        <v>0</v>
      </c>
      <c r="AX490" s="464">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464">
        <f t="shared" si="320"/>
        <v>0</v>
      </c>
      <c r="AW491" s="464">
        <f t="shared" si="321"/>
        <v>0</v>
      </c>
      <c r="AX491" s="464">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464">
        <f t="shared" si="320"/>
        <v>0</v>
      </c>
      <c r="AW492" s="464">
        <f t="shared" si="321"/>
        <v>0</v>
      </c>
      <c r="AX492" s="464">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464">
        <f t="shared" si="320"/>
        <v>0</v>
      </c>
      <c r="AW493" s="464">
        <f t="shared" si="321"/>
        <v>0</v>
      </c>
      <c r="AX493" s="464">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464">
        <f t="shared" si="320"/>
        <v>0</v>
      </c>
      <c r="AW494" s="464">
        <f t="shared" si="321"/>
        <v>0</v>
      </c>
      <c r="AX494" s="464">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464">
        <f t="shared" si="320"/>
        <v>0</v>
      </c>
      <c r="AW495" s="464">
        <f t="shared" si="321"/>
        <v>0</v>
      </c>
      <c r="AX495" s="464">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464">
        <f t="shared" si="320"/>
        <v>0</v>
      </c>
      <c r="AW496" s="464">
        <f t="shared" si="321"/>
        <v>0</v>
      </c>
      <c r="AX496" s="464">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464">
        <f t="shared" si="320"/>
        <v>0</v>
      </c>
      <c r="AW497" s="464">
        <f t="shared" si="321"/>
        <v>0</v>
      </c>
      <c r="AX497" s="464">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464">
        <f t="shared" si="320"/>
        <v>0</v>
      </c>
      <c r="AW498" s="464">
        <f t="shared" si="321"/>
        <v>0</v>
      </c>
      <c r="AX498" s="464">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464">
        <f t="shared" si="320"/>
        <v>0</v>
      </c>
      <c r="AW499" s="464">
        <f t="shared" si="321"/>
        <v>0</v>
      </c>
      <c r="AX499" s="464">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464">
        <f t="shared" si="320"/>
        <v>0</v>
      </c>
      <c r="AW500" s="464">
        <f t="shared" si="321"/>
        <v>0</v>
      </c>
      <c r="AX500" s="464">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464">
        <f t="shared" si="320"/>
        <v>0</v>
      </c>
      <c r="AW501" s="464">
        <f t="shared" si="321"/>
        <v>0</v>
      </c>
      <c r="AX501" s="464">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464">
        <f t="shared" si="320"/>
        <v>0</v>
      </c>
      <c r="AW502" s="464">
        <f t="shared" si="321"/>
        <v>0</v>
      </c>
      <c r="AX502" s="464">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464">
        <f t="shared" si="320"/>
        <v>0</v>
      </c>
      <c r="AW503" s="464">
        <f t="shared" si="321"/>
        <v>0</v>
      </c>
      <c r="AX503" s="464">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464">
        <f t="shared" si="320"/>
        <v>0</v>
      </c>
      <c r="AW504" s="464">
        <f t="shared" si="321"/>
        <v>0</v>
      </c>
      <c r="AX504" s="464">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464">
        <f t="shared" si="320"/>
        <v>0</v>
      </c>
      <c r="AW505" s="464">
        <f t="shared" si="321"/>
        <v>0</v>
      </c>
      <c r="AX505" s="464">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464">
        <f t="shared" ref="AV506:AV537" si="324">A506</f>
        <v>0</v>
      </c>
      <c r="AW506" s="464">
        <f t="shared" ref="AW506:AW537" si="325">B506</f>
        <v>0</v>
      </c>
      <c r="AX506" s="464">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464">
        <f t="shared" si="324"/>
        <v>0</v>
      </c>
      <c r="AW507" s="464">
        <f t="shared" si="325"/>
        <v>0</v>
      </c>
      <c r="AX507" s="464">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464">
        <f t="shared" si="324"/>
        <v>0</v>
      </c>
      <c r="AW508" s="464">
        <f t="shared" si="325"/>
        <v>0</v>
      </c>
      <c r="AX508" s="464">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464">
        <f t="shared" si="324"/>
        <v>0</v>
      </c>
      <c r="AW509" s="464">
        <f t="shared" si="325"/>
        <v>0</v>
      </c>
      <c r="AX509" s="464">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464">
        <f t="shared" si="324"/>
        <v>0</v>
      </c>
      <c r="AW510" s="464">
        <f t="shared" si="325"/>
        <v>0</v>
      </c>
      <c r="AX510" s="464">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464">
        <f t="shared" si="324"/>
        <v>0</v>
      </c>
      <c r="AW511" s="464">
        <f t="shared" si="325"/>
        <v>0</v>
      </c>
      <c r="AX511" s="464">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464">
        <f t="shared" si="324"/>
        <v>0</v>
      </c>
      <c r="AW512" s="464">
        <f t="shared" si="325"/>
        <v>0</v>
      </c>
      <c r="AX512" s="464">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464">
        <f t="shared" si="324"/>
        <v>0</v>
      </c>
      <c r="AW513" s="464">
        <f t="shared" si="325"/>
        <v>0</v>
      </c>
      <c r="AX513" s="464">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464">
        <f t="shared" si="324"/>
        <v>0</v>
      </c>
      <c r="AW514" s="464">
        <f t="shared" si="325"/>
        <v>0</v>
      </c>
      <c r="AX514" s="464">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464">
        <f t="shared" si="324"/>
        <v>0</v>
      </c>
      <c r="AW515" s="464">
        <f t="shared" si="325"/>
        <v>0</v>
      </c>
      <c r="AX515" s="464">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464">
        <f t="shared" si="324"/>
        <v>0</v>
      </c>
      <c r="AW516" s="464">
        <f t="shared" si="325"/>
        <v>0</v>
      </c>
      <c r="AX516" s="464">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464">
        <f t="shared" si="324"/>
        <v>0</v>
      </c>
      <c r="AW517" s="464">
        <f t="shared" si="325"/>
        <v>0</v>
      </c>
      <c r="AX517" s="464">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464">
        <f t="shared" si="324"/>
        <v>0</v>
      </c>
      <c r="AW518" s="464">
        <f t="shared" si="325"/>
        <v>0</v>
      </c>
      <c r="AX518" s="464">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464">
        <f t="shared" si="324"/>
        <v>0</v>
      </c>
      <c r="AW519" s="464">
        <f t="shared" si="325"/>
        <v>0</v>
      </c>
      <c r="AX519" s="464">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464">
        <f t="shared" si="324"/>
        <v>0</v>
      </c>
      <c r="AW520" s="464">
        <f t="shared" si="325"/>
        <v>0</v>
      </c>
      <c r="AX520" s="464">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464">
        <f t="shared" si="324"/>
        <v>0</v>
      </c>
      <c r="AW521" s="464">
        <f t="shared" si="325"/>
        <v>0</v>
      </c>
      <c r="AX521" s="464">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464">
        <f t="shared" si="324"/>
        <v>0</v>
      </c>
      <c r="AW522" s="464">
        <f t="shared" si="325"/>
        <v>0</v>
      </c>
      <c r="AX522" s="464">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464">
        <f t="shared" si="324"/>
        <v>0</v>
      </c>
      <c r="AW523" s="464">
        <f t="shared" si="325"/>
        <v>0</v>
      </c>
      <c r="AX523" s="464">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464">
        <f t="shared" si="324"/>
        <v>0</v>
      </c>
      <c r="AW524" s="464">
        <f t="shared" si="325"/>
        <v>0</v>
      </c>
      <c r="AX524" s="464">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464">
        <f t="shared" si="324"/>
        <v>0</v>
      </c>
      <c r="AW525" s="464">
        <f t="shared" si="325"/>
        <v>0</v>
      </c>
      <c r="AX525" s="464">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464">
        <f t="shared" si="324"/>
        <v>0</v>
      </c>
      <c r="AW526" s="464">
        <f t="shared" si="325"/>
        <v>0</v>
      </c>
      <c r="AX526" s="464">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464">
        <f t="shared" si="324"/>
        <v>0</v>
      </c>
      <c r="AW527" s="464">
        <f t="shared" si="325"/>
        <v>0</v>
      </c>
      <c r="AX527" s="464">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464">
        <f t="shared" si="324"/>
        <v>0</v>
      </c>
      <c r="AW528" s="464">
        <f t="shared" si="325"/>
        <v>0</v>
      </c>
      <c r="AX528" s="464">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464">
        <f t="shared" si="324"/>
        <v>0</v>
      </c>
      <c r="AW529" s="464">
        <f t="shared" si="325"/>
        <v>0</v>
      </c>
      <c r="AX529" s="464">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464">
        <f t="shared" si="324"/>
        <v>0</v>
      </c>
      <c r="AW530" s="464">
        <f t="shared" si="325"/>
        <v>0</v>
      </c>
      <c r="AX530" s="464">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464">
        <f t="shared" si="324"/>
        <v>0</v>
      </c>
      <c r="AW531" s="464">
        <f t="shared" si="325"/>
        <v>0</v>
      </c>
      <c r="AX531" s="464">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464">
        <f t="shared" si="324"/>
        <v>0</v>
      </c>
      <c r="AW532" s="464">
        <f t="shared" si="325"/>
        <v>0</v>
      </c>
      <c r="AX532" s="464">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464">
        <f t="shared" si="324"/>
        <v>0</v>
      </c>
      <c r="AW533" s="464">
        <f t="shared" si="325"/>
        <v>0</v>
      </c>
      <c r="AX533" s="464">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464">
        <f t="shared" si="324"/>
        <v>0</v>
      </c>
      <c r="AW534" s="464">
        <f t="shared" si="325"/>
        <v>0</v>
      </c>
      <c r="AX534" s="464">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464">
        <f t="shared" si="324"/>
        <v>0</v>
      </c>
      <c r="AW535" s="464">
        <f t="shared" si="325"/>
        <v>0</v>
      </c>
      <c r="AX535" s="464">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464">
        <f t="shared" si="324"/>
        <v>0</v>
      </c>
      <c r="AW536" s="464">
        <f t="shared" si="325"/>
        <v>0</v>
      </c>
      <c r="AX536" s="464">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464">
        <f t="shared" si="324"/>
        <v>0</v>
      </c>
      <c r="AW537" s="464">
        <f t="shared" si="325"/>
        <v>0</v>
      </c>
      <c r="AX537" s="464">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464">
        <f t="shared" ref="AV538:AV572" si="356">A538</f>
        <v>0</v>
      </c>
      <c r="AW538" s="464">
        <f t="shared" ref="AW538:AW572" si="357">B538</f>
        <v>0</v>
      </c>
      <c r="AX538" s="464">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464">
        <f t="shared" si="356"/>
        <v>0</v>
      </c>
      <c r="AW539" s="464">
        <f t="shared" si="357"/>
        <v>0</v>
      </c>
      <c r="AX539" s="464">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464">
        <f t="shared" si="356"/>
        <v>0</v>
      </c>
      <c r="AW540" s="464">
        <f t="shared" si="357"/>
        <v>0</v>
      </c>
      <c r="AX540" s="464">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464">
        <f t="shared" si="356"/>
        <v>0</v>
      </c>
      <c r="AW541" s="464">
        <f t="shared" si="357"/>
        <v>0</v>
      </c>
      <c r="AX541" s="464">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464">
        <f t="shared" si="356"/>
        <v>0</v>
      </c>
      <c r="AW542" s="464">
        <f t="shared" si="357"/>
        <v>0</v>
      </c>
      <c r="AX542" s="464">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464">
        <f t="shared" si="356"/>
        <v>0</v>
      </c>
      <c r="AW543" s="464">
        <f t="shared" si="357"/>
        <v>0</v>
      </c>
      <c r="AX543" s="464">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464">
        <f t="shared" si="356"/>
        <v>0</v>
      </c>
      <c r="AW544" s="464">
        <f t="shared" si="357"/>
        <v>0</v>
      </c>
      <c r="AX544" s="464">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464">
        <f t="shared" si="356"/>
        <v>0</v>
      </c>
      <c r="AW545" s="464">
        <f t="shared" si="357"/>
        <v>0</v>
      </c>
      <c r="AX545" s="464">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464">
        <f t="shared" si="356"/>
        <v>0</v>
      </c>
      <c r="AW546" s="464">
        <f t="shared" si="357"/>
        <v>0</v>
      </c>
      <c r="AX546" s="464">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464">
        <f t="shared" si="356"/>
        <v>0</v>
      </c>
      <c r="AW547" s="464">
        <f t="shared" si="357"/>
        <v>0</v>
      </c>
      <c r="AX547" s="464">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464">
        <f t="shared" si="356"/>
        <v>0</v>
      </c>
      <c r="AW548" s="464">
        <f t="shared" si="357"/>
        <v>0</v>
      </c>
      <c r="AX548" s="464">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464">
        <f t="shared" si="356"/>
        <v>0</v>
      </c>
      <c r="AW549" s="464">
        <f t="shared" si="357"/>
        <v>0</v>
      </c>
      <c r="AX549" s="464">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464">
        <f t="shared" si="356"/>
        <v>0</v>
      </c>
      <c r="AW550" s="464">
        <f t="shared" si="357"/>
        <v>0</v>
      </c>
      <c r="AX550" s="464">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464">
        <f t="shared" si="356"/>
        <v>0</v>
      </c>
      <c r="AW551" s="464">
        <f t="shared" si="357"/>
        <v>0</v>
      </c>
      <c r="AX551" s="464">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464">
        <f t="shared" si="356"/>
        <v>0</v>
      </c>
      <c r="AW552" s="464">
        <f t="shared" si="357"/>
        <v>0</v>
      </c>
      <c r="AX552" s="464">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464">
        <f t="shared" si="356"/>
        <v>0</v>
      </c>
      <c r="AW553" s="464">
        <f t="shared" si="357"/>
        <v>0</v>
      </c>
      <c r="AX553" s="464">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464">
        <f t="shared" si="356"/>
        <v>0</v>
      </c>
      <c r="AW554" s="464">
        <f t="shared" si="357"/>
        <v>0</v>
      </c>
      <c r="AX554" s="464">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464">
        <f t="shared" si="356"/>
        <v>0</v>
      </c>
      <c r="AW555" s="464">
        <f t="shared" si="357"/>
        <v>0</v>
      </c>
      <c r="AX555" s="464">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464">
        <f t="shared" si="356"/>
        <v>0</v>
      </c>
      <c r="AW556" s="464">
        <f t="shared" si="357"/>
        <v>0</v>
      </c>
      <c r="AX556" s="464">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464">
        <f t="shared" si="356"/>
        <v>0</v>
      </c>
      <c r="AW557" s="464">
        <f t="shared" si="357"/>
        <v>0</v>
      </c>
      <c r="AX557" s="464">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464">
        <f t="shared" si="356"/>
        <v>0</v>
      </c>
      <c r="AW558" s="464">
        <f t="shared" si="357"/>
        <v>0</v>
      </c>
      <c r="AX558" s="464">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464">
        <f t="shared" si="356"/>
        <v>0</v>
      </c>
      <c r="AW559" s="464">
        <f t="shared" si="357"/>
        <v>0</v>
      </c>
      <c r="AX559" s="464">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464">
        <f t="shared" si="356"/>
        <v>0</v>
      </c>
      <c r="AW560" s="464">
        <f t="shared" si="357"/>
        <v>0</v>
      </c>
      <c r="AX560" s="464">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464">
        <f t="shared" si="356"/>
        <v>0</v>
      </c>
      <c r="AW561" s="464">
        <f t="shared" si="357"/>
        <v>0</v>
      </c>
      <c r="AX561" s="464">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464">
        <f t="shared" si="356"/>
        <v>0</v>
      </c>
      <c r="AW562" s="464">
        <f t="shared" si="357"/>
        <v>0</v>
      </c>
      <c r="AX562" s="464">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464">
        <f t="shared" si="356"/>
        <v>0</v>
      </c>
      <c r="AW563" s="464">
        <f t="shared" si="357"/>
        <v>0</v>
      </c>
      <c r="AX563" s="464">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464">
        <f t="shared" si="356"/>
        <v>0</v>
      </c>
      <c r="AW564" s="464">
        <f t="shared" si="357"/>
        <v>0</v>
      </c>
      <c r="AX564" s="464">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464">
        <f t="shared" si="356"/>
        <v>0</v>
      </c>
      <c r="AW565" s="464">
        <f t="shared" si="357"/>
        <v>0</v>
      </c>
      <c r="AX565" s="464">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464">
        <f t="shared" si="356"/>
        <v>0</v>
      </c>
      <c r="AW566" s="464">
        <f t="shared" si="357"/>
        <v>0</v>
      </c>
      <c r="AX566" s="464">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464">
        <f t="shared" si="356"/>
        <v>0</v>
      </c>
      <c r="AW567" s="464">
        <f t="shared" si="357"/>
        <v>0</v>
      </c>
      <c r="AX567" s="464">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464">
        <f t="shared" si="356"/>
        <v>0</v>
      </c>
      <c r="AW568" s="464">
        <f t="shared" si="357"/>
        <v>0</v>
      </c>
      <c r="AX568" s="464">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464">
        <f t="shared" si="356"/>
        <v>0</v>
      </c>
      <c r="AW569" s="464">
        <f t="shared" si="357"/>
        <v>0</v>
      </c>
      <c r="AX569" s="464">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464">
        <f t="shared" si="356"/>
        <v>0</v>
      </c>
      <c r="AW570" s="464">
        <f t="shared" si="357"/>
        <v>0</v>
      </c>
      <c r="AX570" s="464">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464">
        <f t="shared" si="356"/>
        <v>0</v>
      </c>
      <c r="AW571" s="464">
        <f t="shared" si="357"/>
        <v>0</v>
      </c>
      <c r="AX571" s="464">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464">
        <f t="shared" si="356"/>
        <v>0</v>
      </c>
      <c r="AW572" s="464">
        <f t="shared" si="357"/>
        <v>0</v>
      </c>
      <c r="AX572" s="464">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5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O24"/>
  <sheetViews>
    <sheetView workbookViewId="0">
      <selection activeCell="K29" sqref="K29"/>
    </sheetView>
  </sheetViews>
  <sheetFormatPr defaultColWidth="8.75" defaultRowHeight="13.5"/>
  <cols>
    <col min="1" max="1" width="11.375" customWidth="1"/>
    <col min="2" max="2" width="9.5"/>
    <col min="3" max="3" width="11" customWidth="1"/>
    <col min="4" max="4" width="9.5"/>
    <col min="5" max="5" width="12.875"/>
    <col min="6" max="6" width="9.5"/>
    <col min="7" max="7" width="12.875"/>
    <col min="14" max="14" width="12.875" style="3163"/>
    <col min="15" max="15" width="9.875" style="3163" customWidth="1"/>
    <col min="16" max="16" width="12.875"/>
  </cols>
  <sheetData>
    <row r="4" spans="1:14">
      <c r="A4" s="3721" t="s">
        <v>540</v>
      </c>
      <c r="B4" s="3721" t="s">
        <v>541</v>
      </c>
      <c r="C4" s="3721" t="s">
        <v>523</v>
      </c>
      <c r="D4" s="3721"/>
      <c r="E4" s="3721"/>
      <c r="F4" s="3721"/>
      <c r="G4" s="3721"/>
      <c r="H4" s="3721"/>
      <c r="I4" s="3721" t="s">
        <v>542</v>
      </c>
      <c r="J4" s="3721" t="s">
        <v>543</v>
      </c>
      <c r="K4" s="3721"/>
      <c r="L4" s="3721"/>
    </row>
    <row r="5" spans="1:14">
      <c r="A5" s="3721"/>
      <c r="B5" s="3721"/>
      <c r="C5" s="3164" t="s">
        <v>542</v>
      </c>
      <c r="D5" s="3164" t="s">
        <v>544</v>
      </c>
      <c r="E5" s="3164" t="s">
        <v>545</v>
      </c>
      <c r="F5" s="3164" t="s">
        <v>546</v>
      </c>
      <c r="G5" s="3164" t="s">
        <v>547</v>
      </c>
      <c r="H5" s="3164" t="s">
        <v>548</v>
      </c>
      <c r="I5" s="3721"/>
      <c r="J5" s="3164" t="s">
        <v>437</v>
      </c>
      <c r="K5" s="3164" t="s">
        <v>549</v>
      </c>
      <c r="L5" s="3164" t="s">
        <v>548</v>
      </c>
      <c r="N5" s="3163" t="s">
        <v>550</v>
      </c>
    </row>
    <row r="6" spans="1:14">
      <c r="A6" s="3164" t="s">
        <v>551</v>
      </c>
      <c r="B6" s="3164">
        <f>C6+I6</f>
        <v>5391.23</v>
      </c>
      <c r="C6" s="3164">
        <f>SUM(D6:H6)</f>
        <v>3902.01</v>
      </c>
      <c r="D6" s="3164">
        <v>3781.59</v>
      </c>
      <c r="E6" s="3164"/>
      <c r="F6" s="3164"/>
      <c r="G6" s="3164"/>
      <c r="H6" s="3164">
        <v>120.42</v>
      </c>
      <c r="I6" s="3164">
        <f>SUM(J6:L6)</f>
        <v>1489.22</v>
      </c>
      <c r="J6" s="3164"/>
      <c r="K6" s="3164">
        <v>996.94</v>
      </c>
      <c r="L6" s="3164">
        <v>492.28</v>
      </c>
      <c r="N6" s="3163">
        <v>1.4</v>
      </c>
    </row>
    <row r="7" spans="1:14">
      <c r="A7" s="3164" t="s">
        <v>552</v>
      </c>
      <c r="B7" s="3164">
        <f t="shared" ref="B7:B12" si="0">C7+I7</f>
        <v>26.4</v>
      </c>
      <c r="C7" s="3164">
        <f t="shared" ref="C7:C12" si="1">SUM(D7:H7)</f>
        <v>26.4</v>
      </c>
      <c r="D7" s="3164"/>
      <c r="E7" s="3164"/>
      <c r="F7" s="3164"/>
      <c r="G7" s="3164"/>
      <c r="H7" s="3164">
        <v>26.4</v>
      </c>
      <c r="I7" s="3164">
        <f t="shared" ref="I7:I12" si="2">SUM(J7:L7)</f>
        <v>0</v>
      </c>
      <c r="J7" s="3164"/>
      <c r="K7" s="3164"/>
      <c r="L7" s="3164"/>
    </row>
    <row r="8" spans="1:14">
      <c r="A8" s="3164" t="s">
        <v>553</v>
      </c>
      <c r="B8" s="3164">
        <f t="shared" si="0"/>
        <v>72</v>
      </c>
      <c r="C8" s="3164">
        <f t="shared" si="1"/>
        <v>72</v>
      </c>
      <c r="D8" s="3164"/>
      <c r="E8" s="3164"/>
      <c r="F8" s="3164"/>
      <c r="G8" s="3164"/>
      <c r="H8" s="3164">
        <v>72</v>
      </c>
      <c r="I8" s="3164">
        <f t="shared" si="2"/>
        <v>0</v>
      </c>
      <c r="J8" s="3164"/>
      <c r="K8" s="3164"/>
      <c r="L8" s="3164"/>
    </row>
    <row r="9" spans="1:14">
      <c r="A9" s="3164" t="s">
        <v>554</v>
      </c>
      <c r="B9" s="3164">
        <f t="shared" si="0"/>
        <v>34802.480000000003</v>
      </c>
      <c r="C9" s="3164">
        <f t="shared" si="1"/>
        <v>31089.439999999999</v>
      </c>
      <c r="D9" s="3164"/>
      <c r="E9" s="3164">
        <v>3164.18</v>
      </c>
      <c r="F9" s="3164">
        <v>24293.03</v>
      </c>
      <c r="G9" s="3164"/>
      <c r="H9" s="3164">
        <v>3632.23</v>
      </c>
      <c r="I9" s="3164">
        <f t="shared" si="2"/>
        <v>3713.04</v>
      </c>
      <c r="J9" s="3164">
        <v>3501.76</v>
      </c>
      <c r="K9" s="3164"/>
      <c r="L9" s="3164">
        <v>211.28</v>
      </c>
      <c r="N9" s="3163">
        <v>1.7</v>
      </c>
    </row>
    <row r="10" spans="1:14">
      <c r="A10" s="3164" t="s">
        <v>555</v>
      </c>
      <c r="B10" s="3164">
        <f t="shared" si="0"/>
        <v>5727.5</v>
      </c>
      <c r="C10" s="3164">
        <f t="shared" si="1"/>
        <v>4390.7</v>
      </c>
      <c r="D10" s="3164"/>
      <c r="E10" s="3164"/>
      <c r="F10" s="3164"/>
      <c r="G10" s="3164"/>
      <c r="H10" s="3164">
        <v>4390.7</v>
      </c>
      <c r="I10" s="3164">
        <f t="shared" si="2"/>
        <v>1336.8</v>
      </c>
      <c r="J10" s="3164"/>
      <c r="K10" s="3164"/>
      <c r="L10" s="3164">
        <v>1336.8</v>
      </c>
    </row>
    <row r="11" spans="1:14">
      <c r="A11" s="3164" t="s">
        <v>556</v>
      </c>
      <c r="B11" s="3164">
        <f t="shared" si="0"/>
        <v>171.2</v>
      </c>
      <c r="C11" s="3164">
        <f t="shared" si="1"/>
        <v>171.2</v>
      </c>
      <c r="D11" s="3164"/>
      <c r="E11" s="3164"/>
      <c r="F11" s="3164"/>
      <c r="G11" s="3164">
        <v>171.2</v>
      </c>
      <c r="H11" s="3164"/>
      <c r="I11" s="3164">
        <f t="shared" si="2"/>
        <v>0</v>
      </c>
      <c r="J11" s="3164"/>
      <c r="K11" s="3164"/>
      <c r="L11" s="3164"/>
      <c r="N11" s="3163">
        <v>1.3</v>
      </c>
    </row>
    <row r="12" spans="1:14">
      <c r="A12" s="3164" t="s">
        <v>557</v>
      </c>
      <c r="B12" s="3164">
        <f t="shared" si="0"/>
        <v>303.88</v>
      </c>
      <c r="C12" s="3164">
        <f t="shared" si="1"/>
        <v>303.88</v>
      </c>
      <c r="D12" s="3164"/>
      <c r="E12" s="3164"/>
      <c r="F12" s="3164"/>
      <c r="G12" s="3164">
        <v>303.88</v>
      </c>
      <c r="H12" s="3164"/>
      <c r="I12" s="3164">
        <f t="shared" si="2"/>
        <v>0</v>
      </c>
      <c r="J12" s="3164"/>
      <c r="K12" s="3164"/>
      <c r="L12" s="3164"/>
      <c r="N12" s="3163">
        <v>1.3</v>
      </c>
    </row>
    <row r="13" spans="1:14">
      <c r="A13" s="3164" t="s">
        <v>541</v>
      </c>
      <c r="B13" s="3164">
        <f>SUM(B6:B12)</f>
        <v>46494.69</v>
      </c>
      <c r="C13" s="3164">
        <f t="shared" ref="C13:L13" si="3">SUM(C6:C12)</f>
        <v>39955.629999999997</v>
      </c>
      <c r="D13" s="3164">
        <f t="shared" si="3"/>
        <v>3781.59</v>
      </c>
      <c r="E13" s="3164">
        <f t="shared" si="3"/>
        <v>3164.18</v>
      </c>
      <c r="F13" s="3164">
        <f t="shared" si="3"/>
        <v>24293.03</v>
      </c>
      <c r="G13" s="3164">
        <f t="shared" si="3"/>
        <v>475.08</v>
      </c>
      <c r="H13" s="3164">
        <f t="shared" si="3"/>
        <v>8241.75</v>
      </c>
      <c r="I13" s="3164">
        <f t="shared" si="3"/>
        <v>6539.06</v>
      </c>
      <c r="J13" s="3164">
        <f t="shared" si="3"/>
        <v>3501.76</v>
      </c>
      <c r="K13" s="3164">
        <f t="shared" si="3"/>
        <v>996.94</v>
      </c>
      <c r="L13" s="3164">
        <f t="shared" si="3"/>
        <v>2040.36</v>
      </c>
      <c r="N13" s="3163">
        <f>C6*N6+C7*N7+C8*N8+C9*N9+C10*N10+C11*N11+C12*N12</f>
        <v>58932.465999999993</v>
      </c>
    </row>
    <row r="14" spans="1:14">
      <c r="N14" s="3163">
        <f>N13/'数据-汇总表'!F19</f>
        <v>1.8582546821770149</v>
      </c>
    </row>
    <row r="15" spans="1:14">
      <c r="D15" t="s">
        <v>558</v>
      </c>
      <c r="E15" t="s">
        <v>559</v>
      </c>
      <c r="G15" t="s">
        <v>560</v>
      </c>
    </row>
    <row r="16" spans="1:14">
      <c r="C16" t="s">
        <v>544</v>
      </c>
      <c r="D16">
        <f>D13</f>
        <v>3781.59</v>
      </c>
      <c r="E16">
        <v>2500</v>
      </c>
      <c r="G16">
        <v>1.4</v>
      </c>
      <c r="I16">
        <v>2500</v>
      </c>
    </row>
    <row r="17" spans="3:9">
      <c r="C17" t="s">
        <v>545</v>
      </c>
      <c r="D17">
        <f>E13</f>
        <v>3164.18</v>
      </c>
      <c r="E17">
        <v>3000</v>
      </c>
      <c r="G17">
        <v>2</v>
      </c>
      <c r="I17">
        <v>3000</v>
      </c>
    </row>
    <row r="18" spans="3:9">
      <c r="C18" t="s">
        <v>546</v>
      </c>
      <c r="D18">
        <f>F13</f>
        <v>24293.03</v>
      </c>
      <c r="E18">
        <v>2800</v>
      </c>
      <c r="G18">
        <v>1.6</v>
      </c>
      <c r="I18">
        <v>2800</v>
      </c>
    </row>
    <row r="19" spans="3:9">
      <c r="C19" t="s">
        <v>547</v>
      </c>
      <c r="D19">
        <f>G13</f>
        <v>475.08</v>
      </c>
      <c r="E19">
        <v>2200</v>
      </c>
      <c r="G19">
        <v>1.3</v>
      </c>
      <c r="I19">
        <v>2200</v>
      </c>
    </row>
    <row r="20" spans="3:9">
      <c r="C20" t="s">
        <v>561</v>
      </c>
      <c r="D20">
        <f>H13+I13</f>
        <v>14780.81</v>
      </c>
      <c r="E20">
        <v>2200</v>
      </c>
      <c r="I20">
        <v>2200</v>
      </c>
    </row>
    <row r="21" spans="3:9">
      <c r="D21">
        <f>SUM(D16:D20)</f>
        <v>46494.69</v>
      </c>
      <c r="E21">
        <f>(D16*E16+D17*E17+D18*E18+D19*E19+D20*E20)/D21</f>
        <v>2592.3381143094002</v>
      </c>
      <c r="F21">
        <f>ROUND((D16*E16+D17*E17+D18*E18+D19*E19+D20*E20)/10000,0)</f>
        <v>12053</v>
      </c>
      <c r="G21">
        <f>(D16*G16+D17*G17+D18*G18+D19*G19)/'数据-汇总表'!F19</f>
        <v>1.6115668596841499</v>
      </c>
    </row>
    <row r="23" spans="3:9">
      <c r="C23" t="s">
        <v>562</v>
      </c>
    </row>
    <row r="24" spans="3:9">
      <c r="C24">
        <f>12760/D21*10000</f>
        <v>2744.3994142126799</v>
      </c>
    </row>
  </sheetData>
  <mergeCells count="5">
    <mergeCell ref="C4:H4"/>
    <mergeCell ref="J4:L4"/>
    <mergeCell ref="A4:A5"/>
    <mergeCell ref="B4:B5"/>
    <mergeCell ref="I4:I5"/>
  </mergeCells>
  <phoneticPr fontId="25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L10" sqref="L10"/>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spans="1:16" ht="18.75">
      <c r="A1" s="2530" t="s">
        <v>563</v>
      </c>
      <c r="B1" s="3076"/>
      <c r="C1" s="3076"/>
      <c r="D1" s="3076"/>
      <c r="E1" s="3076"/>
      <c r="F1" s="3076"/>
      <c r="G1" s="3076"/>
      <c r="H1" s="3076"/>
      <c r="I1" s="3076"/>
      <c r="J1" s="3076"/>
      <c r="K1" s="3076"/>
      <c r="L1" s="3076"/>
      <c r="M1" s="3076"/>
      <c r="N1" s="3076"/>
      <c r="O1" s="3076"/>
      <c r="P1" s="3076"/>
    </row>
    <row r="2" spans="1:16" ht="15">
      <c r="A2" s="3722" t="s">
        <v>564</v>
      </c>
      <c r="B2" s="3722"/>
      <c r="C2" s="3722"/>
      <c r="D2" s="2379" t="s">
        <v>565</v>
      </c>
      <c r="E2" s="3077" t="s">
        <v>566</v>
      </c>
      <c r="F2" s="3078"/>
      <c r="G2" s="3079"/>
      <c r="H2" s="3080"/>
      <c r="I2" s="3137" t="s">
        <v>567</v>
      </c>
      <c r="J2" s="3078"/>
      <c r="K2" s="3078"/>
      <c r="L2" s="3078"/>
      <c r="M2" s="3078"/>
      <c r="N2" s="3078"/>
      <c r="O2" s="3078"/>
      <c r="P2" s="3078"/>
    </row>
    <row r="3" spans="1:16" ht="15">
      <c r="A3" s="3723" t="s">
        <v>568</v>
      </c>
      <c r="B3" s="3723"/>
      <c r="C3" s="3723"/>
      <c r="D3" s="3081">
        <f>'数据-基础表'!AY6</f>
        <v>26650.41</v>
      </c>
      <c r="E3" s="3081">
        <f>'数据-基础表'!AZ5</f>
        <v>46494.69</v>
      </c>
      <c r="F3" s="3078"/>
      <c r="G3" s="2479" t="s">
        <v>569</v>
      </c>
      <c r="H3" s="2475" t="s">
        <v>570</v>
      </c>
      <c r="I3" s="481">
        <f>ROUND('数据-基础表'!B3/'数据-基础表'!A3,2)</f>
        <v>1.74</v>
      </c>
      <c r="J3" s="3078"/>
      <c r="K3" s="3078"/>
      <c r="L3" s="3078"/>
      <c r="M3" s="3078"/>
      <c r="N3" s="3078"/>
      <c r="O3" s="3078"/>
      <c r="P3" s="3078"/>
    </row>
    <row r="4" spans="1:16" ht="15">
      <c r="A4" s="3724"/>
      <c r="B4" s="3725"/>
      <c r="C4" s="3726"/>
      <c r="D4" s="3082" t="s">
        <v>565</v>
      </c>
      <c r="E4" s="3083" t="s">
        <v>566</v>
      </c>
      <c r="F4" s="3078"/>
      <c r="G4" s="3084"/>
      <c r="H4" s="2475" t="s">
        <v>571</v>
      </c>
      <c r="I4" s="481">
        <f>ROUND(SUMIF('数据-基础表'!I9:AS9,"地上",'数据-基础表'!I5:AS5)/'数据-基础表'!A3,2)</f>
        <v>1.5</v>
      </c>
      <c r="J4" s="3078"/>
      <c r="K4" s="3078"/>
      <c r="L4" s="3078"/>
      <c r="M4" s="3078"/>
      <c r="N4" s="3078"/>
      <c r="O4" s="3078"/>
      <c r="P4" s="3078"/>
    </row>
    <row r="5" spans="1:16">
      <c r="A5" s="3085" t="s">
        <v>572</v>
      </c>
      <c r="B5" s="3727" t="s">
        <v>241</v>
      </c>
      <c r="C5" s="3727"/>
      <c r="D5" s="3086">
        <f>ROUND($D$3*E5/$E$3,2)</f>
        <v>0</v>
      </c>
      <c r="E5" s="3087">
        <f>SUMIF('数据-基础表'!$11:$11,"住宅",'数据-基础表'!$5:$5)</f>
        <v>0</v>
      </c>
      <c r="F5" s="3078"/>
      <c r="G5" s="2479" t="s">
        <v>573</v>
      </c>
      <c r="H5" s="2475" t="s">
        <v>570</v>
      </c>
      <c r="I5" s="481">
        <f>ROUND(E31/D31,2)</f>
        <v>1.74</v>
      </c>
      <c r="J5" s="3078"/>
      <c r="K5" s="3078"/>
      <c r="L5" s="3078"/>
      <c r="M5" s="3078"/>
      <c r="N5" s="3078"/>
      <c r="O5" s="3078"/>
      <c r="P5" s="3078"/>
    </row>
    <row r="6" spans="1:16">
      <c r="A6" s="3088"/>
      <c r="B6" s="3727" t="s">
        <v>574</v>
      </c>
      <c r="C6" s="3727"/>
      <c r="D6" s="3086">
        <f>ROUND($D$3*E6/$E$3,2)</f>
        <v>26650.41</v>
      </c>
      <c r="E6" s="3087">
        <f>E3-E5</f>
        <v>46494.69</v>
      </c>
      <c r="F6" s="3078"/>
      <c r="G6" s="3084"/>
      <c r="H6" s="2475" t="s">
        <v>571</v>
      </c>
      <c r="I6" s="481">
        <f>ROUND(F31/D31,2)</f>
        <v>1.5</v>
      </c>
      <c r="J6" s="3078"/>
      <c r="K6" s="3078"/>
      <c r="L6" s="3078"/>
      <c r="M6" s="3078"/>
      <c r="N6" s="3078"/>
      <c r="O6" s="3078"/>
      <c r="P6" s="3078"/>
    </row>
    <row r="7" spans="1:16" ht="15">
      <c r="A7" s="3728"/>
      <c r="B7" s="3729"/>
      <c r="C7" s="3730"/>
      <c r="D7" s="3082" t="s">
        <v>565</v>
      </c>
      <c r="E7" s="3089" t="s">
        <v>575</v>
      </c>
      <c r="F7" s="3078"/>
      <c r="G7" s="3090" t="s">
        <v>576</v>
      </c>
      <c r="H7" s="3091"/>
      <c r="I7" s="3138"/>
      <c r="J7" s="3078"/>
      <c r="K7" s="3078"/>
      <c r="L7" s="3078"/>
      <c r="M7" s="3078"/>
      <c r="N7" s="3078"/>
      <c r="O7" s="3078"/>
      <c r="P7" s="3078"/>
    </row>
    <row r="8" spans="1:16">
      <c r="A8" s="3085" t="s">
        <v>577</v>
      </c>
      <c r="B8" s="3092" t="s">
        <v>578</v>
      </c>
      <c r="C8" s="3086" t="s">
        <v>579</v>
      </c>
      <c r="D8" s="3086">
        <f t="shared" ref="D8:D15" si="0">ROUND($D$3*E8/$E$3,2)</f>
        <v>18178.16</v>
      </c>
      <c r="E8" s="3093">
        <f>SUMIF('数据-基础表'!BB10:BK10,"地上",'数据-基础表'!BB5:BK5)</f>
        <v>31713.88</v>
      </c>
      <c r="F8" s="3078"/>
      <c r="G8" s="3094"/>
      <c r="H8" s="3094"/>
      <c r="I8" s="3078"/>
      <c r="J8" s="3078"/>
      <c r="K8" s="3078"/>
      <c r="L8" s="3078"/>
      <c r="M8" s="3078"/>
      <c r="N8" s="3078"/>
      <c r="O8" s="3078"/>
      <c r="P8" s="3078"/>
    </row>
    <row r="9" spans="1:16">
      <c r="A9" s="3095"/>
      <c r="B9" s="3096"/>
      <c r="C9" s="3086" t="s">
        <v>580</v>
      </c>
      <c r="D9" s="3086">
        <f t="shared" si="0"/>
        <v>0</v>
      </c>
      <c r="E9" s="3097">
        <v>0</v>
      </c>
      <c r="F9" s="3078"/>
      <c r="G9" s="3094"/>
      <c r="H9" s="3094"/>
      <c r="I9" s="3078"/>
      <c r="J9" s="3078"/>
      <c r="K9" s="3078"/>
      <c r="L9" s="3078"/>
      <c r="M9" s="3078"/>
      <c r="N9" s="3078"/>
      <c r="O9" s="3078"/>
      <c r="P9" s="3078"/>
    </row>
    <row r="10" spans="1:16">
      <c r="A10" s="3095"/>
      <c r="B10" s="3096"/>
      <c r="C10" s="3086" t="s">
        <v>581</v>
      </c>
      <c r="D10" s="3086">
        <f t="shared" si="0"/>
        <v>0</v>
      </c>
      <c r="E10" s="3093">
        <f>SUMPRODUCT(('数据-基础表'!BB10:BK10="地下")*('数据-基础表'!BB11:BK11="商业")*('数据-基础表'!BB5:BK5))</f>
        <v>0</v>
      </c>
      <c r="F10" s="3078"/>
      <c r="G10" s="3094"/>
      <c r="H10" s="3094"/>
      <c r="I10" s="3078"/>
      <c r="J10" s="3078"/>
      <c r="K10" s="3078"/>
      <c r="L10" s="3078"/>
      <c r="M10" s="3078"/>
      <c r="N10" s="3078"/>
      <c r="O10" s="3078"/>
      <c r="P10" s="3078"/>
    </row>
    <row r="11" spans="1:16">
      <c r="A11" s="3095"/>
      <c r="B11" s="3096"/>
      <c r="C11" s="3098" t="s">
        <v>582</v>
      </c>
      <c r="D11" s="3086">
        <f t="shared" si="0"/>
        <v>0</v>
      </c>
      <c r="E11" s="3093">
        <f>SUMPRODUCT(('数据-基础表'!BB10:BK10="地下")*('数据-基础表'!BB11:BK11="办公")*('数据-基础表'!BB5:BK5))+'数据-基础表'!AJ5</f>
        <v>0</v>
      </c>
      <c r="F11" s="3078"/>
      <c r="G11" s="3094"/>
      <c r="H11" s="3094"/>
      <c r="I11" s="3078"/>
      <c r="J11" s="3078"/>
      <c r="K11" s="3078"/>
      <c r="L11" s="3078"/>
      <c r="M11" s="3078"/>
      <c r="N11" s="3078"/>
      <c r="O11" s="3078"/>
      <c r="P11" s="3078"/>
    </row>
    <row r="12" spans="1:16">
      <c r="A12" s="3095"/>
      <c r="B12" s="3096"/>
      <c r="C12" s="3086" t="s">
        <v>583</v>
      </c>
      <c r="D12" s="3086">
        <f t="shared" si="0"/>
        <v>0</v>
      </c>
      <c r="E12" s="3093">
        <f>SUMPRODUCT(('数据-基础表'!BB10:BK10="地下")*('数据-基础表'!BB11:BK11="仓储")*('数据-基础表'!BB5:BK5))</f>
        <v>0</v>
      </c>
      <c r="F12" s="3078"/>
      <c r="G12" s="3094"/>
      <c r="H12" s="3094"/>
      <c r="I12" s="3078"/>
      <c r="J12" s="3078"/>
      <c r="K12" s="3078"/>
      <c r="L12" s="3078"/>
      <c r="M12" s="3078"/>
      <c r="N12" s="3078"/>
      <c r="O12" s="3078"/>
      <c r="P12" s="3078"/>
    </row>
    <row r="13" spans="1:16">
      <c r="A13" s="3095"/>
      <c r="B13" s="3096"/>
      <c r="C13" s="3098" t="s">
        <v>584</v>
      </c>
      <c r="D13" s="3086">
        <f t="shared" si="0"/>
        <v>0</v>
      </c>
      <c r="E13" s="3093">
        <f>SUMPRODUCT(('数据-基础表'!BB10:BK10="地下")*('数据-基础表'!BB11:BK11="车库")*('数据-基础表'!BB5:BK5))</f>
        <v>0</v>
      </c>
      <c r="F13" s="3078"/>
      <c r="G13" s="3094"/>
      <c r="H13" s="3094"/>
      <c r="I13" s="3078"/>
      <c r="J13" s="3078"/>
      <c r="K13" s="3078"/>
      <c r="L13" s="3078"/>
      <c r="M13" s="3078"/>
      <c r="N13" s="3078"/>
      <c r="O13" s="3078"/>
      <c r="P13" s="3078"/>
    </row>
    <row r="14" spans="1:16">
      <c r="A14" s="3095"/>
      <c r="B14" s="3096"/>
      <c r="C14" s="3086" t="s">
        <v>585</v>
      </c>
      <c r="D14" s="3086">
        <f t="shared" si="0"/>
        <v>0</v>
      </c>
      <c r="E14" s="3093">
        <f>SUMPRODUCT(('数据-基础表'!BB10:BK10="地下")*('数据-基础表'!BB11:BK11="车库—商业")*('数据-基础表'!BB5:BK5))</f>
        <v>0</v>
      </c>
      <c r="F14" s="3078"/>
      <c r="G14" s="3094"/>
      <c r="H14" s="3094"/>
      <c r="I14" s="3078"/>
      <c r="J14" s="3078"/>
      <c r="K14" s="3078"/>
      <c r="L14" s="3078"/>
      <c r="M14" s="3078"/>
      <c r="N14" s="3078"/>
      <c r="O14" s="3078"/>
      <c r="P14" s="3078"/>
    </row>
    <row r="15" spans="1:16">
      <c r="A15" s="3095"/>
      <c r="B15" s="3096"/>
      <c r="C15" s="3086" t="s">
        <v>586</v>
      </c>
      <c r="D15" s="3086">
        <f t="shared" si="0"/>
        <v>0</v>
      </c>
      <c r="E15" s="3093">
        <f>SUMPRODUCT(('数据-基础表'!BB10:BK10="地下")*('数据-基础表'!BB11:BK11="车库—办公")*('数据-基础表'!BB5:BK5))</f>
        <v>0</v>
      </c>
      <c r="F15" s="3078"/>
      <c r="G15" s="3094"/>
      <c r="H15" s="3094"/>
      <c r="I15" s="3078"/>
      <c r="J15" s="3078"/>
      <c r="K15" s="3078"/>
      <c r="L15" s="3078"/>
      <c r="M15" s="3078"/>
      <c r="N15" s="3078"/>
      <c r="O15" s="3078"/>
      <c r="P15" s="3078"/>
    </row>
    <row r="16" spans="1:16" ht="15">
      <c r="A16" s="3088"/>
      <c r="B16" s="3096"/>
      <c r="C16" s="3092" t="s">
        <v>587</v>
      </c>
      <c r="D16" s="3092">
        <f>SUM(D8:D15)</f>
        <v>18178.16</v>
      </c>
      <c r="E16" s="3099">
        <f>SUM(E8:E15)</f>
        <v>31713.88</v>
      </c>
      <c r="F16" s="3078"/>
      <c r="G16" s="3094"/>
      <c r="H16" s="3100" t="s">
        <v>588</v>
      </c>
      <c r="I16" s="3139"/>
      <c r="J16" s="3076"/>
      <c r="K16" s="3731" t="s">
        <v>589</v>
      </c>
      <c r="L16" s="3732"/>
      <c r="M16" s="3732"/>
      <c r="N16" s="3732"/>
      <c r="O16" s="3732"/>
      <c r="P16" s="3733"/>
    </row>
    <row r="17" spans="1:19" ht="15">
      <c r="A17" s="3043" t="s">
        <v>590</v>
      </c>
      <c r="B17" s="3101" t="s">
        <v>222</v>
      </c>
      <c r="C17" s="3102" t="s">
        <v>464</v>
      </c>
      <c r="D17" s="3082" t="s">
        <v>565</v>
      </c>
      <c r="E17" s="3103" t="s">
        <v>566</v>
      </c>
      <c r="F17" s="3104"/>
      <c r="G17" s="3105"/>
      <c r="H17" s="3106" t="s">
        <v>591</v>
      </c>
      <c r="I17" s="3140" t="s">
        <v>592</v>
      </c>
      <c r="J17" s="3076"/>
      <c r="K17" s="3734" t="s">
        <v>593</v>
      </c>
      <c r="L17" s="3735"/>
      <c r="M17" s="3736"/>
      <c r="N17" s="3734" t="s">
        <v>594</v>
      </c>
      <c r="O17" s="3735"/>
      <c r="P17" s="3736"/>
      <c r="R17" s="3159" t="s">
        <v>595</v>
      </c>
      <c r="S17" s="2463"/>
    </row>
    <row r="18" spans="1:19" ht="15">
      <c r="A18" s="3095"/>
      <c r="B18" s="3107"/>
      <c r="C18" s="3108"/>
      <c r="D18" s="2379"/>
      <c r="E18" s="3109" t="s">
        <v>596</v>
      </c>
      <c r="F18" s="3110" t="s">
        <v>240</v>
      </c>
      <c r="G18" s="3111" t="s">
        <v>264</v>
      </c>
      <c r="H18" s="3050" t="s">
        <v>597</v>
      </c>
      <c r="I18" s="3141" t="s">
        <v>598</v>
      </c>
      <c r="J18" s="3076"/>
      <c r="K18" s="3142" t="s">
        <v>548</v>
      </c>
      <c r="L18" s="3143" t="s">
        <v>599</v>
      </c>
      <c r="M18" s="3144" t="s">
        <v>600</v>
      </c>
      <c r="N18" s="3142" t="s">
        <v>548</v>
      </c>
      <c r="O18" s="3143" t="s">
        <v>599</v>
      </c>
      <c r="P18" s="3144" t="s">
        <v>600</v>
      </c>
      <c r="R18" s="3160" t="s">
        <v>447</v>
      </c>
      <c r="S18" s="3160" t="s">
        <v>444</v>
      </c>
    </row>
    <row r="19" spans="1:19">
      <c r="A19" s="3112"/>
      <c r="B19" s="3092" t="s">
        <v>243</v>
      </c>
      <c r="C19" s="3113" t="s">
        <v>164</v>
      </c>
      <c r="D19" s="3086">
        <f t="shared" ref="D19:D26" si="1">ROUND($D$3*E19/$E$3,2)</f>
        <v>18178.16</v>
      </c>
      <c r="E19" s="3114">
        <f t="shared" ref="E19:E26" si="2">SUM(F19:G19)</f>
        <v>31713.88</v>
      </c>
      <c r="F19" s="3115">
        <f>'数据-基础表'!I13</f>
        <v>31713.88</v>
      </c>
      <c r="G19" s="3116"/>
      <c r="H19" s="3033">
        <f>ROUND($D$3*I19/$E$3,2)</f>
        <v>8472.25</v>
      </c>
      <c r="I19" s="3093">
        <f>IF($I$17="自定义",P19,M19)</f>
        <v>14780.81</v>
      </c>
      <c r="J19" s="3076"/>
      <c r="K19" s="3145">
        <f t="shared" ref="K19:K26" si="3">ROUND(E$28*E19/E$27,2)</f>
        <v>14780.81</v>
      </c>
      <c r="L19" s="2475">
        <f t="shared" ref="L19:L26" si="4">ROUND(IF(COUNTIF(C19,"*住宅*")&gt;0,E$29*E19/E$32,0),2)</f>
        <v>0</v>
      </c>
      <c r="M19" s="3146">
        <f>K19+L19</f>
        <v>14780.81</v>
      </c>
      <c r="N19" s="3147"/>
      <c r="O19" s="3148"/>
      <c r="P19" s="3149">
        <f>N19+O19</f>
        <v>0</v>
      </c>
      <c r="R19" s="2475">
        <f t="shared" ref="R19:S26" si="5">D19+H19</f>
        <v>26650.41</v>
      </c>
      <c r="S19" s="3161">
        <f t="shared" si="5"/>
        <v>46494.69</v>
      </c>
    </row>
    <row r="20" spans="1:19">
      <c r="A20" s="3117"/>
      <c r="B20" s="3092" t="s">
        <v>243</v>
      </c>
      <c r="C20" s="3113"/>
      <c r="D20" s="3086">
        <f t="shared" si="1"/>
        <v>0</v>
      </c>
      <c r="E20" s="3114">
        <f t="shared" si="2"/>
        <v>0</v>
      </c>
      <c r="F20" s="3115"/>
      <c r="G20" s="3116"/>
      <c r="H20" s="3033">
        <f t="shared" ref="H20:H26" si="6">ROUND($D$3*I20/$E$3,2)</f>
        <v>0</v>
      </c>
      <c r="I20" s="3093">
        <f t="shared" ref="I20:I26" si="7">IF($I$17="自定义",P20,M20)</f>
        <v>0</v>
      </c>
      <c r="J20" s="3076"/>
      <c r="K20" s="3145">
        <f t="shared" si="3"/>
        <v>0</v>
      </c>
      <c r="L20" s="2475">
        <f t="shared" si="4"/>
        <v>0</v>
      </c>
      <c r="M20" s="3146">
        <f t="shared" ref="M20:M26" si="8">K20+L20</f>
        <v>0</v>
      </c>
      <c r="N20" s="3147"/>
      <c r="O20" s="3148"/>
      <c r="P20" s="3149">
        <f t="shared" ref="P20:P26" si="9">N20+O20</f>
        <v>0</v>
      </c>
      <c r="R20" s="2475">
        <f t="shared" si="5"/>
        <v>0</v>
      </c>
      <c r="S20" s="3161">
        <f t="shared" si="5"/>
        <v>0</v>
      </c>
    </row>
    <row r="21" spans="1:19">
      <c r="A21" s="3117"/>
      <c r="B21" s="3092" t="s">
        <v>243</v>
      </c>
      <c r="C21" s="3113"/>
      <c r="D21" s="3086">
        <f t="shared" si="1"/>
        <v>0</v>
      </c>
      <c r="E21" s="3114">
        <f t="shared" si="2"/>
        <v>0</v>
      </c>
      <c r="F21" s="3115"/>
      <c r="G21" s="3116"/>
      <c r="H21" s="3033">
        <f t="shared" si="6"/>
        <v>0</v>
      </c>
      <c r="I21" s="3093">
        <f t="shared" si="7"/>
        <v>0</v>
      </c>
      <c r="J21" s="3076"/>
      <c r="K21" s="3145">
        <f t="shared" si="3"/>
        <v>0</v>
      </c>
      <c r="L21" s="2475">
        <f t="shared" si="4"/>
        <v>0</v>
      </c>
      <c r="M21" s="3146">
        <f t="shared" si="8"/>
        <v>0</v>
      </c>
      <c r="N21" s="3147"/>
      <c r="O21" s="3148"/>
      <c r="P21" s="3149">
        <f t="shared" si="9"/>
        <v>0</v>
      </c>
      <c r="R21" s="2475">
        <f t="shared" si="5"/>
        <v>0</v>
      </c>
      <c r="S21" s="3161">
        <f t="shared" si="5"/>
        <v>0</v>
      </c>
    </row>
    <row r="22" spans="1:19">
      <c r="A22" s="3117"/>
      <c r="B22" s="3092" t="s">
        <v>243</v>
      </c>
      <c r="C22" s="3118"/>
      <c r="D22" s="3086">
        <f t="shared" si="1"/>
        <v>0</v>
      </c>
      <c r="E22" s="3114">
        <f t="shared" si="2"/>
        <v>0</v>
      </c>
      <c r="F22" s="3119"/>
      <c r="G22" s="3120"/>
      <c r="H22" s="3033">
        <f t="shared" si="6"/>
        <v>0</v>
      </c>
      <c r="I22" s="3093">
        <f t="shared" si="7"/>
        <v>0</v>
      </c>
      <c r="J22" s="3076"/>
      <c r="K22" s="3145">
        <f t="shared" si="3"/>
        <v>0</v>
      </c>
      <c r="L22" s="2475">
        <f t="shared" si="4"/>
        <v>0</v>
      </c>
      <c r="M22" s="3146">
        <f t="shared" si="8"/>
        <v>0</v>
      </c>
      <c r="N22" s="3147"/>
      <c r="O22" s="3148"/>
      <c r="P22" s="3149">
        <f t="shared" si="9"/>
        <v>0</v>
      </c>
      <c r="R22" s="2475">
        <f t="shared" si="5"/>
        <v>0</v>
      </c>
      <c r="S22" s="3161">
        <f t="shared" si="5"/>
        <v>0</v>
      </c>
    </row>
    <row r="23" spans="1:19">
      <c r="A23" s="3117"/>
      <c r="B23" s="3092" t="s">
        <v>243</v>
      </c>
      <c r="C23" s="3118"/>
      <c r="D23" s="3086">
        <f t="shared" si="1"/>
        <v>0</v>
      </c>
      <c r="E23" s="3114">
        <f t="shared" si="2"/>
        <v>0</v>
      </c>
      <c r="F23" s="3119"/>
      <c r="G23" s="3120"/>
      <c r="H23" s="3033">
        <f t="shared" si="6"/>
        <v>0</v>
      </c>
      <c r="I23" s="3093">
        <f t="shared" si="7"/>
        <v>0</v>
      </c>
      <c r="J23" s="3076"/>
      <c r="K23" s="3145">
        <f t="shared" si="3"/>
        <v>0</v>
      </c>
      <c r="L23" s="2475">
        <f t="shared" si="4"/>
        <v>0</v>
      </c>
      <c r="M23" s="3146">
        <f t="shared" si="8"/>
        <v>0</v>
      </c>
      <c r="N23" s="3147"/>
      <c r="O23" s="3148"/>
      <c r="P23" s="3149">
        <f t="shared" si="9"/>
        <v>0</v>
      </c>
      <c r="R23" s="2475">
        <f t="shared" si="5"/>
        <v>0</v>
      </c>
      <c r="S23" s="3161">
        <f t="shared" si="5"/>
        <v>0</v>
      </c>
    </row>
    <row r="24" spans="1:19">
      <c r="A24" s="3117"/>
      <c r="B24" s="3092" t="s">
        <v>243</v>
      </c>
      <c r="C24" s="3118"/>
      <c r="D24" s="3086">
        <f t="shared" si="1"/>
        <v>0</v>
      </c>
      <c r="E24" s="3114">
        <f t="shared" si="2"/>
        <v>0</v>
      </c>
      <c r="F24" s="3119"/>
      <c r="G24" s="3120"/>
      <c r="H24" s="3033">
        <f t="shared" si="6"/>
        <v>0</v>
      </c>
      <c r="I24" s="3093">
        <f t="shared" si="7"/>
        <v>0</v>
      </c>
      <c r="J24" s="3076"/>
      <c r="K24" s="3145">
        <f t="shared" si="3"/>
        <v>0</v>
      </c>
      <c r="L24" s="2475">
        <f t="shared" si="4"/>
        <v>0</v>
      </c>
      <c r="M24" s="3146">
        <f t="shared" si="8"/>
        <v>0</v>
      </c>
      <c r="N24" s="3147"/>
      <c r="O24" s="3148"/>
      <c r="P24" s="3149">
        <f t="shared" si="9"/>
        <v>0</v>
      </c>
      <c r="R24" s="2475">
        <f t="shared" si="5"/>
        <v>0</v>
      </c>
      <c r="S24" s="3161">
        <f t="shared" si="5"/>
        <v>0</v>
      </c>
    </row>
    <row r="25" spans="1:19">
      <c r="A25" s="3117"/>
      <c r="B25" s="3092" t="s">
        <v>243</v>
      </c>
      <c r="C25" s="3118"/>
      <c r="D25" s="3086">
        <f t="shared" si="1"/>
        <v>0</v>
      </c>
      <c r="E25" s="3114">
        <f t="shared" si="2"/>
        <v>0</v>
      </c>
      <c r="F25" s="3119"/>
      <c r="G25" s="3120"/>
      <c r="H25" s="3085">
        <f t="shared" si="6"/>
        <v>0</v>
      </c>
      <c r="I25" s="3093">
        <f t="shared" si="7"/>
        <v>0</v>
      </c>
      <c r="J25" s="3076"/>
      <c r="K25" s="3145">
        <f t="shared" si="3"/>
        <v>0</v>
      </c>
      <c r="L25" s="2475">
        <f t="shared" si="4"/>
        <v>0</v>
      </c>
      <c r="M25" s="3146">
        <f t="shared" si="8"/>
        <v>0</v>
      </c>
      <c r="N25" s="3147"/>
      <c r="O25" s="3148"/>
      <c r="P25" s="3149">
        <f t="shared" si="9"/>
        <v>0</v>
      </c>
      <c r="R25" s="2475">
        <f t="shared" si="5"/>
        <v>0</v>
      </c>
      <c r="S25" s="3161">
        <f t="shared" si="5"/>
        <v>0</v>
      </c>
    </row>
    <row r="26" spans="1:19">
      <c r="A26" s="3117"/>
      <c r="B26" s="3092" t="s">
        <v>243</v>
      </c>
      <c r="C26" s="3121"/>
      <c r="D26" s="3086">
        <f t="shared" si="1"/>
        <v>0</v>
      </c>
      <c r="E26" s="3114">
        <f t="shared" si="2"/>
        <v>0</v>
      </c>
      <c r="F26" s="3119"/>
      <c r="G26" s="3120"/>
      <c r="H26" s="3085">
        <f t="shared" si="6"/>
        <v>0</v>
      </c>
      <c r="I26" s="3093">
        <f t="shared" si="7"/>
        <v>0</v>
      </c>
      <c r="J26" s="3076"/>
      <c r="K26" s="3150">
        <f t="shared" si="3"/>
        <v>0</v>
      </c>
      <c r="L26" s="2479">
        <f t="shared" si="4"/>
        <v>0</v>
      </c>
      <c r="M26" s="3126">
        <f t="shared" si="8"/>
        <v>0</v>
      </c>
      <c r="N26" s="3151"/>
      <c r="O26" s="3152"/>
      <c r="P26" s="3153">
        <f t="shared" si="9"/>
        <v>0</v>
      </c>
      <c r="R26" s="2475">
        <f t="shared" si="5"/>
        <v>0</v>
      </c>
      <c r="S26" s="3161">
        <f t="shared" si="5"/>
        <v>0</v>
      </c>
    </row>
    <row r="27" spans="1:19" ht="15">
      <c r="A27" s="3117"/>
      <c r="B27" s="3086"/>
      <c r="C27" s="2514" t="s">
        <v>587</v>
      </c>
      <c r="D27" s="3114">
        <f>SUM(D19:D26)</f>
        <v>18178.16</v>
      </c>
      <c r="E27" s="3122">
        <f>IF(SUM(E19:E26)='数据-基础表'!BA5,SUM(E19:E26),IF(F27="地上面积有误","面积有误","地下面积有误"))</f>
        <v>31713.88</v>
      </c>
      <c r="F27" s="3114">
        <f>IF(SUM(F19:F26)=E8,SUM(F19:F26),"地上面积有误")</f>
        <v>31713.88</v>
      </c>
      <c r="G27" s="3087">
        <f>SUM(G19:G26)</f>
        <v>0</v>
      </c>
      <c r="H27" s="3123">
        <f>SUM(H19:H26)</f>
        <v>8472.25</v>
      </c>
      <c r="I27" s="3154">
        <f>SUM(I19:I26)</f>
        <v>14780.81</v>
      </c>
      <c r="J27" s="3076"/>
      <c r="K27" s="3155">
        <f t="shared" ref="K27:P27" si="10">SUM(K19:K26)</f>
        <v>14780.81</v>
      </c>
      <c r="L27" s="3156">
        <f t="shared" si="10"/>
        <v>0</v>
      </c>
      <c r="M27" s="3157">
        <f t="shared" si="10"/>
        <v>14780.81</v>
      </c>
      <c r="N27" s="3155">
        <f t="shared" si="10"/>
        <v>0</v>
      </c>
      <c r="O27" s="3156">
        <f t="shared" si="10"/>
        <v>0</v>
      </c>
      <c r="P27" s="3158">
        <f t="shared" si="10"/>
        <v>0</v>
      </c>
      <c r="R27" s="3162">
        <f>IF(SUM(R19:R26)=$D$3,SUM(R19:R26),SUM(R19:R26)&amp;"误差"&amp;ROUND(SUM(R19:R26)-$D$3,2))</f>
        <v>26650.41</v>
      </c>
      <c r="S27" s="2475">
        <f>IF(SUM(S19:S26)=$E$3,SUM(S19:S26),SUM(S19:S26)&amp;"误差"&amp;ROUND(SUM(S19:S26)-E3,2))</f>
        <v>46494.69</v>
      </c>
    </row>
    <row r="28" spans="1:19">
      <c r="A28" s="3117"/>
      <c r="B28" s="3092" t="s">
        <v>255</v>
      </c>
      <c r="C28" s="3053" t="s">
        <v>601</v>
      </c>
      <c r="D28" s="3086">
        <f>ROUND($D$3*E28/$E$3,2)</f>
        <v>8472.25</v>
      </c>
      <c r="E28" s="3114">
        <f>SUM(F28:G28)</f>
        <v>14780.81</v>
      </c>
      <c r="F28" s="2463">
        <f>'数据-基础表'!BQ5+'数据-基础表'!BS5</f>
        <v>8241.75</v>
      </c>
      <c r="G28" s="3124">
        <f>'数据-基础表'!BR5+'数据-基础表'!BT5</f>
        <v>6539.06</v>
      </c>
      <c r="H28" s="3078"/>
      <c r="I28" s="3078"/>
      <c r="J28" s="3078"/>
      <c r="K28" s="3078"/>
      <c r="L28" s="3078"/>
      <c r="M28" s="3078"/>
      <c r="N28" s="3078"/>
      <c r="O28" s="3078"/>
      <c r="P28" s="3078"/>
    </row>
    <row r="29" spans="1:19">
      <c r="A29" s="3117"/>
      <c r="B29" s="3092" t="s">
        <v>255</v>
      </c>
      <c r="C29" s="3125" t="s">
        <v>602</v>
      </c>
      <c r="D29" s="3086">
        <f>ROUND($D$3*E29/$E$3,2)</f>
        <v>0</v>
      </c>
      <c r="E29" s="3114">
        <f>SUM(F29:G29)</f>
        <v>0</v>
      </c>
      <c r="F29" s="2463">
        <f>'数据-基础表'!BM5+'数据-基础表'!BO5</f>
        <v>0</v>
      </c>
      <c r="G29" s="3126">
        <f>'数据-基础表'!BN5+'数据-基础表'!BP5</f>
        <v>0</v>
      </c>
      <c r="H29" s="3078"/>
      <c r="I29" s="3078"/>
      <c r="J29" s="3078"/>
      <c r="K29" s="3078"/>
      <c r="L29" s="3078"/>
      <c r="M29" s="3078"/>
      <c r="N29" s="3078"/>
      <c r="O29" s="3078"/>
      <c r="P29" s="3078"/>
    </row>
    <row r="30" spans="1:19">
      <c r="A30" s="3117"/>
      <c r="B30" s="3086"/>
      <c r="C30" s="3127" t="s">
        <v>587</v>
      </c>
      <c r="D30" s="3114">
        <f>SUM(D28:D29)</f>
        <v>8472.25</v>
      </c>
      <c r="E30" s="3114">
        <f>SUM(E28:E29)</f>
        <v>14780.81</v>
      </c>
      <c r="F30" s="3114">
        <f>SUM(F28:F29)</f>
        <v>8241.75</v>
      </c>
      <c r="G30" s="3087">
        <f>SUM(G28:G29)</f>
        <v>6539.06</v>
      </c>
      <c r="H30" s="3078"/>
      <c r="I30" s="3078"/>
      <c r="J30" s="3078"/>
      <c r="K30" s="3078"/>
      <c r="L30" s="3078"/>
      <c r="M30" s="3078"/>
      <c r="N30" s="3078"/>
      <c r="O30" s="3078"/>
      <c r="P30" s="3078"/>
    </row>
    <row r="31" spans="1:19" ht="32.25" customHeight="1">
      <c r="A31" s="3128"/>
      <c r="B31" s="3129" t="s">
        <v>603</v>
      </c>
      <c r="C31" s="3130" t="s">
        <v>604</v>
      </c>
      <c r="D31" s="3131">
        <f>D27+D30</f>
        <v>26650.41</v>
      </c>
      <c r="E31" s="3131">
        <f>E27+E30</f>
        <v>46494.69</v>
      </c>
      <c r="F31" s="3132">
        <f>F27+F30</f>
        <v>39955.629999999997</v>
      </c>
      <c r="G31" s="3133">
        <f>G27+G30</f>
        <v>6539.06</v>
      </c>
      <c r="H31" s="3078"/>
      <c r="I31" s="3078"/>
      <c r="J31" s="3078"/>
      <c r="K31" s="3078"/>
      <c r="L31" s="3078"/>
      <c r="M31" s="3078"/>
      <c r="N31" s="3078"/>
      <c r="O31" s="3078"/>
      <c r="P31" s="3078"/>
    </row>
    <row r="32" spans="1:19">
      <c r="A32" s="3076"/>
      <c r="B32" s="3134" t="s">
        <v>605</v>
      </c>
      <c r="C32" s="3135"/>
      <c r="D32" s="3084"/>
      <c r="E32" s="3084">
        <f>SUMIF(C19:C26,"*住宅*",E19:E26)</f>
        <v>0</v>
      </c>
      <c r="F32" s="3084"/>
      <c r="G32" s="3084"/>
      <c r="H32" s="3078"/>
      <c r="I32" s="3078"/>
      <c r="J32" s="3078"/>
      <c r="K32" s="3078"/>
      <c r="L32" s="3078"/>
      <c r="M32" s="3078"/>
      <c r="N32" s="3078"/>
      <c r="O32" s="3078"/>
      <c r="P32" s="3078"/>
    </row>
    <row r="33" spans="4:4">
      <c r="D33" s="31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R27" sqref="R27"/>
    </sheetView>
  </sheetViews>
  <sheetFormatPr defaultColWidth="13.75" defaultRowHeight="12.75"/>
  <cols>
    <col min="1" max="1" width="20.875" style="2877" customWidth="1"/>
    <col min="2" max="3" width="12" style="2878" customWidth="1"/>
    <col min="4" max="4" width="9.125" style="2879" customWidth="1"/>
    <col min="5" max="5" width="15" style="2878" customWidth="1"/>
    <col min="6" max="10" width="8.875" style="2878" customWidth="1"/>
    <col min="11" max="12" width="12.375" style="82" customWidth="1"/>
    <col min="13" max="13" width="8.625" style="2878" customWidth="1"/>
    <col min="14" max="14" width="9.75" style="2878" customWidth="1"/>
    <col min="15" max="16" width="9.625" style="2878" customWidth="1"/>
    <col min="17" max="17" width="10.875" style="2878" customWidth="1"/>
    <col min="18" max="19" width="12.5" style="2878" customWidth="1"/>
    <col min="20" max="20" width="12.125" style="2878" customWidth="1"/>
    <col min="21" max="21" width="7.5" style="2878" customWidth="1"/>
    <col min="22" max="22" width="6.375" style="2878" customWidth="1"/>
    <col min="23" max="24" width="6.75" style="2878" customWidth="1"/>
    <col min="25" max="25" width="8.125" style="2878" customWidth="1"/>
    <col min="26" max="30" width="6.75" style="2878" customWidth="1"/>
    <col min="31" max="31" width="6.5" style="2878" customWidth="1"/>
    <col min="32" max="34" width="7.25" style="2878" customWidth="1"/>
    <col min="35" max="39" width="8" style="2878" customWidth="1"/>
    <col min="40" max="41" width="13.75" style="2876"/>
    <col min="42" max="42" width="13.75" style="2876" customWidth="1"/>
    <col min="43" max="83" width="13.75" style="2876"/>
    <col min="84" max="16384" width="13.75" style="2878"/>
  </cols>
  <sheetData>
    <row r="1" spans="1:83" ht="18.75">
      <c r="A1" s="2880" t="s">
        <v>606</v>
      </c>
      <c r="B1" s="2881"/>
      <c r="C1" s="1083"/>
      <c r="D1" s="2882"/>
      <c r="E1" s="1083"/>
      <c r="F1" s="1083"/>
      <c r="G1" s="1083"/>
      <c r="H1" s="1083"/>
      <c r="I1" s="1083"/>
      <c r="J1" s="1083"/>
      <c r="K1" s="123"/>
      <c r="L1" s="12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921"/>
      <c r="AO1" s="2921"/>
      <c r="AP1" s="2921"/>
      <c r="AQ1" s="2921"/>
      <c r="AR1" s="2921"/>
      <c r="AS1" s="2921"/>
      <c r="AT1" s="2921"/>
      <c r="AU1" s="2921"/>
      <c r="AV1" s="2921"/>
      <c r="AW1" s="2921"/>
      <c r="AX1" s="2921"/>
      <c r="AY1" s="2921"/>
      <c r="AZ1" s="2921"/>
    </row>
    <row r="2" spans="1:83" s="2873" customFormat="1" ht="15">
      <c r="A2" s="2883" t="s">
        <v>607</v>
      </c>
      <c r="B2" s="2884">
        <f>项目基本情况!D3</f>
        <v>45257</v>
      </c>
      <c r="C2" s="2885"/>
      <c r="D2" s="2886"/>
      <c r="E2" s="2885"/>
      <c r="F2" s="2885"/>
      <c r="G2" s="2885"/>
      <c r="H2" s="2885"/>
      <c r="I2" s="2885"/>
      <c r="J2" s="2885"/>
      <c r="K2" s="473"/>
      <c r="L2" s="47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23"/>
      <c r="AO2" s="2923"/>
      <c r="AP2" s="2923"/>
      <c r="AQ2" s="2923"/>
      <c r="AR2" s="2923"/>
      <c r="AS2" s="2923"/>
      <c r="AT2" s="2923"/>
      <c r="AU2" s="2923"/>
      <c r="AV2" s="2923"/>
      <c r="AW2" s="2923"/>
      <c r="AX2" s="2923"/>
      <c r="AY2" s="2923"/>
      <c r="AZ2" s="2923"/>
      <c r="BA2" s="3072"/>
      <c r="BB2" s="3072"/>
      <c r="BC2" s="3072"/>
      <c r="BD2" s="3072"/>
      <c r="BE2" s="3072"/>
      <c r="BF2" s="3072"/>
      <c r="BG2" s="3072"/>
      <c r="BH2" s="3072"/>
      <c r="BI2" s="3072"/>
      <c r="BJ2" s="3072"/>
      <c r="BK2" s="3072"/>
      <c r="BL2" s="3072"/>
      <c r="BM2" s="3072"/>
      <c r="BN2" s="3072"/>
      <c r="BO2" s="3072"/>
      <c r="BP2" s="3072"/>
      <c r="BQ2" s="3072"/>
      <c r="BR2" s="3072"/>
      <c r="BS2" s="3072"/>
      <c r="BT2" s="3072"/>
      <c r="BU2" s="3072"/>
      <c r="BV2" s="3072"/>
      <c r="BW2" s="3072"/>
      <c r="BX2" s="3072"/>
      <c r="BY2" s="3072"/>
      <c r="BZ2" s="3072"/>
      <c r="CA2" s="3072"/>
      <c r="CB2" s="3072"/>
      <c r="CC2" s="3072"/>
      <c r="CD2" s="3072"/>
      <c r="CE2" s="3072"/>
    </row>
    <row r="3" spans="1:83" s="2873" customFormat="1" ht="14.25">
      <c r="A3" s="2887"/>
      <c r="B3" s="2888"/>
      <c r="C3" s="2885"/>
      <c r="D3" s="2886"/>
      <c r="E3" s="2885"/>
      <c r="F3" s="2885"/>
      <c r="G3" s="2885"/>
      <c r="H3" s="2885"/>
      <c r="I3" s="2885"/>
      <c r="J3" s="2885"/>
      <c r="K3" s="473"/>
      <c r="L3" s="47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23"/>
      <c r="AO3" s="2923"/>
      <c r="AP3" s="2923"/>
      <c r="AQ3" s="2923"/>
      <c r="AR3" s="2923"/>
      <c r="AS3" s="2923"/>
      <c r="AT3" s="2923"/>
      <c r="AU3" s="2923"/>
      <c r="AV3" s="2923"/>
      <c r="AW3" s="2923"/>
      <c r="AX3" s="2923"/>
      <c r="AY3" s="2923"/>
      <c r="AZ3" s="2923"/>
      <c r="BA3" s="3072"/>
      <c r="BB3" s="3072"/>
      <c r="BC3" s="3072"/>
      <c r="BD3" s="3072"/>
      <c r="BE3" s="3072"/>
      <c r="BF3" s="3072"/>
      <c r="BG3" s="3072"/>
      <c r="BH3" s="3072"/>
      <c r="BI3" s="3072"/>
      <c r="BJ3" s="3072"/>
      <c r="BK3" s="3072"/>
      <c r="BL3" s="3072"/>
      <c r="BM3" s="3072"/>
      <c r="BN3" s="3072"/>
      <c r="BO3" s="3072"/>
      <c r="BP3" s="3072"/>
      <c r="BQ3" s="3072"/>
      <c r="BR3" s="3072"/>
      <c r="BS3" s="3072"/>
      <c r="BT3" s="3072"/>
      <c r="BU3" s="3072"/>
      <c r="BV3" s="3072"/>
      <c r="BW3" s="3072"/>
      <c r="BX3" s="3072"/>
      <c r="BY3" s="3072"/>
      <c r="BZ3" s="3072"/>
      <c r="CA3" s="3072"/>
      <c r="CB3" s="3072"/>
      <c r="CC3" s="3072"/>
      <c r="CD3" s="3072"/>
      <c r="CE3" s="3072"/>
    </row>
    <row r="4" spans="1:83" s="2873" customFormat="1" ht="14.25">
      <c r="A4" s="2889" t="s">
        <v>608</v>
      </c>
      <c r="B4" s="2890"/>
      <c r="C4" s="2891"/>
      <c r="D4" s="2892"/>
      <c r="E4" s="2893" t="s">
        <v>609</v>
      </c>
      <c r="F4" s="2891"/>
      <c r="G4" s="2891"/>
      <c r="H4" s="2891"/>
      <c r="I4" s="2891"/>
      <c r="J4" s="2989"/>
      <c r="K4" s="2990"/>
      <c r="L4" s="2991"/>
      <c r="M4" s="2891"/>
      <c r="N4" s="2893" t="s">
        <v>610</v>
      </c>
      <c r="O4" s="2891"/>
      <c r="P4" s="2891"/>
      <c r="Q4" s="2891"/>
      <c r="R4" s="2891"/>
      <c r="S4" s="2989"/>
      <c r="T4" s="3015" t="str">
        <f>'数据-汇总表'!I17</f>
        <v>按面积比例</v>
      </c>
      <c r="U4" s="2890" t="s">
        <v>611</v>
      </c>
      <c r="V4" s="2891"/>
      <c r="W4" s="2891"/>
      <c r="X4" s="2891"/>
      <c r="Y4" s="2989"/>
      <c r="Z4" s="3042" t="s">
        <v>612</v>
      </c>
      <c r="AA4" s="3042"/>
      <c r="AB4" s="3042"/>
      <c r="AC4" s="3042"/>
      <c r="AD4" s="3042"/>
      <c r="AE4" s="3043" t="s">
        <v>613</v>
      </c>
      <c r="AF4" s="3042"/>
      <c r="AG4" s="3057"/>
      <c r="AH4" s="2890"/>
      <c r="AI4" s="2891"/>
      <c r="AJ4" s="2891"/>
      <c r="AK4" s="2891"/>
      <c r="AL4" s="2891"/>
      <c r="AM4" s="2989"/>
      <c r="AN4" s="2923"/>
      <c r="AO4" s="2923"/>
      <c r="AP4" s="2923"/>
      <c r="AQ4" s="2923"/>
      <c r="AR4" s="2923"/>
      <c r="AS4" s="2923"/>
      <c r="AT4" s="2923"/>
      <c r="AU4" s="2923"/>
      <c r="AV4" s="2923"/>
      <c r="AW4" s="2923"/>
      <c r="AX4" s="2923"/>
      <c r="AY4" s="2923"/>
      <c r="AZ4" s="2923"/>
      <c r="BA4" s="3072"/>
      <c r="BB4" s="3072"/>
      <c r="BC4" s="3072"/>
      <c r="BD4" s="3072"/>
      <c r="BE4" s="3072"/>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row>
    <row r="5" spans="1:83" s="2874" customFormat="1" ht="40.5">
      <c r="A5" s="2894" t="s">
        <v>464</v>
      </c>
      <c r="B5" s="2895" t="s">
        <v>614</v>
      </c>
      <c r="C5" s="2896" t="s">
        <v>615</v>
      </c>
      <c r="D5" s="2897" t="s">
        <v>616</v>
      </c>
      <c r="E5" s="2898" t="s">
        <v>617</v>
      </c>
      <c r="F5" s="2899" t="s">
        <v>618</v>
      </c>
      <c r="G5" s="2898" t="s">
        <v>619</v>
      </c>
      <c r="H5" s="2898" t="s">
        <v>620</v>
      </c>
      <c r="I5" s="2898" t="s">
        <v>621</v>
      </c>
      <c r="J5" s="2992" t="s">
        <v>622</v>
      </c>
      <c r="K5" s="2993" t="s">
        <v>623</v>
      </c>
      <c r="L5" s="2994" t="s">
        <v>624</v>
      </c>
      <c r="M5" s="2995" t="s">
        <v>625</v>
      </c>
      <c r="N5" s="2996" t="s">
        <v>626</v>
      </c>
      <c r="O5" s="2994" t="s">
        <v>627</v>
      </c>
      <c r="P5" s="2997" t="s">
        <v>628</v>
      </c>
      <c r="Q5" s="258" t="s">
        <v>629</v>
      </c>
      <c r="R5" s="3016" t="s">
        <v>630</v>
      </c>
      <c r="S5" s="3017" t="s">
        <v>631</v>
      </c>
      <c r="T5" s="3018" t="s">
        <v>632</v>
      </c>
      <c r="U5" s="3019" t="s">
        <v>633</v>
      </c>
      <c r="V5" s="2898" t="s">
        <v>634</v>
      </c>
      <c r="W5" s="2898" t="s">
        <v>635</v>
      </c>
      <c r="X5" s="3020"/>
      <c r="Y5" s="520" t="s">
        <v>636</v>
      </c>
      <c r="Z5" s="3044" t="s">
        <v>633</v>
      </c>
      <c r="AA5" s="2898" t="s">
        <v>634</v>
      </c>
      <c r="AB5" s="2898" t="s">
        <v>635</v>
      </c>
      <c r="AC5" s="3045"/>
      <c r="AD5" s="293" t="s">
        <v>636</v>
      </c>
      <c r="AE5" s="3046" t="s">
        <v>637</v>
      </c>
      <c r="AF5" s="2898" t="s">
        <v>638</v>
      </c>
      <c r="AG5" s="520" t="s">
        <v>639</v>
      </c>
      <c r="AH5" s="3045" t="s">
        <v>640</v>
      </c>
      <c r="AI5" s="3044" t="s">
        <v>641</v>
      </c>
      <c r="AJ5" s="3044" t="s">
        <v>642</v>
      </c>
      <c r="AK5" s="2898" t="s">
        <v>643</v>
      </c>
      <c r="AL5" s="2898" t="s">
        <v>644</v>
      </c>
      <c r="AM5" s="293" t="s">
        <v>645</v>
      </c>
      <c r="AN5" s="3058" t="s">
        <v>646</v>
      </c>
      <c r="AO5" s="3070"/>
      <c r="AP5" s="3071" t="s">
        <v>647</v>
      </c>
      <c r="AQ5" s="3070"/>
      <c r="AR5" s="3070"/>
      <c r="AS5" s="3070"/>
      <c r="AT5" s="3070"/>
      <c r="AU5" s="3070"/>
      <c r="AV5" s="3070"/>
      <c r="AW5" s="3070"/>
      <c r="AX5" s="3070"/>
      <c r="AY5" s="3070"/>
      <c r="AZ5" s="3070"/>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3"/>
    </row>
    <row r="6" spans="1:83" s="2873" customFormat="1" ht="14.25">
      <c r="A6" s="2900" t="str">
        <f>'数据-汇总表'!C19</f>
        <v>工业</v>
      </c>
      <c r="B6" s="2901" t="str">
        <f>IF(A6=0,"","经营性")</f>
        <v>经营性</v>
      </c>
      <c r="C6" s="2902" t="s">
        <v>164</v>
      </c>
      <c r="D6" s="2903">
        <f>SUMIF(项目基本情况!C$15:I$15,C6,项目基本情况!C$18:I$18)</f>
        <v>20</v>
      </c>
      <c r="E6" s="2904">
        <f>IF(B6="","",SUMIF(项目基本情况!C$15:I$15,C6,项目基本情况!C$17:I$17))</f>
        <v>52071</v>
      </c>
      <c r="F6" s="2905">
        <f>SUMIF(项目基本情况!C$15:I$15,C6,项目基本情况!C$19:I$19)</f>
        <v>18.66</v>
      </c>
      <c r="G6" s="2906">
        <f t="shared" ref="G6:G13" si="0">IF(ISERROR(ROUND(POWER(1+H6,D6-F6)*(POWER(1+H6,F6)-1)/(POWER(1+H6,D6)-1),3)),0,ROUND(POWER(1+H6,D6-F6)*(POWER(1+H6,F6)-1)/(POWER(1+H6,D6)-1),3))</f>
        <v>0.95699999999999996</v>
      </c>
      <c r="H6" s="2907">
        <v>4.4999999999999998E-2</v>
      </c>
      <c r="I6" s="2907">
        <v>0.05</v>
      </c>
      <c r="J6" s="2908">
        <v>7.4999999999999997E-2</v>
      </c>
      <c r="K6" s="2998">
        <f>SUMIF('数据-汇总表'!C$19:C$33,'数据-取费表'!A6,'数据-汇总表'!E$19:E$33)</f>
        <v>31713.88</v>
      </c>
      <c r="L6" s="2999">
        <f>面积表!E21</f>
        <v>2592.3381143094002</v>
      </c>
      <c r="M6" s="3000">
        <f t="shared" ref="M6:M14" si="1">ROUND(K6*L6/10000,0)</f>
        <v>8221</v>
      </c>
      <c r="N6" s="3001">
        <v>0</v>
      </c>
      <c r="O6" s="3000">
        <f>IF($N$5="成新度","——",ROUND(M6*N6,0))</f>
        <v>0</v>
      </c>
      <c r="P6" s="3002">
        <f>IF($N$5="成新度","——",M6-O6)</f>
        <v>8221</v>
      </c>
      <c r="Q6" s="3021">
        <v>0.05</v>
      </c>
      <c r="R6" s="2998">
        <f>SUMIF('数据-汇总表'!C$19:C$33,A6,'数据-汇总表'!R$19:R$33)</f>
        <v>26650.41</v>
      </c>
      <c r="S6" s="3022">
        <f>IF('数据-汇总表'!$I$17="按面积比例",SUMIF('数据-汇总表'!C$19:C$33,A6,'数据-汇总表'!K$19:K$33),SUMIF('数据-汇总表'!C$19:C$33,A6,'数据-汇总表'!N$19:N$33))</f>
        <v>14780.81</v>
      </c>
      <c r="T6" s="3023">
        <f>IF($T$4="按面积比例",IF(ISERROR(ROUND($M$14*S6/S$16,0)),"0",ROUND($M$14*S6/S$16,0)),"需自行计算录入")</f>
        <v>3832</v>
      </c>
      <c r="U6" s="3024">
        <v>1.8</v>
      </c>
      <c r="V6" s="3025">
        <v>0.02</v>
      </c>
      <c r="W6" s="3025">
        <v>0.1</v>
      </c>
      <c r="X6" s="3026"/>
      <c r="Y6" s="3047">
        <v>1</v>
      </c>
      <c r="Z6" s="3048"/>
      <c r="AA6" s="2908"/>
      <c r="AB6" s="2908"/>
      <c r="AC6" s="3030"/>
      <c r="AD6" s="3049"/>
      <c r="AE6" s="3050">
        <f ca="1">IF(AN6="",0,SUMIF(INDIRECT("'"&amp;AN6&amp;"'"&amp;"!E:E"),$AE$5,INDIRECT("'"&amp;AN6&amp;"'"&amp;"!F:F")))</f>
        <v>17.66</v>
      </c>
      <c r="AF6" s="2460"/>
      <c r="AG6" s="3059">
        <f>IF(AF6="",0,AE6-AF6)</f>
        <v>0</v>
      </c>
      <c r="AH6" s="2460"/>
      <c r="AI6" s="3060">
        <v>365</v>
      </c>
      <c r="AJ6" s="3061"/>
      <c r="AK6" s="3062">
        <v>5.0000000000000001E-3</v>
      </c>
      <c r="AL6" s="3063">
        <v>1.5E-3</v>
      </c>
      <c r="AM6" s="3064">
        <v>5.0000000000000001E-3</v>
      </c>
      <c r="AN6" s="3065" t="s">
        <v>648</v>
      </c>
      <c r="AO6" s="2923"/>
      <c r="AP6" s="2888">
        <f>ROUND(1-1/(1+H6)^F6,3)</f>
        <v>0.56000000000000005</v>
      </c>
      <c r="AQ6" s="2923"/>
      <c r="AR6" s="2923"/>
      <c r="AS6" s="2923"/>
      <c r="AT6" s="2923"/>
      <c r="AU6" s="2923"/>
      <c r="AV6" s="2923"/>
      <c r="AW6" s="2923"/>
      <c r="AX6" s="2923"/>
      <c r="AY6" s="2923"/>
      <c r="AZ6" s="2923"/>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row>
    <row r="7" spans="1:83" s="2873" customFormat="1" ht="14.25">
      <c r="A7" s="2900">
        <f>'数据-汇总表'!C20</f>
        <v>0</v>
      </c>
      <c r="B7" s="2901" t="str">
        <f t="shared" ref="B7:B13" si="2">IF(A7=0,"","经营性")</f>
        <v/>
      </c>
      <c r="C7" s="2902"/>
      <c r="D7" s="2903">
        <f>SUMIF(项目基本情况!C$15:I$15,C7,项目基本情况!C$18:I$18)</f>
        <v>0</v>
      </c>
      <c r="E7" s="2904" t="str">
        <f>IF(B7="","",SUMIF(项目基本情况!C$15:I$15,C7,项目基本情况!C$17:I$17))</f>
        <v/>
      </c>
      <c r="F7" s="2905">
        <f>SUMIF(项目基本情况!C$15:I$15,C7,项目基本情况!C$19:I$19)</f>
        <v>0</v>
      </c>
      <c r="G7" s="2906">
        <f t="shared" si="0"/>
        <v>0</v>
      </c>
      <c r="H7" s="2907"/>
      <c r="I7" s="2907"/>
      <c r="J7" s="2908"/>
      <c r="K7" s="2998">
        <f>SUMIF('数据-汇总表'!C$19:C$33,'数据-取费表'!A7,'数据-汇总表'!E$19:E$33)</f>
        <v>0</v>
      </c>
      <c r="L7" s="3003"/>
      <c r="M7" s="3000">
        <f t="shared" si="1"/>
        <v>0</v>
      </c>
      <c r="N7" s="3001"/>
      <c r="O7" s="3000">
        <f t="shared" ref="O7:O14" si="3">IF($N$5="成新度","——",ROUND(M7*N7,0))</f>
        <v>0</v>
      </c>
      <c r="P7" s="3002">
        <f t="shared" ref="P7:P14" si="4">IF($N$5="成新度","——",M7-O7)</f>
        <v>0</v>
      </c>
      <c r="Q7" s="3021"/>
      <c r="R7" s="2998">
        <f>SUMIF('数据-汇总表'!C$19:C$33,A7,'数据-汇总表'!R$19:R$33)</f>
        <v>0</v>
      </c>
      <c r="S7" s="3022">
        <f>IF('数据-汇总表'!$I$17="按面积比例",SUMIF('数据-汇总表'!C$19:C$33,A7,'数据-汇总表'!K$19:K$33),SUMIF('数据-汇总表'!C$19:C$33,A7,'数据-汇总表'!N$19:N$33))</f>
        <v>0</v>
      </c>
      <c r="T7" s="3023">
        <f t="shared" ref="T7:T13" si="5">IF($T$4="按面积比例",IF(ISERROR(ROUND($M$14*S7/S$16,0)),"0",ROUND($M$14*S7/S$16,0)),"需自行计算录入")</f>
        <v>0</v>
      </c>
      <c r="U7" s="3027"/>
      <c r="V7" s="3025"/>
      <c r="W7" s="3025"/>
      <c r="X7" s="3026"/>
      <c r="Y7" s="3047"/>
      <c r="Z7" s="3048"/>
      <c r="AA7" s="2908"/>
      <c r="AB7" s="2908"/>
      <c r="AC7" s="3030"/>
      <c r="AD7" s="3049"/>
      <c r="AE7" s="3050">
        <f t="shared" ref="AE7:AE13" ca="1" si="6">IF(AN7="",0,SUMIF(INDIRECT("'"&amp;AN7&amp;"'"&amp;"!E:E"),$AE$5,INDIRECT("'"&amp;AN7&amp;"'"&amp;"!F:F")))</f>
        <v>0</v>
      </c>
      <c r="AF7" s="2460"/>
      <c r="AG7" s="3059">
        <f t="shared" ref="AG7:AG13" si="7">IF(AF7="",0,AE7-AF7)</f>
        <v>0</v>
      </c>
      <c r="AH7" s="2460"/>
      <c r="AI7" s="3060"/>
      <c r="AJ7" s="3061"/>
      <c r="AK7" s="3062"/>
      <c r="AL7" s="3063"/>
      <c r="AM7" s="3064"/>
      <c r="AN7" s="3065"/>
      <c r="AO7" s="2923"/>
      <c r="AP7" s="2888">
        <f t="shared" ref="AP7:AP13" si="8">ROUND(1-1/(1+H7)^F7,3)</f>
        <v>0</v>
      </c>
      <c r="AQ7" s="2923"/>
      <c r="AR7" s="2923"/>
      <c r="AS7" s="2923"/>
      <c r="AT7" s="2923"/>
      <c r="AU7" s="2923"/>
      <c r="AV7" s="2923"/>
      <c r="AW7" s="2923"/>
      <c r="AX7" s="2923"/>
      <c r="AY7" s="2923"/>
      <c r="AZ7" s="2923"/>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row>
    <row r="8" spans="1:83" s="2873" customFormat="1" ht="14.25">
      <c r="A8" s="2900">
        <f>'数据-汇总表'!C21</f>
        <v>0</v>
      </c>
      <c r="B8" s="2901" t="str">
        <f t="shared" si="2"/>
        <v/>
      </c>
      <c r="C8" s="2902"/>
      <c r="D8" s="2903">
        <f>SUMIF(项目基本情况!C$15:I$15,C8,项目基本情况!C$18:I$18)</f>
        <v>0</v>
      </c>
      <c r="E8" s="2904" t="str">
        <f>IF(B8="","",SUMIF(项目基本情况!C$15:I$15,C8,项目基本情况!C$17:I$17))</f>
        <v/>
      </c>
      <c r="F8" s="2905">
        <f>SUMIF(项目基本情况!C$15:I$15,C8,项目基本情况!C$19:I$19)</f>
        <v>0</v>
      </c>
      <c r="G8" s="2906">
        <f t="shared" si="0"/>
        <v>0</v>
      </c>
      <c r="H8" s="2907"/>
      <c r="I8" s="2907"/>
      <c r="J8" s="2908"/>
      <c r="K8" s="2998">
        <f>SUMIF('数据-汇总表'!C$19:C$33,'数据-取费表'!A8,'数据-汇总表'!E$19:E$33)</f>
        <v>0</v>
      </c>
      <c r="L8" s="3003"/>
      <c r="M8" s="3000">
        <f t="shared" si="1"/>
        <v>0</v>
      </c>
      <c r="N8" s="3001"/>
      <c r="O8" s="3000">
        <f t="shared" si="3"/>
        <v>0</v>
      </c>
      <c r="P8" s="3002">
        <f t="shared" si="4"/>
        <v>0</v>
      </c>
      <c r="Q8" s="3021"/>
      <c r="R8" s="2998">
        <f>SUMIF('数据-汇总表'!C$19:C$33,A8,'数据-汇总表'!R$19:R$33)</f>
        <v>0</v>
      </c>
      <c r="S8" s="3022">
        <f>IF('数据-汇总表'!$I$17="按面积比例",SUMIF('数据-汇总表'!C$19:C$33,A8,'数据-汇总表'!K$19:K$33),SUMIF('数据-汇总表'!C$19:C$33,A8,'数据-汇总表'!N$19:N$33))</f>
        <v>0</v>
      </c>
      <c r="T8" s="3023">
        <f t="shared" si="5"/>
        <v>0</v>
      </c>
      <c r="U8" s="3027"/>
      <c r="V8" s="3025"/>
      <c r="W8" s="3025"/>
      <c r="X8" s="3026"/>
      <c r="Y8" s="3047"/>
      <c r="Z8" s="3048"/>
      <c r="AA8" s="2908"/>
      <c r="AB8" s="2908"/>
      <c r="AC8" s="3030"/>
      <c r="AD8" s="3049"/>
      <c r="AE8" s="3050">
        <f t="shared" ca="1" si="6"/>
        <v>0</v>
      </c>
      <c r="AF8" s="2460"/>
      <c r="AG8" s="3059">
        <f t="shared" si="7"/>
        <v>0</v>
      </c>
      <c r="AH8" s="2460"/>
      <c r="AI8" s="3060"/>
      <c r="AJ8" s="3061"/>
      <c r="AK8" s="3062"/>
      <c r="AL8" s="3063"/>
      <c r="AM8" s="3064"/>
      <c r="AN8" s="3065"/>
      <c r="AO8" s="2923"/>
      <c r="AP8" s="2888">
        <f t="shared" si="8"/>
        <v>0</v>
      </c>
      <c r="AQ8" s="2923"/>
      <c r="AR8" s="2923"/>
      <c r="AS8" s="2923"/>
      <c r="AT8" s="2923"/>
      <c r="AU8" s="2923"/>
      <c r="AV8" s="2923"/>
      <c r="AW8" s="2923"/>
      <c r="AX8" s="2923"/>
      <c r="AY8" s="2923"/>
      <c r="AZ8" s="2923"/>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row>
    <row r="9" spans="1:83" s="2873" customFormat="1" ht="14.25">
      <c r="A9" s="2900">
        <f>'数据-汇总表'!C22</f>
        <v>0</v>
      </c>
      <c r="B9" s="2901" t="str">
        <f t="shared" si="2"/>
        <v/>
      </c>
      <c r="C9" s="2902"/>
      <c r="D9" s="2903">
        <f>SUMIF(项目基本情况!C$15:I$15,C9,项目基本情况!C$18:I$18)</f>
        <v>0</v>
      </c>
      <c r="E9" s="2904" t="str">
        <f>IF(B9="","",SUMIF(项目基本情况!C$15:I$15,C9,项目基本情况!C$17:I$17))</f>
        <v/>
      </c>
      <c r="F9" s="2905">
        <f>SUMIF(项目基本情况!C$15:I$15,C9,项目基本情况!C$19:I$19)</f>
        <v>0</v>
      </c>
      <c r="G9" s="2906">
        <f t="shared" si="0"/>
        <v>0</v>
      </c>
      <c r="H9" s="2908"/>
      <c r="I9" s="2908"/>
      <c r="J9" s="2908"/>
      <c r="K9" s="2998">
        <f>SUMIF('数据-汇总表'!C$19:C$33,'数据-取费表'!A9,'数据-汇总表'!E$19:E$33)</f>
        <v>0</v>
      </c>
      <c r="L9" s="3003"/>
      <c r="M9" s="3000">
        <f t="shared" si="1"/>
        <v>0</v>
      </c>
      <c r="N9" s="3001"/>
      <c r="O9" s="3000">
        <f t="shared" si="3"/>
        <v>0</v>
      </c>
      <c r="P9" s="3002">
        <f t="shared" si="4"/>
        <v>0</v>
      </c>
      <c r="Q9" s="3028"/>
      <c r="R9" s="2998">
        <f>SUMIF('数据-汇总表'!C$19:C$33,A9,'数据-汇总表'!R$19:R$33)</f>
        <v>0</v>
      </c>
      <c r="S9" s="3022">
        <f>IF('数据-汇总表'!$I$17="按面积比例",SUMIF('数据-汇总表'!C$19:C$33,A9,'数据-汇总表'!K$19:K$33),SUMIF('数据-汇总表'!C$19:C$33,A9,'数据-汇总表'!N$19:N$33))</f>
        <v>0</v>
      </c>
      <c r="T9" s="3023">
        <f t="shared" si="5"/>
        <v>0</v>
      </c>
      <c r="U9" s="3027"/>
      <c r="V9" s="3025"/>
      <c r="W9" s="3025"/>
      <c r="X9" s="3026"/>
      <c r="Y9" s="3047"/>
      <c r="Z9" s="3048"/>
      <c r="AA9" s="2908"/>
      <c r="AB9" s="2908"/>
      <c r="AC9" s="3030"/>
      <c r="AD9" s="3049"/>
      <c r="AE9" s="3050">
        <f t="shared" ca="1" si="6"/>
        <v>0</v>
      </c>
      <c r="AF9" s="2460"/>
      <c r="AG9" s="3059">
        <f t="shared" si="7"/>
        <v>0</v>
      </c>
      <c r="AH9" s="2460"/>
      <c r="AI9" s="3060"/>
      <c r="AJ9" s="3061"/>
      <c r="AK9" s="3062"/>
      <c r="AL9" s="3063"/>
      <c r="AM9" s="3064"/>
      <c r="AN9" s="3065"/>
      <c r="AO9" s="2923"/>
      <c r="AP9" s="2888">
        <f t="shared" si="8"/>
        <v>0</v>
      </c>
      <c r="AQ9" s="2923"/>
      <c r="AR9" s="2923"/>
      <c r="AS9" s="2923"/>
      <c r="AT9" s="2923"/>
      <c r="AU9" s="2923"/>
      <c r="AV9" s="2923"/>
      <c r="AW9" s="2923"/>
      <c r="AX9" s="2923"/>
      <c r="AY9" s="2923"/>
      <c r="AZ9" s="2923"/>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row>
    <row r="10" spans="1:83" s="2873" customFormat="1" ht="14.25">
      <c r="A10" s="2900">
        <f>'数据-汇总表'!C23</f>
        <v>0</v>
      </c>
      <c r="B10" s="2901" t="str">
        <f t="shared" si="2"/>
        <v/>
      </c>
      <c r="C10" s="2902"/>
      <c r="D10" s="2903">
        <f>SUMIF(项目基本情况!C$15:I$15,C10,项目基本情况!C$18:I$18)</f>
        <v>0</v>
      </c>
      <c r="E10" s="2904" t="str">
        <f>IF(B10="","",SUMIF(项目基本情况!C$15:I$15,C10,项目基本情况!C$17:I$17))</f>
        <v/>
      </c>
      <c r="F10" s="2905">
        <f>SUMIF(项目基本情况!C$15:I$15,C10,项目基本情况!C$19:I$19)</f>
        <v>0</v>
      </c>
      <c r="G10" s="2906">
        <f t="shared" si="0"/>
        <v>0</v>
      </c>
      <c r="H10" s="2908"/>
      <c r="I10" s="2908"/>
      <c r="J10" s="2908"/>
      <c r="K10" s="2998">
        <f>SUMIF('数据-汇总表'!C$19:C$33,'数据-取费表'!A10,'数据-汇总表'!E$19:E$33)</f>
        <v>0</v>
      </c>
      <c r="L10" s="3003"/>
      <c r="M10" s="3000">
        <f t="shared" si="1"/>
        <v>0</v>
      </c>
      <c r="N10" s="3001"/>
      <c r="O10" s="3000">
        <f t="shared" si="3"/>
        <v>0</v>
      </c>
      <c r="P10" s="3002">
        <f t="shared" si="4"/>
        <v>0</v>
      </c>
      <c r="Q10" s="3028"/>
      <c r="R10" s="2998">
        <f>SUMIF('数据-汇总表'!C$19:C$33,A10,'数据-汇总表'!R$19:R$33)</f>
        <v>0</v>
      </c>
      <c r="S10" s="3022">
        <f>IF('数据-汇总表'!$I$17="按面积比例",SUMIF('数据-汇总表'!C$19:C$33,A10,'数据-汇总表'!K$19:K$33),SUMIF('数据-汇总表'!C$19:C$33,A10,'数据-汇总表'!N$19:N$33))</f>
        <v>0</v>
      </c>
      <c r="T10" s="3023">
        <f t="shared" si="5"/>
        <v>0</v>
      </c>
      <c r="U10" s="3027"/>
      <c r="V10" s="3025"/>
      <c r="W10" s="3025"/>
      <c r="X10" s="3026"/>
      <c r="Y10" s="3047"/>
      <c r="Z10" s="3048"/>
      <c r="AA10" s="2908"/>
      <c r="AB10" s="2908"/>
      <c r="AC10" s="3030"/>
      <c r="AD10" s="3049"/>
      <c r="AE10" s="3050">
        <f t="shared" ca="1" si="6"/>
        <v>0</v>
      </c>
      <c r="AF10" s="2460"/>
      <c r="AG10" s="3059">
        <f t="shared" si="7"/>
        <v>0</v>
      </c>
      <c r="AH10" s="2460"/>
      <c r="AI10" s="3060"/>
      <c r="AJ10" s="3061"/>
      <c r="AK10" s="3062"/>
      <c r="AL10" s="3063"/>
      <c r="AM10" s="3064"/>
      <c r="AN10" s="3065"/>
      <c r="AO10" s="2923"/>
      <c r="AP10" s="2888">
        <f t="shared" si="8"/>
        <v>0</v>
      </c>
      <c r="AQ10" s="2923"/>
      <c r="AR10" s="2923"/>
      <c r="AS10" s="2923"/>
      <c r="AT10" s="2923"/>
      <c r="AU10" s="2923"/>
      <c r="AV10" s="2923"/>
      <c r="AW10" s="2923"/>
      <c r="AX10" s="2923"/>
      <c r="AY10" s="2923"/>
      <c r="AZ10" s="2923"/>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row>
    <row r="11" spans="1:83" s="2873" customFormat="1" ht="14.25">
      <c r="A11" s="2900">
        <f>'数据-汇总表'!C24</f>
        <v>0</v>
      </c>
      <c r="B11" s="2901" t="str">
        <f t="shared" si="2"/>
        <v/>
      </c>
      <c r="C11" s="2902"/>
      <c r="D11" s="2903">
        <f>SUMIF(项目基本情况!C$15:I$15,C11,项目基本情况!C$18:I$18)</f>
        <v>0</v>
      </c>
      <c r="E11" s="2904" t="str">
        <f>IF(B11="","",SUMIF(项目基本情况!C$15:I$15,C11,项目基本情况!C$17:I$17))</f>
        <v/>
      </c>
      <c r="F11" s="2905">
        <f>SUMIF(项目基本情况!C$15:I$15,C11,项目基本情况!C$19:I$19)</f>
        <v>0</v>
      </c>
      <c r="G11" s="2906">
        <f t="shared" si="0"/>
        <v>0</v>
      </c>
      <c r="H11" s="2908"/>
      <c r="I11" s="2908"/>
      <c r="J11" s="2908"/>
      <c r="K11" s="2998">
        <f>SUMIF('数据-汇总表'!C$19:C$33,'数据-取费表'!A11,'数据-汇总表'!E$19:E$33)</f>
        <v>0</v>
      </c>
      <c r="L11" s="3003"/>
      <c r="M11" s="3000">
        <f t="shared" si="1"/>
        <v>0</v>
      </c>
      <c r="N11" s="3001"/>
      <c r="O11" s="3000">
        <f t="shared" si="3"/>
        <v>0</v>
      </c>
      <c r="P11" s="3002">
        <f t="shared" si="4"/>
        <v>0</v>
      </c>
      <c r="Q11" s="3028"/>
      <c r="R11" s="2998">
        <f>SUMIF('数据-汇总表'!C$19:C$33,A11,'数据-汇总表'!R$19:R$33)</f>
        <v>0</v>
      </c>
      <c r="S11" s="3022">
        <f>IF('数据-汇总表'!$I$17="按面积比例",SUMIF('数据-汇总表'!C$19:C$33,A11,'数据-汇总表'!K$19:K$33),SUMIF('数据-汇总表'!C$19:C$33,A11,'数据-汇总表'!N$19:N$33))</f>
        <v>0</v>
      </c>
      <c r="T11" s="3023">
        <f t="shared" si="5"/>
        <v>0</v>
      </c>
      <c r="U11" s="3029"/>
      <c r="V11" s="3025"/>
      <c r="W11" s="2908"/>
      <c r="X11" s="3030"/>
      <c r="Y11" s="3047"/>
      <c r="Z11" s="3051"/>
      <c r="AA11" s="2908"/>
      <c r="AB11" s="2908"/>
      <c r="AC11" s="3030"/>
      <c r="AD11" s="3049"/>
      <c r="AE11" s="3050">
        <f t="shared" ca="1" si="6"/>
        <v>0</v>
      </c>
      <c r="AF11" s="2460"/>
      <c r="AG11" s="3059">
        <f t="shared" si="7"/>
        <v>0</v>
      </c>
      <c r="AH11" s="2460"/>
      <c r="AI11" s="3060"/>
      <c r="AJ11" s="3061"/>
      <c r="AK11" s="3062"/>
      <c r="AL11" s="3063"/>
      <c r="AM11" s="3064"/>
      <c r="AN11" s="3065"/>
      <c r="AO11" s="2923"/>
      <c r="AP11" s="2888">
        <f t="shared" si="8"/>
        <v>0</v>
      </c>
      <c r="AQ11" s="2923"/>
      <c r="AR11" s="2923"/>
      <c r="AS11" s="2923"/>
      <c r="AT11" s="2923"/>
      <c r="AU11" s="2923"/>
      <c r="AV11" s="2923"/>
      <c r="AW11" s="2923"/>
      <c r="AX11" s="2923"/>
      <c r="AY11" s="2923"/>
      <c r="AZ11" s="2923"/>
      <c r="BA11" s="3072"/>
      <c r="BB11" s="3072"/>
      <c r="BC11" s="3072"/>
      <c r="BD11" s="3072"/>
      <c r="BE11" s="3072"/>
      <c r="BF11" s="3072"/>
      <c r="BG11" s="3072"/>
      <c r="BH11" s="3072"/>
      <c r="BI11" s="3072"/>
      <c r="BJ11" s="3072"/>
      <c r="BK11" s="3072"/>
      <c r="BL11" s="3072"/>
      <c r="BM11" s="3072"/>
      <c r="BN11" s="3072"/>
      <c r="BO11" s="3072"/>
      <c r="BP11" s="3072"/>
      <c r="BQ11" s="3072"/>
      <c r="BR11" s="3072"/>
      <c r="BS11" s="3072"/>
      <c r="BT11" s="3072"/>
      <c r="BU11" s="3072"/>
      <c r="BV11" s="3072"/>
      <c r="BW11" s="3072"/>
      <c r="BX11" s="3072"/>
      <c r="BY11" s="3072"/>
      <c r="BZ11" s="3072"/>
      <c r="CA11" s="3072"/>
      <c r="CB11" s="3072"/>
      <c r="CC11" s="3072"/>
      <c r="CD11" s="3072"/>
      <c r="CE11" s="3072"/>
    </row>
    <row r="12" spans="1:83" s="2873" customFormat="1" ht="14.25">
      <c r="A12" s="2900">
        <f>'数据-汇总表'!C25</f>
        <v>0</v>
      </c>
      <c r="B12" s="2901" t="str">
        <f t="shared" si="2"/>
        <v/>
      </c>
      <c r="C12" s="2902"/>
      <c r="D12" s="2903">
        <f>SUMIF(项目基本情况!C$15:I$15,C12,项目基本情况!C$18:I$18)</f>
        <v>0</v>
      </c>
      <c r="E12" s="2904" t="str">
        <f>IF(B12="","",SUMIF(项目基本情况!C$15:I$15,C12,项目基本情况!C$17:I$17))</f>
        <v/>
      </c>
      <c r="F12" s="2905">
        <f>SUMIF(项目基本情况!C$15:I$15,C12,项目基本情况!C$19:I$19)</f>
        <v>0</v>
      </c>
      <c r="G12" s="2906">
        <f t="shared" si="0"/>
        <v>0</v>
      </c>
      <c r="H12" s="2908"/>
      <c r="I12" s="2908"/>
      <c r="J12" s="2908"/>
      <c r="K12" s="2998">
        <f>SUMIF('数据-汇总表'!C$19:C$33,'数据-取费表'!A12,'数据-汇总表'!E$19:E$33)</f>
        <v>0</v>
      </c>
      <c r="L12" s="3003"/>
      <c r="M12" s="3000">
        <f t="shared" si="1"/>
        <v>0</v>
      </c>
      <c r="N12" s="3001"/>
      <c r="O12" s="3000">
        <f t="shared" si="3"/>
        <v>0</v>
      </c>
      <c r="P12" s="3002">
        <f t="shared" si="4"/>
        <v>0</v>
      </c>
      <c r="Q12" s="3028"/>
      <c r="R12" s="2998">
        <f>SUMIF('数据-汇总表'!C$19:C$33,A12,'数据-汇总表'!R$19:R$33)</f>
        <v>0</v>
      </c>
      <c r="S12" s="3022">
        <f>IF('数据-汇总表'!$I$17="按面积比例",SUMIF('数据-汇总表'!C$19:C$33,A12,'数据-汇总表'!K$19:K$33),SUMIF('数据-汇总表'!C$19:C$33,A12,'数据-汇总表'!N$19:N$33))</f>
        <v>0</v>
      </c>
      <c r="T12" s="3023">
        <f t="shared" si="5"/>
        <v>0</v>
      </c>
      <c r="U12" s="3029"/>
      <c r="V12" s="3025"/>
      <c r="W12" s="2908"/>
      <c r="X12" s="3030"/>
      <c r="Y12" s="3047"/>
      <c r="Z12" s="3051"/>
      <c r="AA12" s="2908"/>
      <c r="AB12" s="2908"/>
      <c r="AC12" s="3030"/>
      <c r="AD12" s="3049"/>
      <c r="AE12" s="3050">
        <f t="shared" ca="1" si="6"/>
        <v>0</v>
      </c>
      <c r="AF12" s="2460"/>
      <c r="AG12" s="3059">
        <f t="shared" si="7"/>
        <v>0</v>
      </c>
      <c r="AH12" s="2460"/>
      <c r="AI12" s="3060"/>
      <c r="AJ12" s="3061"/>
      <c r="AK12" s="3062"/>
      <c r="AL12" s="3063"/>
      <c r="AM12" s="3064"/>
      <c r="AN12" s="3065"/>
      <c r="AO12" s="2923"/>
      <c r="AP12" s="2888">
        <f t="shared" si="8"/>
        <v>0</v>
      </c>
      <c r="AQ12" s="2923"/>
      <c r="AR12" s="2923"/>
      <c r="AS12" s="2923"/>
      <c r="AT12" s="2923"/>
      <c r="AU12" s="2923"/>
      <c r="AV12" s="2923"/>
      <c r="AW12" s="2923"/>
      <c r="AX12" s="2923"/>
      <c r="AY12" s="2923"/>
      <c r="AZ12" s="2923"/>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2873" customFormat="1" ht="14.25">
      <c r="A13" s="2900">
        <f>'数据-汇总表'!C26</f>
        <v>0</v>
      </c>
      <c r="B13" s="2901" t="str">
        <f t="shared" si="2"/>
        <v/>
      </c>
      <c r="C13" s="2902"/>
      <c r="D13" s="2903">
        <f>SUMIF(项目基本情况!C$15:I$15,C13,项目基本情况!C$18:I$18)</f>
        <v>0</v>
      </c>
      <c r="E13" s="2904" t="str">
        <f>IF(B13="","",SUMIF(项目基本情况!C$15:I$15,C13,项目基本情况!C$17:I$17))</f>
        <v/>
      </c>
      <c r="F13" s="2905">
        <f>SUMIF(项目基本情况!C$15:I$15,C13,项目基本情况!C$19:I$19)</f>
        <v>0</v>
      </c>
      <c r="G13" s="2906">
        <f t="shared" si="0"/>
        <v>0</v>
      </c>
      <c r="H13" s="2908"/>
      <c r="I13" s="2908"/>
      <c r="J13" s="2908"/>
      <c r="K13" s="2998">
        <f>SUMIF('数据-汇总表'!C$19:C$33,'数据-取费表'!A13,'数据-汇总表'!E$19:E$33)</f>
        <v>0</v>
      </c>
      <c r="L13" s="3004"/>
      <c r="M13" s="3000">
        <f t="shared" si="1"/>
        <v>0</v>
      </c>
      <c r="N13" s="3005"/>
      <c r="O13" s="3000">
        <f t="shared" si="3"/>
        <v>0</v>
      </c>
      <c r="P13" s="3002">
        <f t="shared" si="4"/>
        <v>0</v>
      </c>
      <c r="Q13" s="3028"/>
      <c r="R13" s="2998">
        <f>SUMIF('数据-汇总表'!C$19:C$33,A13,'数据-汇总表'!R$19:R$33)</f>
        <v>0</v>
      </c>
      <c r="S13" s="3022">
        <f>IF('数据-汇总表'!$I$17="按面积比例",SUMIF('数据-汇总表'!C$19:C$33,A13,'数据-汇总表'!K$19:K$33),SUMIF('数据-汇总表'!C$19:C$33,A13,'数据-汇总表'!N$19:N$33))</f>
        <v>0</v>
      </c>
      <c r="T13" s="3023">
        <f t="shared" si="5"/>
        <v>0</v>
      </c>
      <c r="U13" s="3027"/>
      <c r="V13" s="3025"/>
      <c r="W13" s="3025"/>
      <c r="X13" s="3026"/>
      <c r="Y13" s="3047"/>
      <c r="Z13" s="3048"/>
      <c r="AA13" s="2908"/>
      <c r="AB13" s="2908"/>
      <c r="AC13" s="3030"/>
      <c r="AD13" s="3049"/>
      <c r="AE13" s="3050">
        <f t="shared" ca="1" si="6"/>
        <v>0</v>
      </c>
      <c r="AF13" s="2460"/>
      <c r="AG13" s="3059">
        <f t="shared" si="7"/>
        <v>0</v>
      </c>
      <c r="AH13" s="2460"/>
      <c r="AI13" s="3060"/>
      <c r="AJ13" s="3061"/>
      <c r="AK13" s="3062"/>
      <c r="AL13" s="3063"/>
      <c r="AM13" s="3066"/>
      <c r="AN13" s="3065"/>
      <c r="AO13" s="2923"/>
      <c r="AP13" s="2888">
        <f t="shared" si="8"/>
        <v>0</v>
      </c>
      <c r="AQ13" s="2923"/>
      <c r="AR13" s="2923"/>
      <c r="AS13" s="2923"/>
      <c r="AT13" s="2923"/>
      <c r="AU13" s="2923"/>
      <c r="AV13" s="2923"/>
      <c r="AW13" s="2923"/>
      <c r="AX13" s="2923"/>
      <c r="AY13" s="2923"/>
      <c r="AZ13" s="2923"/>
      <c r="BA13" s="3072"/>
      <c r="BB13" s="3072"/>
      <c r="BC13" s="3072"/>
      <c r="BD13" s="3072"/>
      <c r="BE13" s="3072"/>
      <c r="BF13" s="3072"/>
      <c r="BG13" s="3072"/>
      <c r="BH13" s="3072"/>
      <c r="BI13" s="3072"/>
      <c r="BJ13" s="3072"/>
      <c r="BK13" s="3072"/>
      <c r="BL13" s="3072"/>
      <c r="BM13" s="3072"/>
      <c r="BN13" s="3072"/>
      <c r="BO13" s="3072"/>
      <c r="BP13" s="3072"/>
      <c r="BQ13" s="3072"/>
      <c r="BR13" s="3072"/>
      <c r="BS13" s="3072"/>
      <c r="BT13" s="3072"/>
      <c r="BU13" s="3072"/>
      <c r="BV13" s="3072"/>
      <c r="BW13" s="3072"/>
      <c r="BX13" s="3072"/>
      <c r="BY13" s="3072"/>
      <c r="BZ13" s="3072"/>
      <c r="CA13" s="3072"/>
      <c r="CB13" s="3072"/>
      <c r="CC13" s="3072"/>
      <c r="CD13" s="3072"/>
      <c r="CE13" s="3072"/>
    </row>
    <row r="14" spans="1:83" s="2873" customFormat="1" ht="14.25">
      <c r="A14" s="2909" t="s">
        <v>531</v>
      </c>
      <c r="B14" s="2910" t="s">
        <v>649</v>
      </c>
      <c r="C14" s="2911" t="s">
        <v>531</v>
      </c>
      <c r="D14" s="2903"/>
      <c r="E14" s="2904"/>
      <c r="F14" s="2905"/>
      <c r="G14" s="2906"/>
      <c r="H14" s="2912"/>
      <c r="I14" s="2912"/>
      <c r="J14" s="2912"/>
      <c r="K14" s="2998">
        <f>SUMIF('数据-汇总表'!C$19:C$33,'数据-取费表'!A14,'数据-汇总表'!E$19:E$33)</f>
        <v>14780.81</v>
      </c>
      <c r="L14" s="3006">
        <f>L6</f>
        <v>2592.3381143094002</v>
      </c>
      <c r="M14" s="3000">
        <f t="shared" si="1"/>
        <v>3832</v>
      </c>
      <c r="N14" s="3005">
        <v>0</v>
      </c>
      <c r="O14" s="3000">
        <f t="shared" si="3"/>
        <v>0</v>
      </c>
      <c r="P14" s="3002">
        <f t="shared" si="4"/>
        <v>3832</v>
      </c>
      <c r="Q14" s="3031"/>
      <c r="R14" s="2998"/>
      <c r="S14" s="3022"/>
      <c r="T14" s="3032"/>
      <c r="U14" s="3033"/>
      <c r="V14" s="3034"/>
      <c r="W14" s="3034"/>
      <c r="X14" s="3026"/>
      <c r="Y14" s="3052"/>
      <c r="Z14" s="3053"/>
      <c r="AA14" s="3054"/>
      <c r="AB14" s="3054"/>
      <c r="AC14" s="3030"/>
      <c r="AD14" s="3026"/>
      <c r="AE14" s="3050"/>
      <c r="AF14" s="481"/>
      <c r="AG14" s="3059"/>
      <c r="AH14" s="481"/>
      <c r="AI14" s="480"/>
      <c r="AJ14" s="480"/>
      <c r="AK14" s="3067"/>
      <c r="AL14" s="3068"/>
      <c r="AM14" s="3069"/>
      <c r="AN14" s="2923"/>
      <c r="AO14" s="2923"/>
      <c r="AP14" s="2923"/>
      <c r="AQ14" s="2923"/>
      <c r="AR14" s="2923"/>
      <c r="AS14" s="2923"/>
      <c r="AT14" s="2923"/>
      <c r="AU14" s="2923"/>
      <c r="AV14" s="2923"/>
      <c r="AW14" s="2923"/>
      <c r="AX14" s="2923"/>
      <c r="AY14" s="2923"/>
      <c r="AZ14" s="2923"/>
      <c r="BA14" s="3072"/>
      <c r="BB14" s="3072"/>
      <c r="BC14" s="3072"/>
      <c r="BD14" s="3072"/>
      <c r="BE14" s="3072"/>
      <c r="BF14" s="3072"/>
      <c r="BG14" s="3072"/>
      <c r="BH14" s="3072"/>
      <c r="BI14" s="3072"/>
      <c r="BJ14" s="3072"/>
      <c r="BK14" s="3072"/>
      <c r="BL14" s="3072"/>
      <c r="BM14" s="3072"/>
      <c r="BN14" s="3072"/>
      <c r="BO14" s="3072"/>
      <c r="BP14" s="3072"/>
      <c r="BQ14" s="3072"/>
      <c r="BR14" s="3072"/>
      <c r="BS14" s="3072"/>
      <c r="BT14" s="3072"/>
      <c r="BU14" s="3072"/>
      <c r="BV14" s="3072"/>
      <c r="BW14" s="3072"/>
      <c r="BX14" s="3072"/>
      <c r="BY14" s="3072"/>
      <c r="BZ14" s="3072"/>
      <c r="CA14" s="3072"/>
      <c r="CB14" s="3072"/>
      <c r="CC14" s="3072"/>
      <c r="CD14" s="3072"/>
      <c r="CE14" s="3072"/>
    </row>
    <row r="15" spans="1:83" s="2873" customFormat="1" ht="27">
      <c r="A15" s="2913" t="s">
        <v>602</v>
      </c>
      <c r="B15" s="2910" t="s">
        <v>649</v>
      </c>
      <c r="C15" s="2911" t="s">
        <v>650</v>
      </c>
      <c r="D15" s="2903"/>
      <c r="E15" s="2904"/>
      <c r="F15" s="2905"/>
      <c r="G15" s="2906"/>
      <c r="H15" s="2912"/>
      <c r="I15" s="2912"/>
      <c r="J15" s="2912"/>
      <c r="K15" s="2998">
        <f>SUMIF('数据-汇总表'!C$19:C$33,'数据-取费表'!A15,'数据-汇总表'!E$19:E$33)</f>
        <v>0</v>
      </c>
      <c r="L15" s="3007"/>
      <c r="M15" s="3000"/>
      <c r="N15" s="3008"/>
      <c r="O15" s="3000"/>
      <c r="P15" s="3002"/>
      <c r="Q15" s="3031"/>
      <c r="R15" s="2998"/>
      <c r="S15" s="3022"/>
      <c r="T15" s="3032"/>
      <c r="U15" s="3033"/>
      <c r="V15" s="3034"/>
      <c r="W15" s="3034"/>
      <c r="X15" s="3026"/>
      <c r="Y15" s="3052"/>
      <c r="Z15" s="3053"/>
      <c r="AA15" s="3054"/>
      <c r="AB15" s="3054"/>
      <c r="AC15" s="3030"/>
      <c r="AD15" s="3026"/>
      <c r="AE15" s="3050"/>
      <c r="AF15" s="481"/>
      <c r="AG15" s="3059"/>
      <c r="AH15" s="481"/>
      <c r="AI15" s="480"/>
      <c r="AJ15" s="480"/>
      <c r="AK15" s="3067"/>
      <c r="AL15" s="3068"/>
      <c r="AM15" s="3069"/>
      <c r="AN15" s="2923"/>
      <c r="AO15" s="2923"/>
      <c r="AP15" s="2923"/>
      <c r="AQ15" s="2923"/>
      <c r="AR15" s="2923"/>
      <c r="AS15" s="2923"/>
      <c r="AT15" s="2923"/>
      <c r="AU15" s="2923"/>
      <c r="AV15" s="2923"/>
      <c r="AW15" s="2923"/>
      <c r="AX15" s="2923"/>
      <c r="AY15" s="2923"/>
      <c r="AZ15" s="2923"/>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row>
    <row r="16" spans="1:83" s="2873" customFormat="1" ht="15">
      <c r="A16" s="2914" t="s">
        <v>651</v>
      </c>
      <c r="B16" s="2915"/>
      <c r="C16" s="2916"/>
      <c r="D16" s="2917"/>
      <c r="E16" s="2915"/>
      <c r="F16" s="2915"/>
      <c r="G16" s="2918">
        <f>ROUND(SUMPRODUCT(G6:G13,K6:K13)/SUMPRODUCT((G6:G13&gt;0)*(K6:K13)),3)</f>
        <v>0.95699999999999996</v>
      </c>
      <c r="H16" s="2919">
        <f>ROUND(SUMPRODUCT(H6:H13,K6:K13)/SUMPRODUCT((H6:H13&gt;0)*(K6:K13)),3)</f>
        <v>4.4999999999999998E-2</v>
      </c>
      <c r="I16" s="3009"/>
      <c r="J16" s="3009"/>
      <c r="K16" s="3010">
        <f>SUM(K6:K15)</f>
        <v>46494.69</v>
      </c>
      <c r="L16" s="3011">
        <f>ROUND(M16*10000/SUM(K6:K14),0)</f>
        <v>2592</v>
      </c>
      <c r="M16" s="3011">
        <f>SUM(M6:M14)</f>
        <v>12053</v>
      </c>
      <c r="N16" s="3012">
        <f>ROUND(SUMPRODUCT(M6:M14,N6:N14)/M16,3)</f>
        <v>0</v>
      </c>
      <c r="O16" s="3011">
        <f>SUM(O6:O14)</f>
        <v>0</v>
      </c>
      <c r="P16" s="3011">
        <f>SUM(P6:P14)</f>
        <v>12053</v>
      </c>
      <c r="Q16" s="3035">
        <f>ROUND(SUMPRODUCT(Q6:Q13,K6:K13)/SUMPRODUCT((Q6:Q13&gt;0)*(K6:K13)),2)</f>
        <v>0.05</v>
      </c>
      <c r="R16" s="3036">
        <f>SUM(R6:R13)</f>
        <v>26650.41</v>
      </c>
      <c r="S16" s="3037">
        <f>SUM(S6:S13)</f>
        <v>14780.81</v>
      </c>
      <c r="T16" s="3038">
        <f>IF(SUMIF(T6:T13,"&lt;9E307")=M14,SUMIF(T6:T13,"&lt;9E307"),"有误，请检查")</f>
        <v>3832</v>
      </c>
      <c r="U16" s="3039"/>
      <c r="V16" s="3040"/>
      <c r="W16" s="3040"/>
      <c r="X16" s="3041"/>
      <c r="Y16" s="3055"/>
      <c r="Z16" s="3056"/>
      <c r="AA16" s="3040"/>
      <c r="AB16" s="3040"/>
      <c r="AC16" s="3041"/>
      <c r="AD16" s="3041"/>
      <c r="AE16" s="3039"/>
      <c r="AF16" s="3040"/>
      <c r="AG16" s="3055"/>
      <c r="AH16" s="3040"/>
      <c r="AI16" s="3056"/>
      <c r="AJ16" s="3056"/>
      <c r="AK16" s="3040"/>
      <c r="AL16" s="3040"/>
      <c r="AM16" s="3055"/>
      <c r="AN16" s="2923"/>
      <c r="AO16" s="2923"/>
      <c r="AP16" s="2888">
        <f>ROUND(SUMPRODUCT(AP6:AP13,K6:K13)/SUMPRODUCT((AP6:AP13&gt;0)*(K6:K13)),3)</f>
        <v>0.56000000000000005</v>
      </c>
      <c r="AQ16" s="2923"/>
      <c r="AR16" s="2923"/>
      <c r="AS16" s="2923"/>
      <c r="AT16" s="2923"/>
      <c r="AU16" s="2923"/>
      <c r="AV16" s="2923"/>
      <c r="AW16" s="2923"/>
      <c r="AX16" s="2923"/>
      <c r="AY16" s="2923"/>
      <c r="AZ16" s="2923"/>
      <c r="BA16" s="3072"/>
      <c r="BB16" s="3072"/>
      <c r="BC16" s="3072"/>
      <c r="BD16" s="3072"/>
      <c r="BE16" s="3072"/>
      <c r="BF16" s="3072"/>
      <c r="BG16" s="3072"/>
      <c r="BH16" s="3072"/>
      <c r="BI16" s="3072"/>
      <c r="BJ16" s="3072"/>
      <c r="BK16" s="3072"/>
      <c r="BL16" s="3072"/>
      <c r="BM16" s="3072"/>
      <c r="BN16" s="3072"/>
      <c r="BO16" s="3072"/>
      <c r="BP16" s="3072"/>
      <c r="BQ16" s="3072"/>
      <c r="BR16" s="3072"/>
      <c r="BS16" s="3072"/>
      <c r="BT16" s="3072"/>
      <c r="BU16" s="3072"/>
      <c r="BV16" s="3072"/>
      <c r="BW16" s="3072"/>
      <c r="BX16" s="3072"/>
      <c r="BY16" s="3072"/>
      <c r="BZ16" s="3072"/>
      <c r="CA16" s="3072"/>
      <c r="CB16" s="3072"/>
      <c r="CC16" s="3072"/>
      <c r="CD16" s="3072"/>
      <c r="CE16" s="3072"/>
    </row>
    <row r="17" spans="1:83">
      <c r="A17" s="2920"/>
      <c r="B17" s="2921"/>
      <c r="C17" s="2921"/>
      <c r="D17" s="2922"/>
      <c r="E17" s="2922"/>
      <c r="F17" s="2921"/>
      <c r="G17" s="2921"/>
      <c r="H17" s="2921"/>
      <c r="I17" s="2921"/>
      <c r="J17" s="2921"/>
      <c r="K17" s="3013"/>
      <c r="L17" s="3013"/>
      <c r="M17" s="2921"/>
      <c r="N17" s="2921"/>
      <c r="O17" s="2921"/>
      <c r="P17" s="2921"/>
      <c r="Q17" s="2921"/>
      <c r="R17" s="2921"/>
      <c r="S17" s="2921"/>
      <c r="T17" s="2921"/>
      <c r="U17" s="2921"/>
      <c r="V17" s="2921"/>
      <c r="W17" s="2921"/>
      <c r="X17" s="2921"/>
      <c r="Y17" s="2921"/>
      <c r="Z17" s="2921"/>
      <c r="AA17" s="2921"/>
      <c r="AB17" s="2921"/>
      <c r="AC17" s="2921"/>
      <c r="AD17" s="2921"/>
      <c r="AE17" s="2921"/>
      <c r="AF17" s="2921"/>
      <c r="AG17" s="2921"/>
      <c r="AH17" s="2921"/>
      <c r="AI17" s="2921"/>
      <c r="AJ17" s="2921"/>
      <c r="AK17" s="2921"/>
      <c r="AL17" s="2921"/>
      <c r="AM17" s="2921"/>
      <c r="AN17" s="2921"/>
      <c r="AO17" s="2921"/>
      <c r="AP17" s="2921"/>
      <c r="AQ17" s="2921"/>
      <c r="AR17" s="2921"/>
      <c r="AS17" s="2921"/>
      <c r="AT17" s="2921"/>
      <c r="AU17" s="2921"/>
      <c r="AV17" s="2921"/>
      <c r="AW17" s="2921"/>
      <c r="AX17" s="2921"/>
      <c r="AY17" s="2921"/>
      <c r="AZ17" s="2921"/>
    </row>
    <row r="18" spans="1:83" ht="14.25">
      <c r="A18" s="2889" t="s">
        <v>652</v>
      </c>
      <c r="B18" s="2923"/>
      <c r="C18" s="2923"/>
      <c r="D18" s="2924"/>
      <c r="E18" s="2923"/>
      <c r="F18" s="2923"/>
      <c r="G18" s="2923"/>
      <c r="H18" s="2923"/>
      <c r="I18" s="2923"/>
      <c r="J18" s="2923"/>
      <c r="K18" s="3013"/>
      <c r="L18" s="3013"/>
      <c r="M18" s="2921"/>
      <c r="N18" s="2921"/>
      <c r="O18" s="2921"/>
      <c r="P18" s="2921"/>
      <c r="Q18" s="2921"/>
      <c r="R18" s="2921"/>
      <c r="S18" s="2921"/>
      <c r="T18" s="2921"/>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1"/>
      <c r="AS18" s="2921"/>
      <c r="AT18" s="2921"/>
      <c r="AU18" s="2921"/>
      <c r="AV18" s="2921"/>
      <c r="AW18" s="2921"/>
      <c r="AX18" s="2921"/>
      <c r="AY18" s="2921"/>
      <c r="AZ18" s="2921"/>
    </row>
    <row r="19" spans="1:83" ht="14.25">
      <c r="A19" s="2925" t="s">
        <v>653</v>
      </c>
      <c r="B19" s="2926">
        <v>0</v>
      </c>
      <c r="C19" s="2927" t="s">
        <v>654</v>
      </c>
      <c r="D19" s="2924"/>
      <c r="E19" s="2923"/>
      <c r="F19" s="2923"/>
      <c r="G19" s="2923"/>
      <c r="H19" s="2923"/>
      <c r="I19" s="2923"/>
      <c r="J19" s="2923"/>
      <c r="K19" s="3013"/>
      <c r="L19" s="3013"/>
      <c r="M19" s="2921"/>
      <c r="N19" s="2921"/>
      <c r="O19" s="2921"/>
      <c r="P19" s="2921"/>
      <c r="Q19" s="2921"/>
      <c r="R19" s="2921"/>
      <c r="S19" s="2921"/>
      <c r="T19" s="2921"/>
      <c r="U19" s="2921"/>
      <c r="V19" s="2921"/>
      <c r="W19" s="2921"/>
      <c r="X19" s="2921"/>
      <c r="Y19" s="2921"/>
      <c r="Z19" s="2921"/>
      <c r="AA19" s="2921"/>
      <c r="AB19" s="2921"/>
      <c r="AC19" s="2921"/>
      <c r="AD19" s="2921"/>
      <c r="AE19" s="2921"/>
      <c r="AF19" s="2921"/>
      <c r="AG19" s="2921"/>
      <c r="AH19" s="2921"/>
      <c r="AI19" s="2921"/>
      <c r="AJ19" s="2921"/>
      <c r="AK19" s="2921"/>
      <c r="AL19" s="2921"/>
      <c r="AM19" s="2921"/>
      <c r="AN19" s="2921"/>
      <c r="AO19" s="2921"/>
      <c r="AP19" s="2921"/>
      <c r="AQ19" s="2921"/>
      <c r="AR19" s="2921"/>
      <c r="AS19" s="2921"/>
      <c r="AT19" s="2921"/>
      <c r="AU19" s="2921"/>
      <c r="AV19" s="2921"/>
      <c r="AW19" s="2921"/>
      <c r="AX19" s="2921"/>
      <c r="AY19" s="2921"/>
      <c r="AZ19" s="2921"/>
    </row>
    <row r="20" spans="1:83" ht="14.25">
      <c r="A20" s="2928" t="s">
        <v>655</v>
      </c>
      <c r="B20" s="2929">
        <v>1</v>
      </c>
      <c r="C20" s="2927" t="s">
        <v>656</v>
      </c>
      <c r="D20" s="2924"/>
      <c r="E20" s="2923"/>
      <c r="F20" s="2923"/>
      <c r="G20" s="2923"/>
      <c r="H20" s="2923"/>
      <c r="I20" s="2923"/>
      <c r="J20" s="2923"/>
      <c r="K20" s="3013"/>
      <c r="L20" s="3013"/>
      <c r="M20" s="2921"/>
      <c r="N20" s="2921"/>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1"/>
      <c r="AO20" s="2921"/>
      <c r="AP20" s="2921"/>
      <c r="AQ20" s="2921"/>
      <c r="AR20" s="2921"/>
      <c r="AS20" s="2921"/>
      <c r="AT20" s="2921"/>
      <c r="AU20" s="2921"/>
      <c r="AV20" s="2921"/>
      <c r="AW20" s="2921"/>
      <c r="AX20" s="2921"/>
      <c r="AY20" s="2921"/>
      <c r="AZ20" s="2921"/>
    </row>
    <row r="21" spans="1:83" ht="14.25">
      <c r="A21" s="2930" t="s">
        <v>657</v>
      </c>
      <c r="B21" s="2929"/>
      <c r="C21" s="2923"/>
      <c r="D21" s="2924"/>
      <c r="E21" s="2923"/>
      <c r="F21" s="2923"/>
      <c r="G21" s="2923"/>
      <c r="H21" s="2923"/>
      <c r="I21" s="2923"/>
      <c r="J21" s="2923"/>
      <c r="K21" s="3013"/>
      <c r="L21" s="3013"/>
      <c r="M21" s="2921"/>
      <c r="N21" s="2921"/>
      <c r="O21" s="2921"/>
      <c r="P21" s="2921"/>
      <c r="Q21" s="2921"/>
      <c r="R21" s="2921"/>
      <c r="S21" s="2921"/>
      <c r="T21" s="2921"/>
      <c r="U21" s="2921"/>
      <c r="V21" s="2921"/>
      <c r="W21" s="2921"/>
      <c r="X21" s="2921"/>
      <c r="Y21" s="2921"/>
      <c r="Z21" s="2921"/>
      <c r="AA21" s="2921"/>
      <c r="AB21" s="2921"/>
      <c r="AC21" s="2921"/>
      <c r="AD21" s="2921"/>
      <c r="AE21" s="2921"/>
      <c r="AF21" s="2921"/>
      <c r="AG21" s="2921"/>
      <c r="AH21" s="2921"/>
      <c r="AI21" s="2921"/>
      <c r="AJ21" s="2921"/>
      <c r="AK21" s="2921"/>
      <c r="AL21" s="2921"/>
      <c r="AM21" s="2921"/>
      <c r="AN21" s="2921"/>
      <c r="AO21" s="2921"/>
      <c r="AP21" s="2921"/>
      <c r="AQ21" s="2921"/>
      <c r="AR21" s="2921"/>
      <c r="AS21" s="2921"/>
      <c r="AT21" s="2921"/>
      <c r="AU21" s="2921"/>
      <c r="AV21" s="2921"/>
      <c r="AW21" s="2921"/>
      <c r="AX21" s="2921"/>
      <c r="AY21" s="2921"/>
      <c r="AZ21" s="2921"/>
    </row>
    <row r="22" spans="1:83" ht="14.25">
      <c r="A22" s="2928" t="s">
        <v>658</v>
      </c>
      <c r="B22" s="2931">
        <f>B19+B20</f>
        <v>1</v>
      </c>
      <c r="C22" s="2923"/>
      <c r="D22" s="2924"/>
      <c r="E22" s="2923"/>
      <c r="F22" s="2923"/>
      <c r="G22" s="2923"/>
      <c r="H22" s="2923"/>
      <c r="I22" s="2923"/>
      <c r="J22" s="2923"/>
      <c r="K22" s="3013"/>
      <c r="L22" s="3013"/>
      <c r="M22" s="2921"/>
      <c r="N22" s="2921"/>
      <c r="O22" s="2921"/>
      <c r="P22" s="2921"/>
      <c r="Q22" s="2921"/>
      <c r="R22" s="2921"/>
      <c r="S22" s="2921"/>
      <c r="T22" s="2921"/>
      <c r="U22" s="2921"/>
      <c r="V22" s="2921"/>
      <c r="W22" s="2921"/>
      <c r="X22" s="2921"/>
      <c r="Y22" s="2921"/>
      <c r="Z22" s="2921"/>
      <c r="AA22" s="2921"/>
      <c r="AB22" s="2921"/>
      <c r="AC22" s="2921"/>
      <c r="AD22" s="2921"/>
      <c r="AE22" s="2921"/>
      <c r="AF22" s="2921"/>
      <c r="AG22" s="2921"/>
      <c r="AH22" s="2921"/>
      <c r="AI22" s="2921"/>
      <c r="AJ22" s="2921"/>
      <c r="AK22" s="2921"/>
      <c r="AL22" s="2921"/>
      <c r="AM22" s="2921"/>
      <c r="AN22" s="2921"/>
      <c r="AO22" s="2921"/>
      <c r="AP22" s="2921"/>
      <c r="AQ22" s="2921"/>
      <c r="AR22" s="2921"/>
      <c r="AS22" s="2921"/>
      <c r="AT22" s="2921"/>
      <c r="AU22" s="2921"/>
      <c r="AV22" s="2921"/>
      <c r="AW22" s="2921"/>
      <c r="AX22" s="2921"/>
      <c r="AY22" s="2921"/>
      <c r="AZ22" s="2921"/>
    </row>
    <row r="23" spans="1:83" ht="14.25">
      <c r="A23" s="2930" t="s">
        <v>659</v>
      </c>
      <c r="B23" s="2931">
        <f>B19+B21</f>
        <v>0</v>
      </c>
      <c r="C23" s="2923"/>
      <c r="D23" s="2924"/>
      <c r="E23" s="2923"/>
      <c r="F23" s="2923"/>
      <c r="G23" s="2923"/>
      <c r="H23" s="2923"/>
      <c r="I23" s="2923"/>
      <c r="J23" s="2923"/>
      <c r="K23" s="3013"/>
      <c r="L23" s="3013"/>
      <c r="M23" s="2921"/>
      <c r="N23" s="2921"/>
      <c r="O23" s="2921"/>
      <c r="P23" s="2921"/>
      <c r="Q23" s="2921"/>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1"/>
      <c r="AO23" s="2921"/>
      <c r="AP23" s="2921"/>
      <c r="AQ23" s="2921"/>
      <c r="AR23" s="2921"/>
      <c r="AS23" s="2921"/>
      <c r="AT23" s="2921"/>
      <c r="AU23" s="2921"/>
      <c r="AV23" s="2921"/>
      <c r="AW23" s="2921"/>
      <c r="AX23" s="2921"/>
      <c r="AY23" s="2921"/>
      <c r="AZ23" s="2921"/>
    </row>
    <row r="24" spans="1:83" ht="14.25">
      <c r="A24" s="2932" t="s">
        <v>660</v>
      </c>
      <c r="B24" s="2933">
        <f>B20-B21</f>
        <v>1</v>
      </c>
      <c r="C24" s="2923"/>
      <c r="D24" s="2924"/>
      <c r="E24" s="2923"/>
      <c r="F24" s="2923"/>
      <c r="G24" s="2923"/>
      <c r="H24" s="2923"/>
      <c r="I24" s="2923"/>
      <c r="J24" s="2923"/>
      <c r="K24" s="3013"/>
      <c r="L24" s="3013"/>
      <c r="M24" s="2921"/>
      <c r="N24" s="2921"/>
      <c r="O24" s="2921"/>
      <c r="P24" s="2921"/>
      <c r="Q24" s="2921"/>
      <c r="R24" s="2921"/>
      <c r="S24" s="2921"/>
      <c r="T24" s="2921"/>
      <c r="U24" s="2921"/>
      <c r="V24" s="2921"/>
      <c r="W24" s="2921"/>
      <c r="X24" s="2921"/>
      <c r="Y24" s="2921"/>
      <c r="Z24" s="2921"/>
      <c r="AA24" s="2921"/>
      <c r="AB24" s="2921"/>
      <c r="AC24" s="2921"/>
      <c r="AD24" s="2921"/>
      <c r="AE24" s="2921"/>
      <c r="AF24" s="2921"/>
      <c r="AG24" s="2921"/>
      <c r="AH24" s="2921"/>
      <c r="AI24" s="2921"/>
      <c r="AJ24" s="2921"/>
      <c r="AK24" s="2921"/>
      <c r="AL24" s="2921"/>
      <c r="AM24" s="2921"/>
      <c r="AN24" s="2921"/>
      <c r="AO24" s="2921"/>
      <c r="AP24" s="2921"/>
      <c r="AQ24" s="2921"/>
      <c r="AR24" s="2921"/>
      <c r="AS24" s="2921"/>
      <c r="AT24" s="2921"/>
      <c r="AU24" s="2921"/>
      <c r="AV24" s="2921"/>
      <c r="AW24" s="2921"/>
      <c r="AX24" s="2921"/>
      <c r="AY24" s="2921"/>
      <c r="AZ24" s="2921"/>
    </row>
    <row r="25" spans="1:83" ht="14.25">
      <c r="A25" s="2887"/>
      <c r="B25" s="2888"/>
      <c r="C25" s="2923"/>
      <c r="D25" s="2924"/>
      <c r="E25" s="2923"/>
      <c r="F25" s="2923"/>
      <c r="G25" s="2923"/>
      <c r="H25" s="2923"/>
      <c r="I25" s="2923"/>
      <c r="J25" s="2923"/>
      <c r="K25" s="3013"/>
      <c r="L25" s="3013"/>
      <c r="M25" s="2921"/>
      <c r="N25" s="2921"/>
      <c r="O25" s="2921"/>
      <c r="P25" s="2921"/>
      <c r="Q25" s="2921"/>
      <c r="R25" s="2921"/>
      <c r="S25" s="2921"/>
      <c r="T25" s="2921"/>
      <c r="U25" s="2921"/>
      <c r="V25" s="2921"/>
      <c r="W25" s="2921"/>
      <c r="X25" s="2921"/>
      <c r="Y25" s="2921"/>
      <c r="Z25" s="2921"/>
      <c r="AA25" s="2921"/>
      <c r="AB25" s="2921"/>
      <c r="AC25" s="2921"/>
      <c r="AD25" s="2921"/>
      <c r="AE25" s="2921"/>
      <c r="AF25" s="2921"/>
      <c r="AG25" s="2921"/>
      <c r="AH25" s="2921"/>
      <c r="AI25" s="2921"/>
      <c r="AJ25" s="2921"/>
      <c r="AK25" s="2921"/>
      <c r="AL25" s="2921"/>
      <c r="AM25" s="2921"/>
      <c r="AN25" s="2921"/>
      <c r="AO25" s="2921"/>
      <c r="AP25" s="2921"/>
      <c r="AQ25" s="2921"/>
      <c r="AR25" s="2921"/>
      <c r="AS25" s="2921"/>
      <c r="AT25" s="2921"/>
      <c r="AU25" s="2921"/>
      <c r="AV25" s="2921"/>
      <c r="AW25" s="2921"/>
      <c r="AX25" s="2921"/>
      <c r="AY25" s="2921"/>
      <c r="AZ25" s="2921"/>
    </row>
    <row r="26" spans="1:83" ht="14.25">
      <c r="A26" s="2883" t="s">
        <v>661</v>
      </c>
      <c r="B26" s="2934" t="s">
        <v>662</v>
      </c>
      <c r="C26" s="2935" t="s">
        <v>663</v>
      </c>
      <c r="D26" s="2924"/>
      <c r="E26" s="2923"/>
      <c r="F26" s="2923"/>
      <c r="G26" s="2923"/>
      <c r="H26" s="2923"/>
      <c r="I26" s="2923"/>
      <c r="J26" s="2923"/>
      <c r="K26" s="3013"/>
      <c r="L26" s="3013"/>
      <c r="M26" s="2921"/>
      <c r="N26" s="2921"/>
      <c r="O26" s="2921"/>
      <c r="P26" s="2921"/>
      <c r="Q26" s="2921"/>
      <c r="R26" s="2921"/>
      <c r="S26" s="2921"/>
      <c r="T26" s="2921"/>
      <c r="U26" s="2921"/>
      <c r="V26" s="2921"/>
      <c r="W26" s="2921"/>
      <c r="X26" s="2921"/>
      <c r="Y26" s="2921"/>
      <c r="Z26" s="2921"/>
      <c r="AA26" s="2921"/>
      <c r="AB26" s="2921"/>
      <c r="AC26" s="2921"/>
      <c r="AD26" s="2921"/>
      <c r="AE26" s="2921"/>
      <c r="AF26" s="2921"/>
      <c r="AG26" s="2921"/>
      <c r="AH26" s="2921"/>
      <c r="AI26" s="2921"/>
      <c r="AJ26" s="2921"/>
      <c r="AK26" s="2921"/>
      <c r="AL26" s="2921"/>
      <c r="AM26" s="2921"/>
      <c r="AN26" s="2921"/>
      <c r="AO26" s="2921"/>
      <c r="AP26" s="2921"/>
      <c r="AQ26" s="2921"/>
      <c r="AR26" s="2921"/>
      <c r="AS26" s="2921"/>
      <c r="AT26" s="2921"/>
      <c r="AU26" s="2921"/>
      <c r="AV26" s="2921"/>
      <c r="AW26" s="2921"/>
      <c r="AX26" s="2921"/>
      <c r="AY26" s="2921"/>
      <c r="AZ26" s="2921"/>
    </row>
    <row r="27" spans="1:83" s="2875" customFormat="1" ht="28.5" thickBot="1">
      <c r="A27" s="2936" t="s">
        <v>664</v>
      </c>
      <c r="B27" s="2937"/>
      <c r="C27" s="2938" t="s">
        <v>665</v>
      </c>
      <c r="D27" s="2939"/>
      <c r="E27" s="2940"/>
      <c r="F27" s="2940"/>
      <c r="G27" s="2923"/>
      <c r="H27" s="2923"/>
      <c r="I27" s="2923"/>
      <c r="J27" s="2923"/>
      <c r="K27" s="3013"/>
      <c r="L27" s="3013"/>
      <c r="M27" s="2921"/>
      <c r="N27" s="2921"/>
      <c r="O27" s="2921"/>
      <c r="P27" s="2921"/>
      <c r="Q27" s="2921"/>
      <c r="R27" s="2921"/>
      <c r="S27" s="2921"/>
      <c r="T27" s="2921"/>
      <c r="U27" s="2921"/>
      <c r="V27" s="2921"/>
      <c r="W27" s="2921"/>
      <c r="X27" s="2921"/>
      <c r="Y27" s="2921"/>
      <c r="Z27" s="2921"/>
      <c r="AA27" s="2921"/>
      <c r="AB27" s="2921"/>
      <c r="AC27" s="2921"/>
      <c r="AD27" s="2921"/>
      <c r="AE27" s="2921"/>
      <c r="AF27" s="2921"/>
      <c r="AG27" s="2921"/>
      <c r="AH27" s="2921"/>
      <c r="AI27" s="2921"/>
      <c r="AJ27" s="2921"/>
      <c r="AK27" s="2921"/>
      <c r="AL27" s="2921"/>
      <c r="AM27" s="2921"/>
      <c r="AN27" s="2921"/>
      <c r="AO27" s="2921"/>
      <c r="AP27" s="2921"/>
      <c r="AQ27" s="2921"/>
      <c r="AR27" s="2921"/>
      <c r="AS27" s="2921"/>
      <c r="AT27" s="2921"/>
      <c r="AU27" s="2921"/>
      <c r="AV27" s="2921"/>
      <c r="AW27" s="2921"/>
      <c r="AX27" s="2921"/>
      <c r="AY27" s="2921"/>
      <c r="AZ27" s="2921"/>
      <c r="BA27" s="3074"/>
      <c r="BB27" s="3074"/>
      <c r="BC27" s="3074"/>
      <c r="BD27" s="3074"/>
      <c r="BE27" s="3074"/>
      <c r="BF27" s="3074"/>
      <c r="BG27" s="3074"/>
      <c r="BH27" s="3074"/>
      <c r="BI27" s="3074"/>
      <c r="BJ27" s="3074"/>
      <c r="BK27" s="3074"/>
      <c r="BL27" s="3074"/>
      <c r="BM27" s="3074"/>
      <c r="BN27" s="3074"/>
      <c r="BO27" s="3074"/>
      <c r="BP27" s="3074"/>
      <c r="BQ27" s="3074"/>
      <c r="BR27" s="3074"/>
      <c r="BS27" s="3074"/>
      <c r="BT27" s="3074"/>
      <c r="BU27" s="3074"/>
      <c r="BV27" s="3074"/>
      <c r="BW27" s="3074"/>
      <c r="BX27" s="3074"/>
      <c r="BY27" s="3074"/>
      <c r="BZ27" s="3074"/>
      <c r="CA27" s="3074"/>
      <c r="CB27" s="3074"/>
      <c r="CC27" s="3074"/>
      <c r="CD27" s="3074"/>
      <c r="CE27" s="3074"/>
    </row>
    <row r="28" spans="1:83" s="2875" customFormat="1" ht="27.75">
      <c r="A28" s="2941" t="s">
        <v>666</v>
      </c>
      <c r="B28" s="2937">
        <v>200</v>
      </c>
      <c r="C28" s="2942"/>
      <c r="D28" s="2939"/>
      <c r="E28" s="2940"/>
      <c r="F28" s="2940"/>
      <c r="G28" s="2923"/>
      <c r="H28" s="2923"/>
      <c r="I28" s="2923"/>
      <c r="J28" s="2923"/>
      <c r="K28" s="3013"/>
      <c r="L28" s="3013"/>
      <c r="M28" s="2921"/>
      <c r="N28" s="2921"/>
      <c r="O28" s="2921"/>
      <c r="P28" s="2921"/>
      <c r="Q28" s="2921"/>
      <c r="R28" s="2921"/>
      <c r="S28" s="2921"/>
      <c r="T28" s="2921"/>
      <c r="U28" s="2921"/>
      <c r="V28" s="2921"/>
      <c r="W28" s="2921"/>
      <c r="X28" s="2921"/>
      <c r="Y28" s="2921"/>
      <c r="Z28" s="2921"/>
      <c r="AA28" s="2921"/>
      <c r="AB28" s="2921"/>
      <c r="AC28" s="2921"/>
      <c r="AD28" s="2921"/>
      <c r="AE28" s="2921"/>
      <c r="AF28" s="2921"/>
      <c r="AG28" s="2921"/>
      <c r="AH28" s="2921"/>
      <c r="AI28" s="2921"/>
      <c r="AJ28" s="2921"/>
      <c r="AK28" s="2921"/>
      <c r="AL28" s="2921"/>
      <c r="AM28" s="2921"/>
      <c r="AN28" s="2921"/>
      <c r="AO28" s="2921"/>
      <c r="AP28" s="2921"/>
      <c r="AQ28" s="2921"/>
      <c r="AR28" s="2921"/>
      <c r="AS28" s="2921"/>
      <c r="AT28" s="2921"/>
      <c r="AU28" s="2921"/>
      <c r="AV28" s="2921"/>
      <c r="AW28" s="2921"/>
      <c r="AX28" s="2921"/>
      <c r="AY28" s="2921"/>
      <c r="AZ28" s="2921"/>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c r="BW28" s="3074"/>
      <c r="BX28" s="3074"/>
      <c r="BY28" s="3074"/>
      <c r="BZ28" s="3074"/>
      <c r="CA28" s="3074"/>
      <c r="CB28" s="3074"/>
      <c r="CC28" s="3074"/>
      <c r="CD28" s="3074"/>
      <c r="CE28" s="3074"/>
    </row>
    <row r="29" spans="1:83" s="2875" customFormat="1" ht="28.5" thickBot="1">
      <c r="A29" s="2943" t="s">
        <v>667</v>
      </c>
      <c r="B29" s="2944"/>
      <c r="C29" s="2945" t="s">
        <v>668</v>
      </c>
      <c r="D29" s="2939"/>
      <c r="E29" s="2940"/>
      <c r="F29" s="2940"/>
      <c r="G29" s="2923"/>
      <c r="H29" s="2923"/>
      <c r="I29" s="2923"/>
      <c r="J29" s="2923"/>
      <c r="K29" s="3013"/>
      <c r="L29" s="3013"/>
      <c r="M29" s="2921"/>
      <c r="N29" s="2921"/>
      <c r="O29" s="2921"/>
      <c r="P29" s="2921"/>
      <c r="Q29" s="2921"/>
      <c r="R29" s="2921"/>
      <c r="S29" s="2921"/>
      <c r="T29" s="2921"/>
      <c r="U29" s="2921"/>
      <c r="V29" s="2921"/>
      <c r="W29" s="2921"/>
      <c r="X29" s="2921"/>
      <c r="Y29" s="2921"/>
      <c r="Z29" s="2921"/>
      <c r="AA29" s="2921"/>
      <c r="AB29" s="2921"/>
      <c r="AC29" s="2921"/>
      <c r="AD29" s="2921"/>
      <c r="AE29" s="2921"/>
      <c r="AF29" s="2921"/>
      <c r="AG29" s="2921"/>
      <c r="AH29" s="2921"/>
      <c r="AI29" s="2921"/>
      <c r="AJ29" s="2921"/>
      <c r="AK29" s="2921"/>
      <c r="AL29" s="2921"/>
      <c r="AM29" s="2921"/>
      <c r="AN29" s="2921"/>
      <c r="AO29" s="2921"/>
      <c r="AP29" s="2921"/>
      <c r="AQ29" s="2921"/>
      <c r="AR29" s="2921"/>
      <c r="AS29" s="2921"/>
      <c r="AT29" s="2921"/>
      <c r="AU29" s="2921"/>
      <c r="AV29" s="2921"/>
      <c r="AW29" s="2921"/>
      <c r="AX29" s="2921"/>
      <c r="AY29" s="2921"/>
      <c r="AZ29" s="2921"/>
      <c r="BA29" s="3074"/>
      <c r="BB29" s="3074"/>
      <c r="BC29" s="3074"/>
      <c r="BD29" s="3074"/>
      <c r="BE29" s="3074"/>
      <c r="BF29" s="3074"/>
      <c r="BG29" s="3074"/>
      <c r="BH29" s="3074"/>
      <c r="BI29" s="3074"/>
      <c r="BJ29" s="3074"/>
      <c r="BK29" s="3074"/>
      <c r="BL29" s="3074"/>
      <c r="BM29" s="3074"/>
      <c r="BN29" s="3074"/>
      <c r="BO29" s="3074"/>
      <c r="BP29" s="3074"/>
      <c r="BQ29" s="3074"/>
      <c r="BR29" s="3074"/>
      <c r="BS29" s="3074"/>
      <c r="BT29" s="3074"/>
      <c r="BU29" s="3074"/>
      <c r="BV29" s="3074"/>
      <c r="BW29" s="3074"/>
      <c r="BX29" s="3074"/>
      <c r="BY29" s="3074"/>
      <c r="BZ29" s="3074"/>
      <c r="CA29" s="3074"/>
      <c r="CB29" s="3074"/>
      <c r="CC29" s="3074"/>
      <c r="CD29" s="3074"/>
      <c r="CE29" s="3074"/>
    </row>
    <row r="30" spans="1:83" s="2875" customFormat="1" ht="27">
      <c r="A30" s="2946" t="s">
        <v>669</v>
      </c>
      <c r="B30" s="2947">
        <v>200</v>
      </c>
      <c r="C30" s="2942"/>
      <c r="D30" s="2939"/>
      <c r="E30" s="2940"/>
      <c r="F30" s="2940"/>
      <c r="G30" s="2923"/>
      <c r="H30" s="2923"/>
      <c r="I30" s="2923"/>
      <c r="J30" s="2923"/>
      <c r="K30" s="3013"/>
      <c r="L30" s="3013"/>
      <c r="M30" s="2921"/>
      <c r="N30" s="2921"/>
      <c r="O30" s="2921"/>
      <c r="P30" s="2921"/>
      <c r="Q30" s="2921"/>
      <c r="R30" s="2921"/>
      <c r="S30" s="2921"/>
      <c r="T30" s="2921"/>
      <c r="U30" s="2921"/>
      <c r="V30" s="2921"/>
      <c r="W30" s="2921"/>
      <c r="X30" s="2921"/>
      <c r="Y30" s="2921"/>
      <c r="Z30" s="2921"/>
      <c r="AA30" s="2921"/>
      <c r="AB30" s="2921"/>
      <c r="AC30" s="2921"/>
      <c r="AD30" s="2921"/>
      <c r="AE30" s="2921"/>
      <c r="AF30" s="2921"/>
      <c r="AG30" s="2921"/>
      <c r="AH30" s="2921"/>
      <c r="AI30" s="2921"/>
      <c r="AJ30" s="2921"/>
      <c r="AK30" s="2921"/>
      <c r="AL30" s="2921"/>
      <c r="AM30" s="2921"/>
      <c r="AN30" s="2921"/>
      <c r="AO30" s="2921"/>
      <c r="AP30" s="2921"/>
      <c r="AQ30" s="2921"/>
      <c r="AR30" s="2921"/>
      <c r="AS30" s="2921"/>
      <c r="AT30" s="2921"/>
      <c r="AU30" s="2921"/>
      <c r="AV30" s="2921"/>
      <c r="AW30" s="2921"/>
      <c r="AX30" s="2921"/>
      <c r="AY30" s="2921"/>
      <c r="AZ30" s="2921"/>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c r="BW30" s="3074"/>
      <c r="BX30" s="3074"/>
      <c r="BY30" s="3074"/>
      <c r="BZ30" s="3074"/>
      <c r="CA30" s="3074"/>
      <c r="CB30" s="3074"/>
      <c r="CC30" s="3074"/>
      <c r="CD30" s="3074"/>
      <c r="CE30" s="3074"/>
    </row>
    <row r="31" spans="1:83" s="2875" customFormat="1" ht="27">
      <c r="A31" s="2941" t="s">
        <v>670</v>
      </c>
      <c r="B31" s="2948">
        <f>B30-B32</f>
        <v>50</v>
      </c>
      <c r="C31" s="2949"/>
      <c r="D31" s="2939"/>
      <c r="E31" s="2940"/>
      <c r="F31" s="2940"/>
      <c r="G31" s="2923"/>
      <c r="H31" s="2923"/>
      <c r="I31" s="2923"/>
      <c r="J31" s="2923"/>
      <c r="K31" s="3013"/>
      <c r="L31" s="3013"/>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1"/>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c r="BW31" s="3074"/>
      <c r="BX31" s="3074"/>
      <c r="BY31" s="3074"/>
      <c r="BZ31" s="3074"/>
      <c r="CA31" s="3074"/>
      <c r="CB31" s="3074"/>
      <c r="CC31" s="3074"/>
      <c r="CD31" s="3074"/>
      <c r="CE31" s="3074"/>
    </row>
    <row r="32" spans="1:83" s="2875" customFormat="1" ht="27">
      <c r="A32" s="2950" t="s">
        <v>671</v>
      </c>
      <c r="B32" s="2951">
        <v>150</v>
      </c>
      <c r="C32" s="2942"/>
      <c r="D32" s="2924"/>
      <c r="E32" s="2923"/>
      <c r="F32" s="2923"/>
      <c r="G32" s="2923"/>
      <c r="H32" s="2923"/>
      <c r="I32" s="2923"/>
      <c r="J32" s="2923"/>
      <c r="K32" s="3013"/>
      <c r="L32" s="3013"/>
      <c r="M32" s="2921"/>
      <c r="N32" s="2921"/>
      <c r="O32" s="2921"/>
      <c r="P32" s="2921"/>
      <c r="Q32" s="2921"/>
      <c r="R32" s="2921"/>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1"/>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c r="BW32" s="3074"/>
      <c r="BX32" s="3074"/>
      <c r="BY32" s="3074"/>
      <c r="BZ32" s="3074"/>
      <c r="CA32" s="3074"/>
      <c r="CB32" s="3074"/>
      <c r="CC32" s="3074"/>
      <c r="CD32" s="3074"/>
      <c r="CE32" s="3074"/>
    </row>
    <row r="33" spans="1:83" s="2875" customFormat="1" ht="14.25">
      <c r="A33" s="2936" t="s">
        <v>672</v>
      </c>
      <c r="B33" s="2952">
        <v>0.03</v>
      </c>
      <c r="C33" s="2953" t="s">
        <v>673</v>
      </c>
      <c r="D33" s="2939"/>
      <c r="E33" s="2940"/>
      <c r="F33" s="2940"/>
      <c r="G33" s="2923"/>
      <c r="H33" s="2923"/>
      <c r="I33" s="2923"/>
      <c r="J33" s="2923"/>
      <c r="K33" s="3013"/>
      <c r="L33" s="3013"/>
      <c r="M33" s="2921"/>
      <c r="N33" s="2921"/>
      <c r="O33" s="2921"/>
      <c r="P33" s="2921"/>
      <c r="Q33" s="2921"/>
      <c r="R33" s="2921"/>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1"/>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c r="BW33" s="3074"/>
      <c r="BX33" s="3074"/>
      <c r="BY33" s="3074"/>
      <c r="BZ33" s="3074"/>
      <c r="CA33" s="3074"/>
      <c r="CB33" s="3074"/>
      <c r="CC33" s="3074"/>
      <c r="CD33" s="3074"/>
      <c r="CE33" s="3074"/>
    </row>
    <row r="34" spans="1:83" ht="14.25">
      <c r="A34" s="2941" t="s">
        <v>674</v>
      </c>
      <c r="B34" s="2954">
        <v>0</v>
      </c>
      <c r="C34" s="2953" t="s">
        <v>675</v>
      </c>
      <c r="D34" s="2955" t="s">
        <v>676</v>
      </c>
      <c r="E34" s="2921"/>
      <c r="F34" s="2923"/>
      <c r="G34" s="2923"/>
      <c r="H34" s="2923"/>
      <c r="I34" s="2923"/>
      <c r="J34" s="2923"/>
      <c r="K34" s="3013"/>
      <c r="L34" s="3013"/>
      <c r="M34" s="2921"/>
      <c r="N34" s="2921"/>
      <c r="O34" s="2921"/>
      <c r="P34" s="2921"/>
      <c r="Q34" s="2921"/>
      <c r="R34" s="2921"/>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1"/>
    </row>
    <row r="35" spans="1:83" ht="14.25">
      <c r="A35" s="2941" t="s">
        <v>677</v>
      </c>
      <c r="B35" s="2956">
        <v>200</v>
      </c>
      <c r="C35" s="2953" t="s">
        <v>678</v>
      </c>
      <c r="D35" s="2924"/>
      <c r="E35" s="2923"/>
      <c r="F35" s="2923"/>
      <c r="G35" s="2923"/>
      <c r="H35" s="2923"/>
      <c r="I35" s="2923"/>
      <c r="J35" s="2923"/>
      <c r="K35" s="3013"/>
      <c r="L35" s="3013"/>
      <c r="M35" s="2921"/>
      <c r="N35" s="2921"/>
      <c r="O35" s="2921"/>
      <c r="P35" s="2921"/>
      <c r="Q35" s="2921"/>
      <c r="R35" s="2921"/>
      <c r="S35" s="2921"/>
      <c r="T35" s="2921"/>
      <c r="U35" s="2921"/>
      <c r="V35" s="2921"/>
      <c r="W35" s="2921"/>
      <c r="X35" s="2921"/>
      <c r="Y35" s="2921"/>
      <c r="Z35" s="2921"/>
      <c r="AA35" s="2921"/>
      <c r="AB35" s="2921"/>
      <c r="AC35" s="2921"/>
      <c r="AD35" s="2921"/>
      <c r="AE35" s="2921"/>
      <c r="AF35" s="2921"/>
      <c r="AG35" s="2921"/>
      <c r="AH35" s="2921"/>
      <c r="AI35" s="2921"/>
      <c r="AJ35" s="2921"/>
      <c r="AK35" s="2921"/>
      <c r="AL35" s="2921"/>
      <c r="AM35" s="2921"/>
      <c r="AN35" s="2921"/>
      <c r="AO35" s="2921"/>
      <c r="AP35" s="2921"/>
      <c r="AQ35" s="2921"/>
      <c r="AR35" s="2921"/>
      <c r="AS35" s="2921"/>
      <c r="AT35" s="2921"/>
      <c r="AU35" s="2921"/>
      <c r="AV35" s="2921"/>
      <c r="AW35" s="2921"/>
      <c r="AX35" s="2921"/>
      <c r="AY35" s="2921"/>
      <c r="AZ35" s="2921"/>
    </row>
    <row r="36" spans="1:83" ht="14.25">
      <c r="A36" s="2943" t="s">
        <v>679</v>
      </c>
      <c r="B36" s="2957">
        <v>1.4999999999999999E-2</v>
      </c>
      <c r="C36" s="2953" t="s">
        <v>680</v>
      </c>
      <c r="D36" s="2922"/>
      <c r="E36" s="2921"/>
      <c r="F36" s="2923"/>
      <c r="G36" s="2923"/>
      <c r="H36" s="2923"/>
      <c r="I36" s="2923"/>
      <c r="J36" s="2923"/>
      <c r="K36" s="3013"/>
      <c r="L36" s="3013"/>
      <c r="M36" s="2921"/>
      <c r="N36" s="2921"/>
      <c r="O36" s="2921"/>
      <c r="P36" s="2921"/>
      <c r="Q36" s="2921"/>
      <c r="R36" s="2921"/>
      <c r="S36" s="2921"/>
      <c r="T36" s="2921"/>
      <c r="U36" s="2921"/>
      <c r="V36" s="2921"/>
      <c r="W36" s="2921"/>
      <c r="X36" s="2921"/>
      <c r="Y36" s="2921"/>
      <c r="Z36" s="2921"/>
      <c r="AA36" s="2921"/>
      <c r="AB36" s="2921"/>
      <c r="AC36" s="2921"/>
      <c r="AD36" s="2921"/>
      <c r="AE36" s="2921"/>
      <c r="AF36" s="2921"/>
      <c r="AG36" s="2921"/>
      <c r="AH36" s="2921"/>
      <c r="AI36" s="2921"/>
      <c r="AJ36" s="2921"/>
      <c r="AK36" s="2921"/>
      <c r="AL36" s="2921"/>
      <c r="AM36" s="2921"/>
      <c r="AN36" s="2921"/>
      <c r="AO36" s="2921"/>
      <c r="AP36" s="2921"/>
      <c r="AQ36" s="2921"/>
      <c r="AR36" s="2921"/>
      <c r="AS36" s="2921"/>
      <c r="AT36" s="2921"/>
      <c r="AU36" s="2921"/>
      <c r="AV36" s="2921"/>
      <c r="AW36" s="2921"/>
      <c r="AX36" s="2921"/>
      <c r="AY36" s="2921"/>
      <c r="AZ36" s="2921"/>
    </row>
    <row r="37" spans="1:83" ht="14.25">
      <c r="A37" s="2946" t="s">
        <v>681</v>
      </c>
      <c r="B37" s="2958">
        <v>0.02</v>
      </c>
      <c r="C37" s="2953" t="s">
        <v>682</v>
      </c>
      <c r="D37" s="2924"/>
      <c r="E37" s="2923"/>
      <c r="F37" s="2923"/>
      <c r="G37" s="2923"/>
      <c r="H37" s="2923"/>
      <c r="I37" s="2923"/>
      <c r="J37" s="2923"/>
      <c r="K37" s="3013"/>
      <c r="L37" s="3013"/>
      <c r="M37" s="2921"/>
      <c r="N37" s="2921"/>
      <c r="O37" s="2921"/>
      <c r="P37" s="2921"/>
      <c r="Q37" s="2921"/>
      <c r="R37" s="2921"/>
      <c r="S37" s="2921"/>
      <c r="T37" s="2921"/>
      <c r="U37" s="2921"/>
      <c r="V37" s="2921"/>
      <c r="W37" s="2921"/>
      <c r="X37" s="2921"/>
      <c r="Y37" s="2921"/>
      <c r="Z37" s="2921"/>
      <c r="AA37" s="2921"/>
      <c r="AB37" s="2921"/>
      <c r="AC37" s="2921"/>
      <c r="AD37" s="2921"/>
      <c r="AE37" s="2921"/>
      <c r="AF37" s="2921"/>
      <c r="AG37" s="2921"/>
      <c r="AH37" s="2921"/>
      <c r="AI37" s="2921"/>
      <c r="AJ37" s="2921"/>
      <c r="AK37" s="2921"/>
      <c r="AL37" s="2921"/>
      <c r="AM37" s="2921"/>
      <c r="AN37" s="2921"/>
      <c r="AO37" s="2921"/>
      <c r="AP37" s="2921"/>
      <c r="AQ37" s="2921"/>
      <c r="AR37" s="2921"/>
      <c r="AS37" s="2921"/>
      <c r="AT37" s="2921"/>
      <c r="AU37" s="2921"/>
      <c r="AV37" s="2921"/>
      <c r="AW37" s="2921"/>
      <c r="AX37" s="2921"/>
      <c r="AY37" s="2921"/>
      <c r="AZ37" s="2921"/>
    </row>
    <row r="38" spans="1:83" ht="14.25">
      <c r="A38" s="2941" t="s">
        <v>683</v>
      </c>
      <c r="B38" s="2954">
        <v>0.02</v>
      </c>
      <c r="C38" s="2953" t="s">
        <v>682</v>
      </c>
      <c r="D38" s="2924"/>
      <c r="E38" s="2923"/>
      <c r="F38" s="2923"/>
      <c r="G38" s="2923"/>
      <c r="H38" s="2923"/>
      <c r="I38" s="2923"/>
      <c r="J38" s="2923"/>
      <c r="K38" s="3013"/>
      <c r="L38" s="3013"/>
      <c r="M38" s="2921"/>
      <c r="N38" s="2921"/>
      <c r="O38" s="2921"/>
      <c r="P38" s="2921"/>
      <c r="Q38" s="2921"/>
      <c r="R38" s="2921"/>
      <c r="S38" s="2921"/>
      <c r="T38" s="2921"/>
      <c r="U38" s="2921"/>
      <c r="V38" s="2921"/>
      <c r="W38" s="2921"/>
      <c r="X38" s="2921"/>
      <c r="Y38" s="2921"/>
      <c r="Z38" s="2921"/>
      <c r="AA38" s="2921"/>
      <c r="AB38" s="2921"/>
      <c r="AC38" s="2921"/>
      <c r="AD38" s="2921"/>
      <c r="AE38" s="2921"/>
      <c r="AF38" s="2921"/>
      <c r="AG38" s="2921"/>
      <c r="AH38" s="2921"/>
      <c r="AI38" s="2921"/>
      <c r="AJ38" s="2921"/>
      <c r="AK38" s="2921"/>
      <c r="AL38" s="2921"/>
      <c r="AM38" s="2921"/>
      <c r="AN38" s="2921"/>
      <c r="AO38" s="2921"/>
      <c r="AP38" s="2921"/>
      <c r="AQ38" s="2921"/>
      <c r="AR38" s="2921"/>
      <c r="AS38" s="2921"/>
      <c r="AT38" s="2921"/>
      <c r="AU38" s="2921"/>
      <c r="AV38" s="2921"/>
      <c r="AW38" s="2921"/>
      <c r="AX38" s="2921"/>
      <c r="AY38" s="2921"/>
      <c r="AZ38" s="2921"/>
    </row>
    <row r="39" spans="1:83" ht="14.25">
      <c r="A39" s="2959" t="s">
        <v>684</v>
      </c>
      <c r="B39" s="1110">
        <f ca="1">存贷款利率!C4</f>
        <v>1.4999999999999999E-2</v>
      </c>
      <c r="C39" s="2960"/>
      <c r="D39" s="2924"/>
      <c r="E39" s="2923"/>
      <c r="F39" s="2923"/>
      <c r="G39" s="2923"/>
      <c r="H39" s="2923"/>
      <c r="I39" s="2923"/>
      <c r="J39" s="2923"/>
      <c r="K39" s="3013"/>
      <c r="L39" s="3013"/>
      <c r="M39" s="2921"/>
      <c r="N39" s="2921"/>
      <c r="O39" s="2921"/>
      <c r="P39" s="2921"/>
      <c r="Q39" s="2921"/>
      <c r="R39" s="2921"/>
      <c r="S39" s="2921"/>
      <c r="T39" s="2921"/>
      <c r="U39" s="2921"/>
      <c r="V39" s="2921"/>
      <c r="W39" s="2921"/>
      <c r="X39" s="2921"/>
      <c r="Y39" s="2921"/>
      <c r="Z39" s="2921"/>
      <c r="AA39" s="2921"/>
      <c r="AB39" s="2921"/>
      <c r="AC39" s="2921"/>
      <c r="AD39" s="2921"/>
      <c r="AE39" s="2921"/>
      <c r="AF39" s="2921"/>
      <c r="AG39" s="2921"/>
      <c r="AH39" s="2921"/>
      <c r="AI39" s="2921"/>
      <c r="AJ39" s="2921"/>
      <c r="AK39" s="2921"/>
      <c r="AL39" s="2921"/>
      <c r="AM39" s="2921"/>
      <c r="AN39" s="2921"/>
      <c r="AO39" s="2921"/>
      <c r="AP39" s="2921"/>
      <c r="AQ39" s="2921"/>
      <c r="AR39" s="2921"/>
      <c r="AS39" s="2921"/>
      <c r="AT39" s="2921"/>
      <c r="AU39" s="2921"/>
      <c r="AV39" s="2921"/>
      <c r="AW39" s="2921"/>
      <c r="AX39" s="2921"/>
      <c r="AY39" s="2921"/>
      <c r="AZ39" s="2921"/>
    </row>
    <row r="40" spans="1:83" ht="14.25">
      <c r="A40" s="2961" t="s">
        <v>685</v>
      </c>
      <c r="B40" s="2962">
        <f ca="1">IF(A40="利息：取LPR",存贷款利率!E2,存贷款利率!E2+C40)</f>
        <v>3.4500000000000003E-2</v>
      </c>
      <c r="C40" s="2963">
        <v>5.0000000000000001E-3</v>
      </c>
      <c r="D40" s="2924"/>
      <c r="E40" s="2923"/>
      <c r="F40" s="2923"/>
      <c r="G40" s="2923"/>
      <c r="H40" s="2923"/>
      <c r="I40" s="2923"/>
      <c r="J40" s="2923"/>
      <c r="K40" s="3013"/>
      <c r="L40" s="3013"/>
      <c r="M40" s="2921"/>
      <c r="N40" s="2921"/>
      <c r="O40" s="2921"/>
      <c r="P40" s="2921"/>
      <c r="Q40" s="2921"/>
      <c r="R40" s="2921"/>
      <c r="S40" s="2921"/>
      <c r="T40" s="2921"/>
      <c r="U40" s="2921"/>
      <c r="V40" s="2921"/>
      <c r="W40" s="2921"/>
      <c r="X40" s="2921"/>
      <c r="Y40" s="2921"/>
      <c r="Z40" s="2921"/>
      <c r="AA40" s="2921"/>
      <c r="AB40" s="2921"/>
      <c r="AC40" s="2921"/>
      <c r="AD40" s="2921"/>
      <c r="AE40" s="2921"/>
      <c r="AF40" s="2921"/>
      <c r="AG40" s="2921"/>
      <c r="AH40" s="2921"/>
      <c r="AI40" s="2921"/>
      <c r="AJ40" s="2921"/>
      <c r="AK40" s="2921"/>
      <c r="AL40" s="2921"/>
      <c r="AM40" s="2921"/>
      <c r="AN40" s="2921"/>
      <c r="AO40" s="2921"/>
      <c r="AP40" s="2921"/>
      <c r="AQ40" s="2921"/>
      <c r="AR40" s="2921"/>
      <c r="AS40" s="2921"/>
      <c r="AT40" s="2921"/>
      <c r="AU40" s="2921"/>
      <c r="AV40" s="2921"/>
      <c r="AW40" s="2921"/>
      <c r="AX40" s="2921"/>
      <c r="AY40" s="2921"/>
      <c r="AZ40" s="2921"/>
    </row>
    <row r="41" spans="1:83" ht="14.25">
      <c r="A41" s="2936" t="s">
        <v>686</v>
      </c>
      <c r="B41" s="2964">
        <f>B42+B43</f>
        <v>5.5E-2</v>
      </c>
      <c r="C41" s="2949"/>
      <c r="D41" s="2924"/>
      <c r="E41" s="2923"/>
      <c r="F41" s="2923"/>
      <c r="G41" s="2923"/>
      <c r="H41" s="2923"/>
      <c r="I41" s="2923"/>
      <c r="J41" s="2923"/>
      <c r="K41" s="3013"/>
      <c r="L41" s="3013"/>
      <c r="M41" s="2921"/>
      <c r="N41" s="2921"/>
      <c r="O41" s="2921"/>
      <c r="P41" s="2921"/>
      <c r="Q41" s="2921"/>
      <c r="R41" s="2921"/>
      <c r="S41" s="2921"/>
      <c r="T41" s="2921"/>
      <c r="U41" s="2921"/>
      <c r="V41" s="2921"/>
      <c r="W41" s="2921"/>
      <c r="X41" s="2921"/>
      <c r="Y41" s="2921"/>
      <c r="Z41" s="2921"/>
      <c r="AA41" s="2921"/>
      <c r="AB41" s="2921"/>
      <c r="AC41" s="2921"/>
      <c r="AD41" s="2921"/>
      <c r="AE41" s="2921"/>
      <c r="AF41" s="2921"/>
      <c r="AG41" s="2921"/>
      <c r="AH41" s="2921"/>
      <c r="AI41" s="2921"/>
      <c r="AJ41" s="2921"/>
      <c r="AK41" s="2921"/>
      <c r="AL41" s="2921"/>
      <c r="AM41" s="2921"/>
      <c r="AN41" s="2921"/>
      <c r="AO41" s="2921"/>
      <c r="AP41" s="2921"/>
      <c r="AQ41" s="2921"/>
      <c r="AR41" s="2921"/>
      <c r="AS41" s="2921"/>
      <c r="AT41" s="2921"/>
      <c r="AU41" s="2921"/>
      <c r="AV41" s="2921"/>
      <c r="AW41" s="2921"/>
      <c r="AX41" s="2921"/>
      <c r="AY41" s="2921"/>
      <c r="AZ41" s="2921"/>
    </row>
    <row r="42" spans="1:83" ht="14.25">
      <c r="A42" s="2965" t="s">
        <v>687</v>
      </c>
      <c r="B42" s="2966">
        <v>0.05</v>
      </c>
      <c r="C42" s="2967">
        <f>IF(B2&lt;DATE(2016,5,1),0,B42)</f>
        <v>0.05</v>
      </c>
      <c r="D42" s="2924"/>
      <c r="E42" s="2923"/>
      <c r="F42" s="2923"/>
      <c r="G42" s="2923"/>
      <c r="H42" s="2923"/>
      <c r="I42" s="2923"/>
      <c r="J42" s="2923"/>
      <c r="K42" s="3013"/>
      <c r="L42" s="3013"/>
      <c r="M42" s="2921"/>
      <c r="N42" s="2921"/>
      <c r="O42" s="2921"/>
      <c r="P42" s="2921"/>
      <c r="Q42" s="2921"/>
      <c r="R42" s="2921"/>
      <c r="S42" s="2921"/>
      <c r="T42" s="2921"/>
      <c r="U42" s="2921"/>
      <c r="V42" s="2921"/>
      <c r="W42" s="2921"/>
      <c r="X42" s="2921"/>
      <c r="Y42" s="2921"/>
      <c r="Z42" s="2921"/>
      <c r="AA42" s="2921"/>
      <c r="AB42" s="2921"/>
      <c r="AC42" s="2921"/>
      <c r="AD42" s="2921"/>
      <c r="AE42" s="2921"/>
      <c r="AF42" s="2921"/>
      <c r="AG42" s="2921"/>
      <c r="AH42" s="2921"/>
      <c r="AI42" s="2921"/>
      <c r="AJ42" s="2921"/>
      <c r="AK42" s="2921"/>
      <c r="AL42" s="2921"/>
      <c r="AM42" s="2921"/>
      <c r="AN42" s="2921"/>
      <c r="AO42" s="2921"/>
      <c r="AP42" s="2921"/>
      <c r="AQ42" s="2921"/>
      <c r="AR42" s="2921"/>
      <c r="AS42" s="2921"/>
      <c r="AT42" s="2921"/>
      <c r="AU42" s="2921"/>
      <c r="AV42" s="2921"/>
      <c r="AW42" s="2921"/>
      <c r="AX42" s="2921"/>
      <c r="AY42" s="2921"/>
      <c r="AZ42" s="2921"/>
    </row>
    <row r="43" spans="1:83" ht="14.25">
      <c r="A43" s="2965" t="s">
        <v>688</v>
      </c>
      <c r="B43" s="2968">
        <f>B42*(B44+B45+B46)+B47</f>
        <v>5.0000000000000001E-3</v>
      </c>
      <c r="C43" s="2949"/>
      <c r="D43" s="2924"/>
      <c r="E43" s="2923"/>
      <c r="F43" s="2923"/>
      <c r="G43" s="2923"/>
      <c r="H43" s="2923"/>
      <c r="I43" s="2923"/>
      <c r="J43" s="2923"/>
      <c r="K43" s="3013"/>
      <c r="L43" s="3013"/>
      <c r="M43" s="2921"/>
      <c r="N43" s="2921"/>
      <c r="O43" s="2921"/>
      <c r="P43" s="2921"/>
      <c r="Q43" s="2921"/>
      <c r="R43" s="2921"/>
      <c r="S43" s="2921"/>
      <c r="T43" s="2921"/>
      <c r="U43" s="2921"/>
      <c r="V43" s="2921"/>
      <c r="W43" s="2921"/>
      <c r="X43" s="2921"/>
      <c r="Y43" s="2921"/>
      <c r="Z43" s="2921"/>
      <c r="AA43" s="2921"/>
      <c r="AB43" s="2921"/>
      <c r="AC43" s="2921"/>
      <c r="AD43" s="2921"/>
      <c r="AE43" s="2921"/>
      <c r="AF43" s="2921"/>
      <c r="AG43" s="2921"/>
      <c r="AH43" s="2921"/>
      <c r="AI43" s="2921"/>
      <c r="AJ43" s="2921"/>
      <c r="AK43" s="2921"/>
      <c r="AL43" s="2921"/>
      <c r="AM43" s="2921"/>
      <c r="AN43" s="2921"/>
      <c r="AO43" s="2921"/>
      <c r="AP43" s="2921"/>
      <c r="AQ43" s="2921"/>
      <c r="AR43" s="2921"/>
      <c r="AS43" s="2921"/>
      <c r="AT43" s="2921"/>
      <c r="AU43" s="2921"/>
      <c r="AV43" s="2921"/>
      <c r="AW43" s="2921"/>
      <c r="AX43" s="2921"/>
      <c r="AY43" s="2921"/>
      <c r="AZ43" s="2921"/>
    </row>
    <row r="44" spans="1:83" ht="14.25">
      <c r="A44" s="2969" t="s">
        <v>689</v>
      </c>
      <c r="B44" s="2970">
        <v>0.05</v>
      </c>
      <c r="C44" s="2953" t="s">
        <v>690</v>
      </c>
      <c r="D44" s="2924"/>
      <c r="E44" s="2923"/>
      <c r="F44" s="2923"/>
      <c r="G44" s="2923"/>
      <c r="H44" s="2923"/>
      <c r="I44" s="2923"/>
      <c r="J44" s="2923"/>
      <c r="K44" s="3013"/>
      <c r="L44" s="3013"/>
      <c r="M44" s="2921"/>
      <c r="N44" s="2921"/>
      <c r="O44" s="2921"/>
      <c r="P44" s="2921"/>
      <c r="Q44" s="2921"/>
      <c r="R44" s="2921"/>
      <c r="S44" s="2921"/>
      <c r="T44" s="2921"/>
      <c r="U44" s="2921"/>
      <c r="V44" s="2921"/>
      <c r="W44" s="2921"/>
      <c r="X44" s="2921"/>
      <c r="Y44" s="2921"/>
      <c r="Z44" s="2921"/>
      <c r="AA44" s="2921"/>
      <c r="AB44" s="2921"/>
      <c r="AC44" s="2921"/>
      <c r="AD44" s="2921"/>
      <c r="AE44" s="2921"/>
      <c r="AF44" s="2921"/>
      <c r="AG44" s="2921"/>
      <c r="AH44" s="2921"/>
      <c r="AI44" s="2921"/>
      <c r="AJ44" s="2921"/>
      <c r="AK44" s="2921"/>
      <c r="AL44" s="2921"/>
      <c r="AM44" s="2921"/>
      <c r="AN44" s="2921"/>
      <c r="AO44" s="2921"/>
      <c r="AP44" s="2921"/>
      <c r="AQ44" s="2921"/>
      <c r="AR44" s="2921"/>
      <c r="AS44" s="2921"/>
      <c r="AT44" s="2921"/>
      <c r="AU44" s="2921"/>
      <c r="AV44" s="2921"/>
      <c r="AW44" s="2921"/>
      <c r="AX44" s="2921"/>
      <c r="AY44" s="2921"/>
      <c r="AZ44" s="2921"/>
    </row>
    <row r="45" spans="1:83" ht="14.25">
      <c r="A45" s="2969" t="s">
        <v>691</v>
      </c>
      <c r="B45" s="2966">
        <v>0.03</v>
      </c>
      <c r="C45" s="2971" t="s">
        <v>692</v>
      </c>
      <c r="D45" s="2924"/>
      <c r="E45" s="2923"/>
      <c r="F45" s="2923"/>
      <c r="G45" s="2923"/>
      <c r="H45" s="2923"/>
      <c r="I45" s="2923"/>
      <c r="J45" s="2923"/>
      <c r="K45" s="3013"/>
      <c r="L45" s="3013"/>
      <c r="M45" s="2921"/>
      <c r="N45" s="2921"/>
      <c r="O45" s="2921"/>
      <c r="P45" s="2921"/>
      <c r="Q45" s="2921"/>
      <c r="R45" s="2921"/>
      <c r="S45" s="2921"/>
      <c r="T45" s="2921"/>
      <c r="U45" s="2921"/>
      <c r="V45" s="2921"/>
      <c r="W45" s="2921"/>
      <c r="X45" s="2921"/>
      <c r="Y45" s="2921"/>
      <c r="Z45" s="2921"/>
      <c r="AA45" s="2921"/>
      <c r="AB45" s="2921"/>
      <c r="AC45" s="2921"/>
      <c r="AD45" s="2921"/>
      <c r="AE45" s="2921"/>
      <c r="AF45" s="2921"/>
      <c r="AG45" s="2921"/>
      <c r="AH45" s="2921"/>
      <c r="AI45" s="2921"/>
      <c r="AJ45" s="2921"/>
      <c r="AK45" s="2921"/>
      <c r="AL45" s="2921"/>
      <c r="AM45" s="2921"/>
      <c r="AN45" s="2921"/>
      <c r="AO45" s="2921"/>
      <c r="AP45" s="2921"/>
      <c r="AQ45" s="2921"/>
      <c r="AR45" s="2921"/>
      <c r="AS45" s="2921"/>
      <c r="AT45" s="2921"/>
      <c r="AU45" s="2921"/>
      <c r="AV45" s="2921"/>
      <c r="AW45" s="2921"/>
      <c r="AX45" s="2921"/>
      <c r="AY45" s="2921"/>
      <c r="AZ45" s="2921"/>
    </row>
    <row r="46" spans="1:83" ht="14.25">
      <c r="A46" s="2969" t="s">
        <v>693</v>
      </c>
      <c r="B46" s="2966">
        <v>0.02</v>
      </c>
      <c r="C46" s="2971" t="s">
        <v>694</v>
      </c>
      <c r="D46" s="2924"/>
      <c r="E46" s="2923"/>
      <c r="F46" s="2923"/>
      <c r="G46" s="2923"/>
      <c r="H46" s="2923"/>
      <c r="I46" s="2923"/>
      <c r="J46" s="2923"/>
      <c r="K46" s="3013"/>
      <c r="L46" s="3013"/>
      <c r="M46" s="2921"/>
      <c r="N46" s="2921"/>
      <c r="O46" s="2921"/>
      <c r="P46" s="2921"/>
      <c r="Q46" s="2921"/>
      <c r="R46" s="2921"/>
      <c r="S46" s="2921"/>
      <c r="T46" s="2921"/>
      <c r="U46" s="2921"/>
      <c r="V46" s="2921"/>
      <c r="W46" s="2921"/>
      <c r="X46" s="2921"/>
      <c r="Y46" s="2921"/>
      <c r="Z46" s="2921"/>
      <c r="AA46" s="2921"/>
      <c r="AB46" s="2921"/>
      <c r="AC46" s="2921"/>
      <c r="AD46" s="2921"/>
      <c r="AE46" s="2921"/>
      <c r="AF46" s="2921"/>
      <c r="AG46" s="2921"/>
      <c r="AH46" s="2921"/>
      <c r="AI46" s="2921"/>
      <c r="AJ46" s="2921"/>
      <c r="AK46" s="2921"/>
      <c r="AL46" s="2921"/>
      <c r="AM46" s="2921"/>
      <c r="AN46" s="2921"/>
      <c r="AO46" s="2921"/>
      <c r="AP46" s="2921"/>
      <c r="AQ46" s="2921"/>
      <c r="AR46" s="2921"/>
      <c r="AS46" s="2921"/>
      <c r="AT46" s="2921"/>
      <c r="AU46" s="2921"/>
      <c r="AV46" s="2921"/>
      <c r="AW46" s="2921"/>
      <c r="AX46" s="2921"/>
      <c r="AY46" s="2921"/>
      <c r="AZ46" s="2921"/>
    </row>
    <row r="47" spans="1:83" ht="14.25">
      <c r="A47" s="2972" t="s">
        <v>695</v>
      </c>
      <c r="B47" s="2973">
        <v>0</v>
      </c>
      <c r="C47" s="2938" t="s">
        <v>696</v>
      </c>
      <c r="D47" s="2924"/>
      <c r="E47" s="2923"/>
      <c r="F47" s="2923"/>
      <c r="G47" s="2923"/>
      <c r="H47" s="2923"/>
      <c r="I47" s="2923"/>
      <c r="J47" s="2923"/>
      <c r="K47" s="3013"/>
      <c r="L47" s="3013"/>
      <c r="M47" s="2921"/>
      <c r="N47" s="2921"/>
      <c r="O47" s="2921"/>
      <c r="P47" s="2921"/>
      <c r="Q47" s="2921"/>
      <c r="R47" s="2921"/>
      <c r="S47" s="2921"/>
      <c r="T47" s="2921"/>
      <c r="U47" s="2921"/>
      <c r="V47" s="2921"/>
      <c r="W47" s="2921"/>
      <c r="X47" s="2921"/>
      <c r="Y47" s="2921"/>
      <c r="Z47" s="2921"/>
      <c r="AA47" s="2921"/>
      <c r="AB47" s="2921"/>
      <c r="AC47" s="2921"/>
      <c r="AD47" s="2921"/>
      <c r="AE47" s="2921"/>
      <c r="AF47" s="2921"/>
      <c r="AG47" s="2921"/>
      <c r="AH47" s="2921"/>
      <c r="AI47" s="2921"/>
      <c r="AJ47" s="2921"/>
      <c r="AK47" s="2921"/>
      <c r="AL47" s="2921"/>
      <c r="AM47" s="2921"/>
      <c r="AN47" s="2921"/>
      <c r="AO47" s="2921"/>
      <c r="AP47" s="2921"/>
      <c r="AQ47" s="2921"/>
      <c r="AR47" s="2921"/>
      <c r="AS47" s="2921"/>
      <c r="AT47" s="2921"/>
      <c r="AU47" s="2921"/>
      <c r="AV47" s="2921"/>
      <c r="AW47" s="2921"/>
      <c r="AX47" s="2921"/>
      <c r="AY47" s="2921"/>
      <c r="AZ47" s="2921"/>
    </row>
    <row r="48" spans="1:83" ht="14.25">
      <c r="A48" s="2974" t="s">
        <v>697</v>
      </c>
      <c r="B48" s="2975">
        <v>0.03</v>
      </c>
      <c r="C48" s="2971" t="s">
        <v>692</v>
      </c>
      <c r="D48" s="2924"/>
      <c r="E48" s="2923"/>
      <c r="F48" s="2923"/>
      <c r="G48" s="2923"/>
      <c r="H48" s="2923"/>
      <c r="I48" s="2923"/>
      <c r="J48" s="2923"/>
      <c r="K48" s="3013"/>
      <c r="L48" s="3013"/>
      <c r="M48" s="2921"/>
      <c r="N48" s="2921"/>
      <c r="O48" s="2921"/>
      <c r="P48" s="2921"/>
      <c r="Q48" s="2921"/>
      <c r="R48" s="2921"/>
      <c r="S48" s="2921"/>
      <c r="T48" s="2921"/>
      <c r="U48" s="2921"/>
      <c r="V48" s="2921"/>
      <c r="W48" s="2921"/>
      <c r="X48" s="2921"/>
      <c r="Y48" s="2921"/>
      <c r="Z48" s="2921"/>
      <c r="AA48" s="2921"/>
      <c r="AB48" s="2921"/>
      <c r="AC48" s="2921"/>
      <c r="AD48" s="2921"/>
      <c r="AE48" s="2921"/>
      <c r="AF48" s="2921"/>
      <c r="AG48" s="2921"/>
      <c r="AH48" s="2921"/>
      <c r="AI48" s="2921"/>
      <c r="AJ48" s="2921"/>
      <c r="AK48" s="2921"/>
      <c r="AL48" s="2921"/>
      <c r="AM48" s="2921"/>
      <c r="AN48" s="2921"/>
      <c r="AO48" s="2921"/>
      <c r="AP48" s="2921"/>
      <c r="AQ48" s="2921"/>
      <c r="AR48" s="2921"/>
      <c r="AS48" s="2921"/>
      <c r="AT48" s="2921"/>
      <c r="AU48" s="2921"/>
      <c r="AV48" s="2921"/>
      <c r="AW48" s="2921"/>
      <c r="AX48" s="2921"/>
      <c r="AY48" s="2921"/>
      <c r="AZ48" s="2921"/>
    </row>
    <row r="49" spans="1:52" ht="14.25">
      <c r="A49" s="2950" t="s">
        <v>698</v>
      </c>
      <c r="B49" s="2966">
        <v>5.0000000000000001E-4</v>
      </c>
      <c r="C49" s="2971" t="s">
        <v>699</v>
      </c>
      <c r="D49" s="2924"/>
      <c r="E49" s="2923"/>
      <c r="F49" s="2923"/>
      <c r="G49" s="2923"/>
      <c r="H49" s="2923"/>
      <c r="I49" s="2923"/>
      <c r="J49" s="2923"/>
      <c r="K49" s="3013"/>
      <c r="L49" s="3013"/>
      <c r="M49" s="2921"/>
      <c r="N49" s="2921"/>
      <c r="O49" s="2921"/>
      <c r="P49" s="2921"/>
      <c r="Q49" s="2921"/>
      <c r="R49" s="2921"/>
      <c r="S49" s="2921"/>
      <c r="T49" s="2921"/>
      <c r="U49" s="2921"/>
      <c r="V49" s="2921"/>
      <c r="W49" s="2921"/>
      <c r="X49" s="2921"/>
      <c r="Y49" s="2921"/>
      <c r="Z49" s="2921"/>
      <c r="AA49" s="2921"/>
      <c r="AB49" s="2921"/>
      <c r="AC49" s="2921"/>
      <c r="AD49" s="2921"/>
      <c r="AE49" s="2921"/>
      <c r="AF49" s="2921"/>
      <c r="AG49" s="2921"/>
      <c r="AH49" s="2921"/>
      <c r="AI49" s="2921"/>
      <c r="AJ49" s="2921"/>
      <c r="AK49" s="2921"/>
      <c r="AL49" s="2921"/>
      <c r="AM49" s="2921"/>
      <c r="AN49" s="2921"/>
      <c r="AO49" s="2921"/>
      <c r="AP49" s="2921"/>
      <c r="AQ49" s="2921"/>
      <c r="AR49" s="2921"/>
      <c r="AS49" s="2921"/>
      <c r="AT49" s="2921"/>
      <c r="AU49" s="2921"/>
      <c r="AV49" s="2921"/>
      <c r="AW49" s="2921"/>
      <c r="AX49" s="2921"/>
      <c r="AY49" s="2921"/>
      <c r="AZ49" s="2921"/>
    </row>
    <row r="50" spans="1:52" ht="14.25">
      <c r="A50" s="2976" t="s">
        <v>700</v>
      </c>
      <c r="B50" s="2977">
        <v>1.2E-2</v>
      </c>
      <c r="C50" s="2942"/>
      <c r="D50" s="2924"/>
      <c r="E50" s="2923"/>
      <c r="F50" s="2923"/>
      <c r="G50" s="2923"/>
      <c r="H50" s="2923"/>
      <c r="I50" s="2923"/>
      <c r="J50" s="2923"/>
      <c r="K50" s="3013"/>
      <c r="L50" s="3013"/>
      <c r="M50" s="2921"/>
      <c r="N50" s="2921"/>
      <c r="O50" s="2921"/>
      <c r="P50" s="2921"/>
      <c r="Q50" s="2921"/>
      <c r="R50" s="2921"/>
      <c r="S50" s="2921"/>
      <c r="T50" s="2921"/>
      <c r="U50" s="2921"/>
      <c r="V50" s="2921"/>
      <c r="W50" s="2921"/>
      <c r="X50" s="2921"/>
      <c r="Y50" s="2921"/>
      <c r="Z50" s="2921"/>
      <c r="AA50" s="2921"/>
      <c r="AB50" s="2921"/>
      <c r="AC50" s="2921"/>
      <c r="AD50" s="2921"/>
      <c r="AE50" s="2921"/>
      <c r="AF50" s="2921"/>
      <c r="AG50" s="2921"/>
      <c r="AH50" s="2921"/>
      <c r="AI50" s="2921"/>
      <c r="AJ50" s="2921"/>
      <c r="AK50" s="2921"/>
      <c r="AL50" s="2921"/>
      <c r="AM50" s="2921"/>
      <c r="AN50" s="2921"/>
      <c r="AO50" s="2921"/>
      <c r="AP50" s="2921"/>
      <c r="AQ50" s="2921"/>
      <c r="AR50" s="2921"/>
      <c r="AS50" s="2921"/>
      <c r="AT50" s="2921"/>
      <c r="AU50" s="2921"/>
      <c r="AV50" s="2921"/>
      <c r="AW50" s="2921"/>
      <c r="AX50" s="2921"/>
      <c r="AY50" s="2921"/>
      <c r="AZ50" s="2921"/>
    </row>
    <row r="51" spans="1:52" ht="14.25">
      <c r="A51" s="2943" t="s">
        <v>701</v>
      </c>
      <c r="B51" s="2978">
        <v>0.12</v>
      </c>
      <c r="C51" s="2942"/>
      <c r="D51" s="2924"/>
      <c r="E51" s="2923"/>
      <c r="F51" s="2923"/>
      <c r="G51" s="2923"/>
      <c r="H51" s="2923"/>
      <c r="I51" s="2923"/>
      <c r="J51" s="2923"/>
      <c r="K51" s="3013"/>
      <c r="L51" s="3013"/>
      <c r="M51" s="2921"/>
      <c r="N51" s="2921"/>
      <c r="O51" s="2921"/>
      <c r="P51" s="2921"/>
      <c r="Q51" s="2921"/>
      <c r="R51" s="2921"/>
      <c r="S51" s="2921"/>
      <c r="T51" s="2921"/>
      <c r="U51" s="2921"/>
      <c r="V51" s="2921"/>
      <c r="W51" s="2921"/>
      <c r="X51" s="2921"/>
      <c r="Y51" s="2921"/>
      <c r="Z51" s="2921"/>
      <c r="AA51" s="2921"/>
      <c r="AB51" s="2921"/>
      <c r="AC51" s="2921"/>
      <c r="AD51" s="2921"/>
      <c r="AE51" s="2921"/>
      <c r="AF51" s="2921"/>
      <c r="AG51" s="2921"/>
      <c r="AH51" s="2921"/>
      <c r="AI51" s="2921"/>
      <c r="AJ51" s="2921"/>
      <c r="AK51" s="2921"/>
      <c r="AL51" s="2921"/>
      <c r="AM51" s="2921"/>
      <c r="AN51" s="2921"/>
      <c r="AO51" s="2921"/>
      <c r="AP51" s="2921"/>
      <c r="AQ51" s="2921"/>
      <c r="AR51" s="2921"/>
      <c r="AS51" s="2921"/>
      <c r="AT51" s="2921"/>
      <c r="AU51" s="2921"/>
      <c r="AV51" s="2921"/>
      <c r="AW51" s="2921"/>
      <c r="AX51" s="2921"/>
      <c r="AY51" s="2921"/>
      <c r="AZ51" s="2921"/>
    </row>
    <row r="52" spans="1:52" ht="14.25">
      <c r="A52" s="2976" t="s">
        <v>702</v>
      </c>
      <c r="B52" s="2979">
        <f>SUMIF(A54:A63,B53,B54:B63)</f>
        <v>1.5</v>
      </c>
      <c r="C52" s="2942"/>
      <c r="D52" s="2924"/>
      <c r="E52" s="2923"/>
      <c r="F52" s="2923"/>
      <c r="G52" s="2923"/>
      <c r="H52" s="2923"/>
      <c r="I52" s="2923"/>
      <c r="J52" s="2923"/>
      <c r="K52" s="3013"/>
      <c r="L52" s="3013"/>
      <c r="M52" s="2921"/>
      <c r="N52" s="2921"/>
      <c r="O52" s="2921"/>
      <c r="P52" s="2921"/>
      <c r="Q52" s="2921"/>
      <c r="R52" s="2921"/>
      <c r="S52" s="2921"/>
      <c r="T52" s="2921"/>
      <c r="U52" s="2921"/>
      <c r="V52" s="2921"/>
      <c r="W52" s="2921"/>
      <c r="X52" s="2921"/>
      <c r="Y52" s="2921"/>
      <c r="Z52" s="2921"/>
      <c r="AA52" s="2921"/>
      <c r="AB52" s="2921"/>
      <c r="AC52" s="2921"/>
      <c r="AD52" s="2921"/>
      <c r="AE52" s="2921"/>
      <c r="AF52" s="2921"/>
      <c r="AG52" s="2921"/>
      <c r="AH52" s="2921"/>
      <c r="AI52" s="2921"/>
      <c r="AJ52" s="2921"/>
      <c r="AK52" s="2921"/>
      <c r="AL52" s="2921"/>
      <c r="AM52" s="2921"/>
      <c r="AN52" s="2921"/>
      <c r="AO52" s="2921"/>
      <c r="AP52" s="2921"/>
      <c r="AQ52" s="2921"/>
      <c r="AR52" s="2921"/>
      <c r="AS52" s="2921"/>
      <c r="AT52" s="2921"/>
      <c r="AU52" s="2921"/>
      <c r="AV52" s="2921"/>
      <c r="AW52" s="2921"/>
      <c r="AX52" s="2921"/>
      <c r="AY52" s="2921"/>
      <c r="AZ52" s="2921"/>
    </row>
    <row r="53" spans="1:52" ht="27">
      <c r="A53" s="2941" t="s">
        <v>703</v>
      </c>
      <c r="B53" s="2980" t="s">
        <v>290</v>
      </c>
      <c r="C53" s="2981" t="s">
        <v>704</v>
      </c>
      <c r="D53" s="2982" t="s">
        <v>705</v>
      </c>
      <c r="E53" s="2923"/>
      <c r="F53" s="2923"/>
      <c r="G53" s="2923"/>
      <c r="H53" s="2923"/>
      <c r="I53" s="2923"/>
      <c r="J53" s="2923"/>
      <c r="K53" s="3013"/>
      <c r="L53" s="3013"/>
      <c r="M53" s="2921"/>
      <c r="N53" s="2921"/>
      <c r="O53" s="2921"/>
      <c r="P53" s="2921"/>
      <c r="Q53" s="2921"/>
      <c r="R53" s="2921"/>
      <c r="S53" s="2921"/>
      <c r="T53" s="2921"/>
      <c r="U53" s="2921"/>
      <c r="V53" s="2921"/>
      <c r="W53" s="2921"/>
      <c r="X53" s="2921"/>
      <c r="Y53" s="2921"/>
      <c r="Z53" s="2921"/>
      <c r="AA53" s="2921"/>
      <c r="AB53" s="2921"/>
      <c r="AC53" s="2921"/>
      <c r="AD53" s="2921"/>
      <c r="AE53" s="2921"/>
      <c r="AF53" s="2921"/>
      <c r="AG53" s="2921"/>
      <c r="AH53" s="2921"/>
      <c r="AI53" s="2921"/>
      <c r="AJ53" s="2921"/>
      <c r="AK53" s="2921"/>
      <c r="AL53" s="2921"/>
      <c r="AM53" s="2921"/>
      <c r="AN53" s="2921"/>
      <c r="AO53" s="2921"/>
      <c r="AP53" s="2921"/>
      <c r="AQ53" s="2921"/>
      <c r="AR53" s="2921"/>
      <c r="AS53" s="2921"/>
      <c r="AT53" s="2921"/>
      <c r="AU53" s="2921"/>
      <c r="AV53" s="2921"/>
      <c r="AW53" s="2921"/>
      <c r="AX53" s="2921"/>
      <c r="AY53" s="2921"/>
      <c r="AZ53" s="2921"/>
    </row>
    <row r="54" spans="1:52" ht="14.25">
      <c r="A54" s="2983" t="s">
        <v>238</v>
      </c>
      <c r="B54" s="2984"/>
      <c r="C54" s="2940">
        <v>30</v>
      </c>
      <c r="D54" s="2985"/>
      <c r="E54" s="2923"/>
      <c r="F54" s="2923"/>
      <c r="G54" s="2923"/>
      <c r="H54" s="2923"/>
      <c r="I54" s="2923"/>
      <c r="J54" s="2923"/>
      <c r="K54" s="3013"/>
      <c r="L54" s="3013"/>
      <c r="M54" s="2921"/>
      <c r="N54" s="2921"/>
      <c r="O54" s="2921"/>
      <c r="P54" s="2921"/>
      <c r="Q54" s="2921"/>
      <c r="R54" s="2921"/>
      <c r="S54" s="2921"/>
      <c r="T54" s="2921"/>
      <c r="U54" s="2921"/>
      <c r="V54" s="2921"/>
      <c r="W54" s="2921"/>
      <c r="X54" s="2921"/>
      <c r="Y54" s="2921"/>
      <c r="Z54" s="2921"/>
      <c r="AA54" s="2921"/>
      <c r="AB54" s="2921"/>
      <c r="AC54" s="2921"/>
      <c r="AD54" s="2921"/>
      <c r="AE54" s="2921"/>
      <c r="AF54" s="2921"/>
      <c r="AG54" s="2921"/>
      <c r="AH54" s="2921"/>
      <c r="AI54" s="2921"/>
      <c r="AJ54" s="2921"/>
      <c r="AK54" s="2921"/>
      <c r="AL54" s="2921"/>
      <c r="AM54" s="2921"/>
      <c r="AN54" s="2921"/>
      <c r="AO54" s="2921"/>
      <c r="AP54" s="2921"/>
      <c r="AQ54" s="2921"/>
      <c r="AR54" s="2921"/>
      <c r="AS54" s="2921"/>
      <c r="AT54" s="2921"/>
      <c r="AU54" s="2921"/>
      <c r="AV54" s="2921"/>
      <c r="AW54" s="2921"/>
      <c r="AX54" s="2921"/>
      <c r="AY54" s="2921"/>
      <c r="AZ54" s="2921"/>
    </row>
    <row r="55" spans="1:52" ht="14.25">
      <c r="A55" s="2983" t="s">
        <v>251</v>
      </c>
      <c r="B55" s="2984"/>
      <c r="C55" s="2940">
        <v>24</v>
      </c>
      <c r="D55" s="2985"/>
      <c r="E55" s="2923"/>
      <c r="F55" s="2923"/>
      <c r="G55" s="2923"/>
      <c r="H55" s="2923"/>
      <c r="I55" s="3014"/>
      <c r="J55" s="2923"/>
      <c r="K55" s="3013"/>
      <c r="L55" s="3013"/>
      <c r="M55" s="2921"/>
      <c r="N55" s="2921"/>
      <c r="O55" s="2921"/>
      <c r="P55" s="2921"/>
      <c r="Q55" s="2921"/>
      <c r="R55" s="2921"/>
      <c r="S55" s="2921"/>
      <c r="T55" s="2921"/>
      <c r="U55" s="2921"/>
      <c r="V55" s="2921"/>
      <c r="W55" s="2921"/>
      <c r="X55" s="2921"/>
      <c r="Y55" s="2921"/>
      <c r="Z55" s="2921"/>
      <c r="AA55" s="2921"/>
      <c r="AB55" s="2921"/>
      <c r="AC55" s="2921"/>
      <c r="AD55" s="2921"/>
      <c r="AE55" s="2921"/>
      <c r="AF55" s="2921"/>
      <c r="AG55" s="2921"/>
      <c r="AH55" s="2921"/>
      <c r="AI55" s="2921"/>
      <c r="AJ55" s="2921"/>
      <c r="AK55" s="2921"/>
      <c r="AL55" s="2921"/>
      <c r="AM55" s="2921"/>
      <c r="AN55" s="2921"/>
      <c r="AO55" s="2921"/>
      <c r="AP55" s="2921"/>
      <c r="AQ55" s="2921"/>
      <c r="AR55" s="2921"/>
      <c r="AS55" s="2921"/>
      <c r="AT55" s="2921"/>
      <c r="AU55" s="2921"/>
      <c r="AV55" s="2921"/>
      <c r="AW55" s="2921"/>
      <c r="AX55" s="2921"/>
      <c r="AY55" s="2921"/>
      <c r="AZ55" s="2921"/>
    </row>
    <row r="56" spans="1:52" ht="14.25">
      <c r="A56" s="2983" t="s">
        <v>263</v>
      </c>
      <c r="B56" s="2984"/>
      <c r="C56" s="2940">
        <v>18</v>
      </c>
      <c r="D56" s="2985"/>
      <c r="E56" s="2923"/>
      <c r="F56" s="2923"/>
      <c r="G56" s="2923"/>
      <c r="H56" s="2923"/>
      <c r="I56" s="2923"/>
      <c r="J56" s="2923"/>
      <c r="K56" s="3013"/>
      <c r="L56" s="3013"/>
      <c r="M56" s="2921"/>
      <c r="N56" s="2921"/>
      <c r="O56" s="2921"/>
      <c r="P56" s="2921"/>
      <c r="Q56" s="2921"/>
      <c r="R56" s="2921"/>
      <c r="S56" s="2921"/>
      <c r="T56" s="2921"/>
      <c r="U56" s="2921"/>
      <c r="V56" s="2921"/>
      <c r="W56" s="2921"/>
      <c r="X56" s="2921"/>
      <c r="Y56" s="2921"/>
      <c r="Z56" s="2921"/>
      <c r="AA56" s="2921"/>
      <c r="AB56" s="2921"/>
      <c r="AC56" s="2921"/>
      <c r="AD56" s="2921"/>
      <c r="AE56" s="2921"/>
      <c r="AF56" s="2921"/>
      <c r="AG56" s="2921"/>
      <c r="AH56" s="2921"/>
      <c r="AI56" s="2921"/>
      <c r="AJ56" s="2921"/>
      <c r="AK56" s="2921"/>
      <c r="AL56" s="2921"/>
      <c r="AM56" s="2921"/>
      <c r="AN56" s="2921"/>
      <c r="AO56" s="2921"/>
      <c r="AP56" s="2921"/>
      <c r="AQ56" s="2921"/>
      <c r="AR56" s="2921"/>
      <c r="AS56" s="2921"/>
      <c r="AT56" s="2921"/>
      <c r="AU56" s="2921"/>
      <c r="AV56" s="2921"/>
      <c r="AW56" s="2921"/>
      <c r="AX56" s="2921"/>
      <c r="AY56" s="2921"/>
      <c r="AZ56" s="2921"/>
    </row>
    <row r="57" spans="1:52" ht="14.25">
      <c r="A57" s="2983" t="s">
        <v>273</v>
      </c>
      <c r="B57" s="2984"/>
      <c r="C57" s="2940">
        <v>12</v>
      </c>
      <c r="D57" s="2985"/>
      <c r="E57" s="2923"/>
      <c r="F57" s="2923"/>
      <c r="G57" s="2923"/>
      <c r="H57" s="2923"/>
      <c r="I57" s="2923"/>
      <c r="J57" s="2923"/>
      <c r="K57" s="3013"/>
      <c r="L57" s="3013"/>
      <c r="M57" s="2921"/>
      <c r="N57" s="2921"/>
      <c r="O57" s="2921"/>
      <c r="P57" s="2921"/>
      <c r="Q57" s="2921"/>
      <c r="R57" s="2921"/>
      <c r="S57" s="2921"/>
      <c r="T57" s="2921"/>
      <c r="U57" s="2921"/>
      <c r="V57" s="2921"/>
      <c r="W57" s="2921"/>
      <c r="X57" s="2921"/>
      <c r="Y57" s="2921"/>
      <c r="Z57" s="2921"/>
      <c r="AA57" s="2921"/>
      <c r="AB57" s="2921"/>
      <c r="AC57" s="2921"/>
      <c r="AD57" s="2921"/>
      <c r="AE57" s="2921"/>
      <c r="AF57" s="2921"/>
      <c r="AG57" s="2921"/>
      <c r="AH57" s="2921"/>
      <c r="AI57" s="2921"/>
      <c r="AJ57" s="2921"/>
      <c r="AK57" s="2921"/>
      <c r="AL57" s="2921"/>
      <c r="AM57" s="2921"/>
      <c r="AN57" s="2921"/>
      <c r="AO57" s="2921"/>
      <c r="AP57" s="2921"/>
      <c r="AQ57" s="2921"/>
      <c r="AR57" s="2921"/>
      <c r="AS57" s="2921"/>
      <c r="AT57" s="2921"/>
      <c r="AU57" s="2921"/>
      <c r="AV57" s="2921"/>
      <c r="AW57" s="2921"/>
      <c r="AX57" s="2921"/>
      <c r="AY57" s="2921"/>
      <c r="AZ57" s="2921"/>
    </row>
    <row r="58" spans="1:52" ht="14.25">
      <c r="A58" s="2983" t="s">
        <v>282</v>
      </c>
      <c r="B58" s="2984"/>
      <c r="C58" s="2940">
        <v>3</v>
      </c>
      <c r="D58" s="2985"/>
      <c r="E58" s="2923"/>
      <c r="F58" s="2923"/>
      <c r="G58" s="2923"/>
      <c r="H58" s="2923"/>
      <c r="I58" s="2923"/>
      <c r="J58" s="2923"/>
      <c r="K58" s="3013"/>
      <c r="L58" s="3013"/>
      <c r="M58" s="2921"/>
      <c r="N58" s="2921"/>
      <c r="O58" s="2921"/>
      <c r="P58" s="2921"/>
      <c r="Q58" s="2921"/>
      <c r="R58" s="2921"/>
      <c r="S58" s="2921"/>
      <c r="T58" s="2921"/>
      <c r="U58" s="2921"/>
      <c r="V58" s="2921"/>
      <c r="W58" s="2921"/>
      <c r="X58" s="2921"/>
      <c r="Y58" s="2921"/>
      <c r="Z58" s="2921"/>
      <c r="AA58" s="2921"/>
      <c r="AB58" s="2921"/>
      <c r="AC58" s="2921"/>
      <c r="AD58" s="2921"/>
      <c r="AE58" s="2921"/>
      <c r="AF58" s="2921"/>
      <c r="AG58" s="2921"/>
      <c r="AH58" s="2921"/>
      <c r="AI58" s="2921"/>
      <c r="AJ58" s="2921"/>
      <c r="AK58" s="2921"/>
      <c r="AL58" s="2921"/>
      <c r="AM58" s="2921"/>
      <c r="AN58" s="2921"/>
      <c r="AO58" s="2921"/>
      <c r="AP58" s="2921"/>
      <c r="AQ58" s="2921"/>
      <c r="AR58" s="2921"/>
      <c r="AS58" s="2921"/>
      <c r="AT58" s="2921"/>
      <c r="AU58" s="2921"/>
      <c r="AV58" s="2921"/>
      <c r="AW58" s="2921"/>
      <c r="AX58" s="2921"/>
      <c r="AY58" s="2921"/>
      <c r="AZ58" s="2921"/>
    </row>
    <row r="59" spans="1:52" ht="14.25">
      <c r="A59" s="2983" t="s">
        <v>290</v>
      </c>
      <c r="B59" s="2984">
        <v>1.5</v>
      </c>
      <c r="C59" s="2940">
        <v>1.5</v>
      </c>
      <c r="D59" s="2985"/>
      <c r="E59" s="2923"/>
      <c r="F59" s="2923"/>
      <c r="G59" s="2923"/>
      <c r="H59" s="2923"/>
      <c r="I59" s="2923"/>
      <c r="J59" s="2923"/>
      <c r="K59" s="3013"/>
      <c r="L59" s="3013"/>
      <c r="M59" s="2921"/>
      <c r="N59" s="2921"/>
      <c r="O59" s="2921"/>
      <c r="P59" s="2921"/>
      <c r="Q59" s="2921"/>
      <c r="R59" s="2921"/>
      <c r="S59" s="2921"/>
      <c r="T59" s="2921"/>
      <c r="U59" s="2921"/>
      <c r="V59" s="2921"/>
      <c r="W59" s="2921"/>
      <c r="X59" s="2921"/>
      <c r="Y59" s="2921"/>
      <c r="Z59" s="2921"/>
      <c r="AA59" s="2921"/>
      <c r="AB59" s="2921"/>
      <c r="AC59" s="2921"/>
      <c r="AD59" s="2921"/>
      <c r="AE59" s="2921"/>
      <c r="AF59" s="2921"/>
      <c r="AG59" s="2921"/>
      <c r="AH59" s="2921"/>
      <c r="AI59" s="2921"/>
      <c r="AJ59" s="2921"/>
      <c r="AK59" s="2921"/>
      <c r="AL59" s="2921"/>
      <c r="AM59" s="2921"/>
      <c r="AN59" s="2921"/>
      <c r="AO59" s="2921"/>
      <c r="AP59" s="2921"/>
      <c r="AQ59" s="2921"/>
      <c r="AR59" s="2921"/>
      <c r="AS59" s="2921"/>
      <c r="AT59" s="2921"/>
      <c r="AU59" s="2921"/>
      <c r="AV59" s="2921"/>
      <c r="AW59" s="2921"/>
      <c r="AX59" s="2921"/>
      <c r="AY59" s="2921"/>
      <c r="AZ59" s="2921"/>
    </row>
    <row r="60" spans="1:52" ht="14.25">
      <c r="A60" s="2983" t="s">
        <v>295</v>
      </c>
      <c r="B60" s="2984"/>
      <c r="C60" s="2923"/>
      <c r="D60" s="2924"/>
      <c r="E60" s="2923"/>
      <c r="F60" s="2923"/>
      <c r="G60" s="2923"/>
      <c r="H60" s="2923"/>
      <c r="I60" s="2923"/>
      <c r="J60" s="2923"/>
      <c r="K60" s="3013"/>
      <c r="L60" s="3013"/>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1"/>
      <c r="AX60" s="2921"/>
      <c r="AY60" s="2921"/>
      <c r="AZ60" s="2921"/>
    </row>
    <row r="61" spans="1:52" ht="14.25">
      <c r="A61" s="2983" t="s">
        <v>301</v>
      </c>
      <c r="B61" s="2984"/>
      <c r="C61" s="2923"/>
      <c r="D61" s="2924"/>
      <c r="E61" s="2923"/>
      <c r="F61" s="2923"/>
      <c r="G61" s="2923"/>
      <c r="H61" s="2923"/>
      <c r="I61" s="2923"/>
      <c r="J61" s="2923"/>
      <c r="K61" s="3013"/>
      <c r="L61" s="3013"/>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1"/>
      <c r="AX61" s="2921"/>
      <c r="AY61" s="2921"/>
      <c r="AZ61" s="2921"/>
    </row>
    <row r="62" spans="1:52" ht="14.25">
      <c r="A62" s="2983" t="s">
        <v>305</v>
      </c>
      <c r="B62" s="2984"/>
      <c r="C62" s="2923"/>
      <c r="D62" s="2924"/>
      <c r="E62" s="2923"/>
      <c r="F62" s="2923"/>
      <c r="G62" s="2923"/>
      <c r="H62" s="2923"/>
      <c r="I62" s="2923"/>
      <c r="J62" s="2923"/>
      <c r="K62" s="3013"/>
      <c r="L62" s="3013"/>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1"/>
      <c r="AX62" s="2921"/>
      <c r="AY62" s="2921"/>
      <c r="AZ62" s="2921"/>
    </row>
    <row r="63" spans="1:52" ht="14.25">
      <c r="A63" s="2986" t="s">
        <v>309</v>
      </c>
      <c r="B63" s="2987"/>
      <c r="C63" s="2923"/>
      <c r="D63" s="2924"/>
      <c r="E63" s="2923"/>
      <c r="F63" s="2923"/>
      <c r="G63" s="2923"/>
      <c r="H63" s="2923"/>
      <c r="I63" s="2923"/>
      <c r="J63" s="2923"/>
      <c r="K63" s="3013"/>
      <c r="L63" s="3013"/>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1"/>
      <c r="AX63" s="2921"/>
      <c r="AY63" s="2921"/>
      <c r="AZ63" s="2921"/>
    </row>
    <row r="64" spans="1:52" s="2876" customFormat="1">
      <c r="A64" s="2559"/>
      <c r="D64" s="2988"/>
      <c r="K64" s="196"/>
      <c r="L64" s="196"/>
    </row>
    <row r="65" spans="1:12" s="2876" customFormat="1">
      <c r="A65" s="2559"/>
      <c r="D65" s="2988"/>
      <c r="K65" s="196"/>
      <c r="L65" s="196"/>
    </row>
    <row r="66" spans="1:12" s="2876" customFormat="1">
      <c r="A66" s="2559"/>
      <c r="D66" s="2988"/>
      <c r="K66" s="196"/>
      <c r="L66" s="196"/>
    </row>
    <row r="67" spans="1:12" s="2876" customFormat="1">
      <c r="A67" s="2559"/>
      <c r="D67" s="2988"/>
      <c r="K67" s="196"/>
      <c r="L67" s="196"/>
    </row>
    <row r="68" spans="1:12" s="2876" customFormat="1">
      <c r="A68" s="2559"/>
      <c r="D68" s="2988"/>
      <c r="K68" s="196"/>
      <c r="L68" s="196"/>
    </row>
    <row r="69" spans="1:12" s="2876" customFormat="1">
      <c r="A69" s="2559"/>
      <c r="D69" s="2988"/>
      <c r="K69" s="196"/>
      <c r="L69" s="196"/>
    </row>
    <row r="70" spans="1:12" s="2876" customFormat="1">
      <c r="A70" s="2559"/>
      <c r="D70" s="2988"/>
      <c r="K70" s="196"/>
      <c r="L70" s="196"/>
    </row>
    <row r="71" spans="1:12" s="2876" customFormat="1">
      <c r="A71" s="2559"/>
      <c r="D71" s="2988"/>
      <c r="K71" s="196"/>
      <c r="L71" s="196"/>
    </row>
    <row r="72" spans="1:12" s="2876" customFormat="1">
      <c r="A72" s="2559"/>
      <c r="D72" s="2988"/>
      <c r="K72" s="196"/>
      <c r="L72" s="196"/>
    </row>
    <row r="73" spans="1:12" s="2876" customFormat="1">
      <c r="A73" s="2559"/>
      <c r="D73" s="2988"/>
      <c r="K73" s="196"/>
      <c r="L73" s="196"/>
    </row>
    <row r="74" spans="1:12" s="2876" customFormat="1">
      <c r="A74" s="2559"/>
      <c r="D74" s="2988"/>
      <c r="K74" s="196"/>
      <c r="L74" s="196"/>
    </row>
    <row r="75" spans="1:12" s="2876" customFormat="1">
      <c r="A75" s="2559"/>
      <c r="D75" s="2988"/>
      <c r="K75" s="196"/>
      <c r="L75" s="196"/>
    </row>
    <row r="76" spans="1:12" s="2876" customFormat="1">
      <c r="A76" s="2559"/>
      <c r="D76" s="2988"/>
      <c r="K76" s="196"/>
      <c r="L76" s="196"/>
    </row>
    <row r="77" spans="1:12" s="2876" customFormat="1">
      <c r="A77" s="2559"/>
      <c r="D77" s="2988"/>
      <c r="K77" s="196"/>
      <c r="L77" s="196"/>
    </row>
    <row r="78" spans="1:12" s="2876" customFormat="1">
      <c r="A78" s="2559"/>
      <c r="D78" s="2988"/>
      <c r="K78" s="196"/>
      <c r="L78" s="196"/>
    </row>
    <row r="79" spans="1:12" s="2876" customFormat="1">
      <c r="A79" s="2559"/>
      <c r="D79" s="2988"/>
      <c r="K79" s="196"/>
      <c r="L79" s="196"/>
    </row>
    <row r="80" spans="1:12" s="2876" customFormat="1">
      <c r="A80" s="2559"/>
      <c r="D80" s="2988"/>
      <c r="K80" s="196"/>
      <c r="L80" s="196"/>
    </row>
    <row r="81" spans="1:12" s="2876" customFormat="1">
      <c r="A81" s="2559"/>
      <c r="D81" s="2988"/>
      <c r="K81" s="196"/>
      <c r="L81" s="196"/>
    </row>
    <row r="82" spans="1:12" s="2876" customFormat="1">
      <c r="A82" s="2559"/>
      <c r="D82" s="2988"/>
      <c r="K82" s="196"/>
      <c r="L82" s="196"/>
    </row>
    <row r="83" spans="1:12" s="2876" customFormat="1">
      <c r="A83" s="2559"/>
      <c r="D83" s="2988"/>
      <c r="K83" s="196"/>
      <c r="L83" s="196"/>
    </row>
    <row r="84" spans="1:12" s="2876" customFormat="1">
      <c r="A84" s="2559"/>
      <c r="D84" s="2988"/>
      <c r="K84" s="196"/>
      <c r="L84" s="196"/>
    </row>
    <row r="85" spans="1:12" s="2876" customFormat="1">
      <c r="A85" s="2559"/>
      <c r="D85" s="2988"/>
      <c r="K85" s="196"/>
      <c r="L85" s="196"/>
    </row>
    <row r="86" spans="1:12" s="2876" customFormat="1">
      <c r="A86" s="2559"/>
      <c r="D86" s="2988"/>
      <c r="K86" s="196"/>
      <c r="L86" s="196"/>
    </row>
    <row r="87" spans="1:12" s="2876" customFormat="1">
      <c r="A87" s="2559"/>
      <c r="D87" s="2988"/>
      <c r="K87" s="196"/>
      <c r="L87" s="196"/>
    </row>
    <row r="88" spans="1:12" s="2876" customFormat="1">
      <c r="A88" s="2559"/>
      <c r="D88" s="2988"/>
      <c r="K88" s="196"/>
      <c r="L88" s="196"/>
    </row>
    <row r="89" spans="1:12" s="2876" customFormat="1">
      <c r="A89" s="2559"/>
      <c r="D89" s="2988"/>
      <c r="K89" s="196"/>
      <c r="L89" s="196"/>
    </row>
    <row r="90" spans="1:12" s="2876" customFormat="1">
      <c r="A90" s="2559"/>
      <c r="D90" s="2988"/>
      <c r="K90" s="196"/>
      <c r="L90" s="196"/>
    </row>
    <row r="91" spans="1:12" s="2876" customFormat="1">
      <c r="A91" s="2559"/>
      <c r="D91" s="2988"/>
      <c r="K91" s="196"/>
      <c r="L91" s="196"/>
    </row>
    <row r="92" spans="1:12" s="2876" customFormat="1">
      <c r="A92" s="2559"/>
      <c r="D92" s="2988"/>
      <c r="K92" s="196"/>
      <c r="L92" s="196"/>
    </row>
    <row r="93" spans="1:12" s="2876" customFormat="1">
      <c r="A93" s="2559"/>
      <c r="D93" s="2988"/>
      <c r="K93" s="196"/>
      <c r="L93" s="196"/>
    </row>
    <row r="94" spans="1:12" s="2876" customFormat="1">
      <c r="A94" s="2559"/>
      <c r="D94" s="2988"/>
      <c r="K94" s="196"/>
      <c r="L94" s="196"/>
    </row>
    <row r="95" spans="1:12" s="2876" customFormat="1">
      <c r="A95" s="2559"/>
      <c r="D95" s="2988"/>
      <c r="K95" s="196"/>
      <c r="L95" s="196"/>
    </row>
    <row r="96" spans="1:12" s="2876" customFormat="1">
      <c r="A96" s="2559"/>
      <c r="D96" s="2988"/>
      <c r="K96" s="196"/>
      <c r="L96" s="196"/>
    </row>
    <row r="97" spans="1:12" s="2876" customFormat="1">
      <c r="A97" s="2559"/>
      <c r="D97" s="2988"/>
      <c r="K97" s="196"/>
      <c r="L97" s="196"/>
    </row>
    <row r="98" spans="1:12" s="2876" customFormat="1">
      <c r="A98" s="2559"/>
      <c r="D98" s="2988"/>
      <c r="K98" s="196"/>
      <c r="L98" s="196"/>
    </row>
    <row r="99" spans="1:12" s="2876" customFormat="1">
      <c r="A99" s="2559"/>
      <c r="D99" s="2988"/>
      <c r="K99" s="196"/>
      <c r="L99" s="196"/>
    </row>
    <row r="100" spans="1:12" s="2876" customFormat="1">
      <c r="A100" s="2559"/>
      <c r="D100" s="2988"/>
      <c r="K100" s="196"/>
      <c r="L100" s="196"/>
    </row>
    <row r="101" spans="1:12" s="2876" customFormat="1">
      <c r="A101" s="2559"/>
      <c r="D101" s="2988"/>
      <c r="K101" s="196"/>
      <c r="L101" s="196"/>
    </row>
    <row r="102" spans="1:12" s="2876" customFormat="1">
      <c r="A102" s="2559"/>
      <c r="D102" s="2988"/>
      <c r="K102" s="196"/>
      <c r="L102" s="196"/>
    </row>
    <row r="103" spans="1:12" s="2876" customFormat="1">
      <c r="A103" s="2559"/>
      <c r="D103" s="2988"/>
      <c r="K103" s="196"/>
      <c r="L103" s="196"/>
    </row>
    <row r="104" spans="1:12" s="2876" customFormat="1">
      <c r="A104" s="2559"/>
      <c r="D104" s="2988"/>
      <c r="K104" s="196"/>
      <c r="L104" s="196"/>
    </row>
    <row r="105" spans="1:12" s="2876" customFormat="1">
      <c r="A105" s="2559"/>
      <c r="D105" s="2988"/>
      <c r="K105" s="196"/>
      <c r="L105" s="196"/>
    </row>
    <row r="106" spans="1:12" s="2876" customFormat="1">
      <c r="A106" s="2559"/>
      <c r="D106" s="2988"/>
      <c r="K106" s="196"/>
      <c r="L106" s="196"/>
    </row>
    <row r="107" spans="1:12" s="2876" customFormat="1">
      <c r="A107" s="2559"/>
      <c r="D107" s="2988"/>
      <c r="K107" s="196"/>
      <c r="L107" s="196"/>
    </row>
    <row r="108" spans="1:12" s="2876" customFormat="1">
      <c r="A108" s="2559"/>
      <c r="D108" s="2988"/>
      <c r="K108" s="196"/>
      <c r="L108" s="196"/>
    </row>
    <row r="109" spans="1:12" s="2876" customFormat="1">
      <c r="A109" s="2559"/>
      <c r="D109" s="2988"/>
      <c r="K109" s="196"/>
      <c r="L109" s="196"/>
    </row>
    <row r="110" spans="1:12" s="2876" customFormat="1">
      <c r="A110" s="2559"/>
      <c r="D110" s="2988"/>
      <c r="K110" s="196"/>
      <c r="L110" s="196"/>
    </row>
    <row r="111" spans="1:12" s="2876" customFormat="1">
      <c r="A111" s="2559"/>
      <c r="D111" s="2988"/>
      <c r="K111" s="196"/>
      <c r="L111" s="196"/>
    </row>
    <row r="112" spans="1:12" s="2876" customFormat="1">
      <c r="A112" s="2559"/>
      <c r="D112" s="2988"/>
      <c r="K112" s="196"/>
      <c r="L112" s="196"/>
    </row>
    <row r="113" spans="1:12" s="2876" customFormat="1">
      <c r="A113" s="2559"/>
      <c r="D113" s="2988"/>
      <c r="K113" s="196"/>
      <c r="L113" s="196"/>
    </row>
    <row r="114" spans="1:12" s="2876" customFormat="1">
      <c r="A114" s="2559"/>
      <c r="D114" s="2988"/>
      <c r="K114" s="196"/>
      <c r="L114" s="196"/>
    </row>
    <row r="115" spans="1:12" s="2876" customFormat="1">
      <c r="A115" s="2559"/>
      <c r="D115" s="2988"/>
      <c r="K115" s="196"/>
      <c r="L115" s="196"/>
    </row>
    <row r="116" spans="1:12" s="2876" customFormat="1">
      <c r="A116" s="2559"/>
      <c r="D116" s="2988"/>
      <c r="K116" s="196"/>
      <c r="L116" s="196"/>
    </row>
    <row r="117" spans="1:12" s="2876" customFormat="1">
      <c r="A117" s="2559"/>
      <c r="D117" s="2988"/>
      <c r="K117" s="196"/>
      <c r="L117" s="196"/>
    </row>
    <row r="118" spans="1:12" s="2876" customFormat="1">
      <c r="A118" s="2559"/>
      <c r="D118" s="2988"/>
      <c r="K118" s="196"/>
      <c r="L118" s="196"/>
    </row>
    <row r="119" spans="1:12" s="2876" customFormat="1">
      <c r="A119" s="2559"/>
      <c r="D119" s="2988"/>
      <c r="K119" s="196"/>
      <c r="L119" s="196"/>
    </row>
    <row r="120" spans="1:12" s="2876" customFormat="1">
      <c r="A120" s="2559"/>
      <c r="D120" s="2988"/>
      <c r="K120" s="196"/>
      <c r="L120" s="196"/>
    </row>
    <row r="121" spans="1:12" s="2876" customFormat="1">
      <c r="A121" s="2559"/>
      <c r="D121" s="2988"/>
      <c r="K121" s="196"/>
      <c r="L121" s="196"/>
    </row>
    <row r="122" spans="1:12" s="2876" customFormat="1">
      <c r="A122" s="2559"/>
      <c r="D122" s="2988"/>
      <c r="K122" s="196"/>
      <c r="L122" s="196"/>
    </row>
    <row r="123" spans="1:12" s="2876" customFormat="1">
      <c r="A123" s="2559"/>
      <c r="D123" s="2988"/>
      <c r="K123" s="196"/>
      <c r="L123" s="196"/>
    </row>
    <row r="124" spans="1:12" s="2876" customFormat="1">
      <c r="A124" s="2559"/>
      <c r="D124" s="2988"/>
      <c r="K124" s="196"/>
      <c r="L124" s="196"/>
    </row>
    <row r="125" spans="1:12" s="2876" customFormat="1">
      <c r="A125" s="2559"/>
      <c r="D125" s="2988"/>
      <c r="K125" s="196"/>
      <c r="L125" s="196"/>
    </row>
    <row r="126" spans="1:12" s="2876" customFormat="1">
      <c r="A126" s="2559"/>
      <c r="D126" s="2988"/>
      <c r="K126" s="196"/>
      <c r="L126" s="196"/>
    </row>
    <row r="127" spans="1:12" s="2876" customFormat="1">
      <c r="A127" s="2559"/>
      <c r="D127" s="2988"/>
      <c r="K127" s="196"/>
      <c r="L127" s="196"/>
    </row>
    <row r="128" spans="1:12" s="2876" customFormat="1">
      <c r="A128" s="2559"/>
      <c r="D128" s="2988"/>
      <c r="K128" s="196"/>
      <c r="L128" s="196"/>
    </row>
    <row r="129" spans="1:12" s="2876" customFormat="1">
      <c r="A129" s="2559"/>
      <c r="D129" s="2988"/>
      <c r="K129" s="196"/>
      <c r="L129" s="196"/>
    </row>
    <row r="130" spans="1:12" s="2876" customFormat="1">
      <c r="A130" s="2559"/>
      <c r="D130" s="2988"/>
      <c r="K130" s="196"/>
      <c r="L130" s="196"/>
    </row>
    <row r="131" spans="1:12" s="2876" customFormat="1">
      <c r="A131" s="2559"/>
      <c r="D131" s="2988"/>
      <c r="K131" s="196"/>
      <c r="L131" s="196"/>
    </row>
    <row r="132" spans="1:12" s="2876" customFormat="1">
      <c r="A132" s="2559"/>
      <c r="D132" s="2988"/>
      <c r="K132" s="196"/>
      <c r="L132" s="196"/>
    </row>
    <row r="133" spans="1:12" s="2876" customFormat="1">
      <c r="A133" s="2559"/>
      <c r="D133" s="2988"/>
      <c r="K133" s="196"/>
      <c r="L133" s="196"/>
    </row>
    <row r="134" spans="1:12" s="2876" customFormat="1">
      <c r="A134" s="2559"/>
      <c r="D134" s="2988"/>
      <c r="K134" s="196"/>
      <c r="L134" s="196"/>
    </row>
    <row r="135" spans="1:12" s="2876" customFormat="1">
      <c r="A135" s="2559"/>
      <c r="D135" s="2988"/>
      <c r="K135" s="196"/>
      <c r="L135" s="196"/>
    </row>
    <row r="136" spans="1:12" s="2876" customFormat="1">
      <c r="A136" s="2559"/>
      <c r="D136" s="2988"/>
      <c r="K136" s="196"/>
      <c r="L136" s="196"/>
    </row>
    <row r="137" spans="1:12" s="2876" customFormat="1">
      <c r="A137" s="2559"/>
      <c r="D137" s="2988"/>
      <c r="K137" s="196"/>
      <c r="L137" s="196"/>
    </row>
    <row r="138" spans="1:12" s="2876" customFormat="1">
      <c r="A138" s="2559"/>
      <c r="D138" s="2988"/>
      <c r="K138" s="196"/>
      <c r="L138" s="196"/>
    </row>
    <row r="139" spans="1:12" s="2876" customFormat="1">
      <c r="A139" s="2559"/>
      <c r="D139" s="2988"/>
      <c r="K139" s="196"/>
      <c r="L139" s="196"/>
    </row>
    <row r="140" spans="1:12" s="2876" customFormat="1">
      <c r="A140" s="2559"/>
      <c r="D140" s="2988"/>
      <c r="K140" s="196"/>
      <c r="L140" s="196"/>
    </row>
    <row r="141" spans="1:12" s="2876" customFormat="1">
      <c r="A141" s="2559"/>
      <c r="D141" s="2988"/>
      <c r="K141" s="196"/>
      <c r="L141" s="196"/>
    </row>
    <row r="142" spans="1:12" s="2876" customFormat="1">
      <c r="A142" s="2559"/>
      <c r="D142" s="2988"/>
      <c r="K142" s="196"/>
      <c r="L142" s="196"/>
    </row>
    <row r="143" spans="1:12" s="2876" customFormat="1">
      <c r="A143" s="2559"/>
      <c r="D143" s="2988"/>
      <c r="K143" s="196"/>
      <c r="L143" s="196"/>
    </row>
    <row r="144" spans="1:12" s="2876" customFormat="1">
      <c r="A144" s="2559"/>
      <c r="D144" s="2988"/>
      <c r="K144" s="196"/>
      <c r="L144" s="196"/>
    </row>
    <row r="145" spans="1:12" s="2876" customFormat="1">
      <c r="A145" s="2559"/>
      <c r="D145" s="2988"/>
      <c r="K145" s="196"/>
      <c r="L145" s="196"/>
    </row>
    <row r="146" spans="1:12" s="2876" customFormat="1">
      <c r="A146" s="2559"/>
      <c r="D146" s="2988"/>
      <c r="K146" s="196"/>
      <c r="L146" s="196"/>
    </row>
    <row r="147" spans="1:12" s="2876" customFormat="1">
      <c r="A147" s="2559"/>
      <c r="D147" s="2988"/>
      <c r="K147" s="196"/>
      <c r="L147" s="196"/>
    </row>
    <row r="148" spans="1:12" s="2876" customFormat="1">
      <c r="A148" s="2559"/>
      <c r="D148" s="2988"/>
      <c r="K148" s="196"/>
      <c r="L148" s="196"/>
    </row>
    <row r="149" spans="1:12" s="2876" customFormat="1">
      <c r="A149" s="2559"/>
      <c r="D149" s="2988"/>
      <c r="K149" s="196"/>
      <c r="L149" s="196"/>
    </row>
    <row r="150" spans="1:12" s="2876" customFormat="1">
      <c r="A150" s="2559"/>
      <c r="D150" s="2988"/>
      <c r="K150" s="196"/>
      <c r="L150" s="196"/>
    </row>
    <row r="151" spans="1:12" s="2876" customFormat="1">
      <c r="A151" s="2559"/>
      <c r="D151" s="2988"/>
      <c r="K151" s="196"/>
      <c r="L151" s="196"/>
    </row>
    <row r="152" spans="1:12" s="2876" customFormat="1">
      <c r="A152" s="2559"/>
      <c r="D152" s="2988"/>
      <c r="K152" s="196"/>
      <c r="L152" s="196"/>
    </row>
    <row r="153" spans="1:12" s="2876" customFormat="1">
      <c r="A153" s="2559"/>
      <c r="D153" s="2988"/>
      <c r="K153" s="196"/>
      <c r="L153" s="196"/>
    </row>
    <row r="154" spans="1:12" s="2876" customFormat="1">
      <c r="A154" s="2559"/>
      <c r="D154" s="2988"/>
      <c r="K154" s="196"/>
      <c r="L154" s="196"/>
    </row>
    <row r="155" spans="1:12" s="2876" customFormat="1">
      <c r="A155" s="2559"/>
      <c r="D155" s="2988"/>
      <c r="K155" s="196"/>
      <c r="L155" s="196"/>
    </row>
    <row r="156" spans="1:12" s="2876" customFormat="1">
      <c r="A156" s="2559"/>
      <c r="D156" s="2988"/>
      <c r="K156" s="196"/>
      <c r="L156" s="196"/>
    </row>
    <row r="157" spans="1:12" s="2876" customFormat="1">
      <c r="A157" s="2559"/>
      <c r="D157" s="2988"/>
      <c r="K157" s="196"/>
      <c r="L157" s="196"/>
    </row>
    <row r="158" spans="1:12" s="2876" customFormat="1">
      <c r="A158" s="2559"/>
      <c r="D158" s="2988"/>
      <c r="K158" s="196"/>
      <c r="L158" s="196"/>
    </row>
    <row r="159" spans="1:12" s="2876" customFormat="1">
      <c r="A159" s="2559"/>
      <c r="D159" s="2988"/>
      <c r="K159" s="196"/>
      <c r="L159" s="196"/>
    </row>
    <row r="160" spans="1:12" s="2876" customFormat="1">
      <c r="A160" s="2559"/>
      <c r="D160" s="2988"/>
      <c r="K160" s="196"/>
      <c r="L160" s="196"/>
    </row>
    <row r="161" spans="1:12" s="2876" customFormat="1">
      <c r="A161" s="2559"/>
      <c r="D161" s="2988"/>
      <c r="K161" s="196"/>
      <c r="L161" s="196"/>
    </row>
    <row r="162" spans="1:12" s="2876" customFormat="1">
      <c r="A162" s="2559"/>
      <c r="D162" s="2988"/>
      <c r="K162" s="196"/>
      <c r="L162" s="196"/>
    </row>
    <row r="163" spans="1:12" s="2876" customFormat="1">
      <c r="A163" s="2559"/>
      <c r="D163" s="2988"/>
      <c r="K163" s="196"/>
      <c r="L163" s="196"/>
    </row>
    <row r="164" spans="1:12" s="2876" customFormat="1">
      <c r="A164" s="2559"/>
      <c r="D164" s="2988"/>
      <c r="K164" s="196"/>
      <c r="L164" s="196"/>
    </row>
    <row r="165" spans="1:12" s="2876" customFormat="1">
      <c r="A165" s="2559"/>
      <c r="D165" s="2988"/>
      <c r="K165" s="196"/>
      <c r="L165" s="196"/>
    </row>
    <row r="166" spans="1:12" s="2876" customFormat="1">
      <c r="A166" s="2559"/>
      <c r="D166" s="2988"/>
      <c r="K166" s="196"/>
      <c r="L166" s="196"/>
    </row>
    <row r="167" spans="1:12" s="2876" customFormat="1">
      <c r="A167" s="2559"/>
      <c r="D167" s="2988"/>
      <c r="K167" s="196"/>
      <c r="L167" s="196"/>
    </row>
    <row r="168" spans="1:12" s="2876" customFormat="1">
      <c r="A168" s="2559"/>
      <c r="D168" s="2988"/>
      <c r="K168" s="196"/>
      <c r="L168" s="196"/>
    </row>
    <row r="169" spans="1:12" s="2876" customFormat="1">
      <c r="A169" s="2559"/>
      <c r="D169" s="2988"/>
      <c r="K169" s="196"/>
      <c r="L169" s="196"/>
    </row>
    <row r="170" spans="1:12" s="2876" customFormat="1">
      <c r="A170" s="2559"/>
      <c r="D170" s="2988"/>
      <c r="K170" s="196"/>
      <c r="L170" s="196"/>
    </row>
    <row r="171" spans="1:12" s="2876" customFormat="1">
      <c r="A171" s="2559"/>
      <c r="D171" s="2988"/>
      <c r="K171" s="196"/>
      <c r="L171" s="196"/>
    </row>
    <row r="172" spans="1:12" s="2876" customFormat="1">
      <c r="A172" s="2559"/>
      <c r="D172" s="2988"/>
      <c r="K172" s="196"/>
      <c r="L172" s="196"/>
    </row>
    <row r="173" spans="1:12" s="2876" customFormat="1">
      <c r="A173" s="2559"/>
      <c r="D173" s="2988"/>
      <c r="K173" s="196"/>
      <c r="L173" s="196"/>
    </row>
    <row r="174" spans="1:12" s="2876" customFormat="1">
      <c r="A174" s="2559"/>
      <c r="D174" s="2988"/>
      <c r="K174" s="196"/>
      <c r="L174" s="196"/>
    </row>
    <row r="175" spans="1:12" s="2876" customFormat="1">
      <c r="A175" s="2559"/>
      <c r="D175" s="2988"/>
      <c r="K175" s="196"/>
      <c r="L175" s="196"/>
    </row>
    <row r="176" spans="1:12" s="2876" customFormat="1">
      <c r="A176" s="2559"/>
      <c r="D176" s="2988"/>
      <c r="K176" s="196"/>
      <c r="L176" s="196"/>
    </row>
    <row r="177" spans="1:12" s="2876" customFormat="1">
      <c r="A177" s="2559"/>
      <c r="D177" s="2988"/>
      <c r="K177" s="196"/>
      <c r="L177" s="196"/>
    </row>
    <row r="178" spans="1:12" s="2876" customFormat="1">
      <c r="A178" s="2559"/>
      <c r="D178" s="2988"/>
      <c r="K178" s="196"/>
      <c r="L178" s="196"/>
    </row>
    <row r="179" spans="1:12" s="2876" customFormat="1">
      <c r="A179" s="2559"/>
      <c r="D179" s="2988"/>
      <c r="K179" s="196"/>
      <c r="L179" s="196"/>
    </row>
    <row r="180" spans="1:12" s="2876" customFormat="1">
      <c r="A180" s="2559"/>
      <c r="D180" s="2988"/>
      <c r="K180" s="196"/>
      <c r="L180" s="196"/>
    </row>
    <row r="181" spans="1:12" s="2876" customFormat="1">
      <c r="A181" s="2559"/>
      <c r="D181" s="2988"/>
      <c r="K181" s="196"/>
      <c r="L181" s="196"/>
    </row>
    <row r="182" spans="1:12" s="2876" customFormat="1">
      <c r="A182" s="2559"/>
      <c r="D182" s="2988"/>
      <c r="K182" s="196"/>
      <c r="L182" s="196"/>
    </row>
    <row r="183" spans="1:12" s="2876" customFormat="1">
      <c r="A183" s="2559"/>
      <c r="D183" s="2988"/>
      <c r="K183" s="196"/>
      <c r="L183" s="196"/>
    </row>
    <row r="184" spans="1:12" s="2876" customFormat="1">
      <c r="A184" s="2559"/>
      <c r="D184" s="2988"/>
      <c r="K184" s="196"/>
      <c r="L184" s="196"/>
    </row>
    <row r="185" spans="1:12" s="2876" customFormat="1">
      <c r="A185" s="2559"/>
      <c r="D185" s="2988"/>
      <c r="K185" s="196"/>
      <c r="L185" s="196"/>
    </row>
    <row r="186" spans="1:12" s="2876" customFormat="1">
      <c r="A186" s="2559"/>
      <c r="D186" s="2988"/>
      <c r="K186" s="196"/>
      <c r="L186" s="196"/>
    </row>
    <row r="187" spans="1:12" s="2876" customFormat="1">
      <c r="A187" s="2559"/>
      <c r="D187" s="2988"/>
      <c r="K187" s="196"/>
      <c r="L187" s="196"/>
    </row>
    <row r="188" spans="1:12" s="2876" customFormat="1">
      <c r="A188" s="2559"/>
      <c r="D188" s="2988"/>
      <c r="K188" s="196"/>
      <c r="L188" s="196"/>
    </row>
    <row r="189" spans="1:12" s="2876" customFormat="1">
      <c r="A189" s="2559"/>
      <c r="D189" s="2988"/>
      <c r="K189" s="196"/>
      <c r="L189" s="196"/>
    </row>
    <row r="190" spans="1:12" s="2876" customFormat="1">
      <c r="A190" s="2559"/>
      <c r="D190" s="2988"/>
      <c r="K190" s="196"/>
      <c r="L190" s="196"/>
    </row>
    <row r="191" spans="1:12" s="2876" customFormat="1">
      <c r="A191" s="2559"/>
      <c r="D191" s="2988"/>
      <c r="K191" s="196"/>
      <c r="L191" s="196"/>
    </row>
    <row r="192" spans="1:12" s="2876" customFormat="1">
      <c r="A192" s="2559"/>
      <c r="D192" s="2988"/>
      <c r="K192" s="196"/>
      <c r="L192" s="196"/>
    </row>
  </sheetData>
  <sheetProtection password="CEE9" sheet="1" objects="1" scenarios="1" formatCells="0" formatColumns="0" formatRows="0"/>
  <phoneticPr fontId="25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37" t="s">
        <v>706</v>
      </c>
      <c r="B1" s="3738"/>
      <c r="C1" s="3738"/>
      <c r="D1" s="3738"/>
      <c r="E1" s="3738"/>
      <c r="F1" s="3738"/>
      <c r="G1" s="3738"/>
      <c r="H1" s="2807"/>
      <c r="I1" s="2862"/>
      <c r="J1" s="2863"/>
      <c r="K1" s="2807"/>
      <c r="L1" s="2862"/>
      <c r="M1" s="2863"/>
      <c r="N1" s="2807"/>
      <c r="O1" s="2862"/>
      <c r="P1" s="2863"/>
      <c r="Q1" s="2871"/>
      <c r="R1" s="2872"/>
    </row>
    <row r="2" spans="1:18">
      <c r="A2" s="2808"/>
      <c r="B2" s="2809"/>
      <c r="C2" s="2810" t="s">
        <v>707</v>
      </c>
      <c r="D2" s="2811"/>
      <c r="E2" s="2808"/>
      <c r="F2" s="2812"/>
      <c r="G2" s="2810" t="s">
        <v>164</v>
      </c>
      <c r="H2" s="2802"/>
      <c r="I2" s="2802"/>
      <c r="J2" s="2802"/>
      <c r="K2" s="2802"/>
      <c r="L2" s="2802"/>
      <c r="M2" s="2802"/>
      <c r="N2" s="2802"/>
      <c r="O2" s="2802"/>
      <c r="P2" s="2802"/>
      <c r="Q2" s="2802"/>
      <c r="R2" s="2802"/>
    </row>
    <row r="3" spans="1:18" ht="40.5">
      <c r="A3" s="2813" t="s">
        <v>708</v>
      </c>
      <c r="B3" s="2814" t="s">
        <v>709</v>
      </c>
      <c r="C3" s="2815" t="s">
        <v>710</v>
      </c>
      <c r="D3" s="2816"/>
      <c r="E3" s="2817" t="s">
        <v>708</v>
      </c>
      <c r="F3" s="2818" t="s">
        <v>711</v>
      </c>
      <c r="G3" s="2819" t="s">
        <v>712</v>
      </c>
      <c r="H3" s="2802"/>
      <c r="I3" s="2802"/>
      <c r="J3" s="2802"/>
      <c r="K3" s="2802"/>
      <c r="L3" s="2802"/>
      <c r="M3" s="2802"/>
      <c r="N3" s="2802"/>
      <c r="O3" s="2802"/>
      <c r="P3" s="2802"/>
      <c r="Q3" s="2802"/>
      <c r="R3" s="2802"/>
    </row>
    <row r="4" spans="1:18" ht="40.5">
      <c r="A4" s="2817"/>
      <c r="B4" s="2820" t="s">
        <v>713</v>
      </c>
      <c r="C4" s="2821" t="s">
        <v>714</v>
      </c>
      <c r="D4" s="2816"/>
      <c r="E4" s="2822"/>
      <c r="F4" s="2823" t="s">
        <v>715</v>
      </c>
      <c r="G4" s="2824" t="s">
        <v>716</v>
      </c>
      <c r="H4" s="2802"/>
      <c r="I4" s="2802"/>
      <c r="J4" s="2802"/>
      <c r="K4" s="2802"/>
      <c r="L4" s="2802"/>
      <c r="M4" s="2802"/>
      <c r="N4" s="2802"/>
      <c r="O4" s="2802"/>
      <c r="P4" s="2802"/>
      <c r="Q4" s="2802"/>
      <c r="R4" s="2802"/>
    </row>
    <row r="5" spans="1:18" ht="41.25">
      <c r="A5" s="2817"/>
      <c r="B5" s="2820" t="s">
        <v>717</v>
      </c>
      <c r="C5" s="2821" t="s">
        <v>718</v>
      </c>
      <c r="D5" s="2816"/>
      <c r="E5" s="2822"/>
      <c r="F5" s="2820" t="s">
        <v>229</v>
      </c>
      <c r="G5" s="2824" t="s">
        <v>719</v>
      </c>
      <c r="H5" s="2802"/>
      <c r="I5" s="2802"/>
      <c r="J5" s="2802"/>
      <c r="K5" s="2802"/>
      <c r="L5" s="2802"/>
      <c r="M5" s="2802"/>
      <c r="N5" s="2802"/>
      <c r="O5" s="2802"/>
      <c r="P5" s="2802"/>
      <c r="Q5" s="2802"/>
      <c r="R5" s="2802"/>
    </row>
    <row r="6" spans="1:18" ht="40.5">
      <c r="A6" s="2817"/>
      <c r="B6" s="2820" t="s">
        <v>715</v>
      </c>
      <c r="C6" s="2824" t="s">
        <v>716</v>
      </c>
      <c r="D6" s="2816"/>
      <c r="E6" s="2822"/>
      <c r="F6" s="2820" t="s">
        <v>230</v>
      </c>
      <c r="G6" s="2824" t="s">
        <v>720</v>
      </c>
      <c r="H6" s="2802"/>
      <c r="I6" s="2802"/>
      <c r="J6" s="2802"/>
      <c r="K6" s="2802"/>
      <c r="L6" s="2802"/>
      <c r="M6" s="2802"/>
      <c r="N6" s="2802"/>
      <c r="O6" s="2802"/>
      <c r="P6" s="2802"/>
      <c r="Q6" s="2802"/>
      <c r="R6" s="2802"/>
    </row>
    <row r="7" spans="1:18" ht="27">
      <c r="A7" s="2817"/>
      <c r="B7" s="2820" t="s">
        <v>229</v>
      </c>
      <c r="C7" s="2824" t="s">
        <v>719</v>
      </c>
      <c r="D7" s="2825"/>
      <c r="E7" s="2826"/>
      <c r="F7" s="2827" t="s">
        <v>721</v>
      </c>
      <c r="G7" s="2828" t="s">
        <v>722</v>
      </c>
      <c r="H7" s="2802"/>
      <c r="I7" s="2802"/>
      <c r="J7" s="2802"/>
      <c r="K7" s="2802"/>
      <c r="L7" s="2802"/>
      <c r="M7" s="2802"/>
      <c r="N7" s="2802"/>
      <c r="O7" s="2802"/>
      <c r="P7" s="2802"/>
      <c r="Q7" s="2802"/>
      <c r="R7" s="2802"/>
    </row>
    <row r="8" spans="1:18">
      <c r="A8" s="2817"/>
      <c r="B8" s="2820" t="s">
        <v>230</v>
      </c>
      <c r="C8" s="2824" t="s">
        <v>720</v>
      </c>
      <c r="D8" s="2825"/>
      <c r="E8" s="2825"/>
      <c r="F8" s="2829"/>
      <c r="G8" s="2829"/>
      <c r="H8" s="2802"/>
      <c r="I8" s="2802"/>
      <c r="J8" s="2802"/>
      <c r="K8" s="2802"/>
      <c r="L8" s="2802"/>
      <c r="M8" s="2802"/>
      <c r="N8" s="2802"/>
      <c r="O8" s="2802"/>
      <c r="P8" s="2802"/>
      <c r="Q8" s="2802"/>
      <c r="R8" s="2802"/>
    </row>
    <row r="9" spans="1:18" ht="27">
      <c r="A9" s="2817"/>
      <c r="B9" s="2820" t="s">
        <v>723</v>
      </c>
      <c r="C9" s="2821" t="s">
        <v>724</v>
      </c>
      <c r="D9" s="2816"/>
      <c r="E9" s="2825"/>
      <c r="F9" s="2829"/>
      <c r="G9" s="2829"/>
      <c r="H9" s="2802"/>
      <c r="I9" s="2802"/>
      <c r="J9" s="2802"/>
      <c r="K9" s="2802"/>
      <c r="L9" s="2802"/>
      <c r="M9" s="2802"/>
      <c r="N9" s="2802"/>
      <c r="O9" s="2802"/>
      <c r="P9" s="2802"/>
      <c r="Q9" s="2802"/>
      <c r="R9" s="2802"/>
    </row>
    <row r="10" spans="1:18" s="2801" customFormat="1" ht="14.25">
      <c r="A10" s="2830"/>
      <c r="B10" s="2831" t="s">
        <v>725</v>
      </c>
      <c r="C10" s="2832"/>
      <c r="D10" s="2816"/>
      <c r="E10" s="2816"/>
      <c r="F10" s="2829"/>
      <c r="G10" s="2829"/>
      <c r="H10" s="2833"/>
      <c r="I10" s="2864"/>
      <c r="J10" s="2865"/>
      <c r="K10" s="2833"/>
      <c r="L10" s="2864"/>
      <c r="M10" s="2865"/>
      <c r="N10" s="2833"/>
      <c r="O10" s="2864"/>
      <c r="P10" s="2865"/>
      <c r="Q10" s="2833"/>
      <c r="R10" s="2864"/>
    </row>
    <row r="11" spans="1:18" s="2801" customFormat="1">
      <c r="A11" s="2834"/>
      <c r="B11" s="2825"/>
      <c r="C11" s="2816"/>
      <c r="D11" s="2816"/>
      <c r="E11" s="2816"/>
      <c r="F11" s="2825"/>
      <c r="G11" s="2835"/>
      <c r="H11" s="2833"/>
      <c r="I11" s="2864"/>
      <c r="J11" s="2865"/>
      <c r="K11" s="2833"/>
      <c r="L11" s="2864"/>
      <c r="M11" s="2865"/>
      <c r="N11" s="2833"/>
      <c r="O11" s="2864"/>
      <c r="P11" s="2865"/>
      <c r="Q11" s="2833"/>
      <c r="R11" s="2864"/>
    </row>
    <row r="12" spans="1:18" s="2800" customFormat="1" ht="18.75">
      <c r="A12" s="2834"/>
      <c r="B12" s="2825"/>
      <c r="C12" s="2816"/>
      <c r="D12" s="2836"/>
      <c r="E12" s="2816"/>
      <c r="F12" s="2825"/>
      <c r="G12" s="2835"/>
      <c r="H12" s="2837"/>
      <c r="I12" s="2866"/>
      <c r="J12" s="2837"/>
      <c r="K12" s="2837"/>
      <c r="L12" s="2867"/>
      <c r="M12" s="2837"/>
      <c r="N12" s="2868"/>
      <c r="O12" s="2869"/>
      <c r="P12" s="2870"/>
      <c r="Q12" s="2868"/>
      <c r="R12" s="2872"/>
    </row>
    <row r="13" spans="1:18" ht="18.75">
      <c r="A13" s="2838" t="s">
        <v>726</v>
      </c>
      <c r="B13" s="2836"/>
      <c r="C13" s="2836"/>
      <c r="D13" s="2811"/>
      <c r="E13" s="2836"/>
      <c r="F13" s="2836"/>
      <c r="G13" s="2836"/>
    </row>
    <row r="14" spans="1:18">
      <c r="A14" s="2839"/>
      <c r="B14" s="2839"/>
      <c r="C14" s="2840" t="s">
        <v>707</v>
      </c>
      <c r="D14" s="2816"/>
      <c r="E14" s="2841"/>
      <c r="F14" s="2841"/>
      <c r="G14" s="2810" t="s">
        <v>164</v>
      </c>
    </row>
    <row r="15" spans="1:18" ht="40.5">
      <c r="A15" s="2842" t="s">
        <v>708</v>
      </c>
      <c r="B15" s="2843" t="s">
        <v>709</v>
      </c>
      <c r="C15" s="2844" t="str">
        <f>C3</f>
        <v>估价对象周边居住用地比例、居住小区规模和社区发展完善程度，综合评价居住社区成熟度一般</v>
      </c>
      <c r="D15" s="2816"/>
      <c r="E15" s="2845" t="s">
        <v>708</v>
      </c>
      <c r="F15" s="2843" t="s">
        <v>711</v>
      </c>
      <c r="G15" s="2846" t="str">
        <f>G3</f>
        <v>估价对象位于XX开发区，园区建设成熟度XX，产业集聚程度XX</v>
      </c>
    </row>
    <row r="16" spans="1:18" ht="40.5">
      <c r="A16" s="2847"/>
      <c r="B16" s="2848" t="s">
        <v>713</v>
      </c>
      <c r="C16" s="2849" t="str">
        <f>C4</f>
        <v>估价对象位于XX商圈，周边商业氛围成熟，人流量大，商业繁华度好</v>
      </c>
      <c r="D16" s="2816"/>
      <c r="E16" s="2850"/>
      <c r="F16" s="2851" t="s">
        <v>715</v>
      </c>
      <c r="G16" s="2852" t="str">
        <f>G4</f>
        <v>估价对象周边道路状况、公共交通通达情况、停车便捷程度，综合评价交通便捷度较好</v>
      </c>
    </row>
    <row r="17" spans="1:7" ht="40.5">
      <c r="A17" s="2847"/>
      <c r="B17" s="2848" t="s">
        <v>717</v>
      </c>
      <c r="C17" s="2849" t="str">
        <f>C5</f>
        <v>估价对象位于XX商圈，周边办公楼项目较多，入驻率高，办公集聚程度较好</v>
      </c>
      <c r="D17" s="2825"/>
      <c r="E17" s="2850"/>
      <c r="F17" s="2851" t="s">
        <v>727</v>
      </c>
      <c r="G17" s="2853"/>
    </row>
    <row r="18" spans="1:7" ht="40.5">
      <c r="A18" s="2847"/>
      <c r="B18" s="2851" t="s">
        <v>715</v>
      </c>
      <c r="C18" s="2852" t="str">
        <f>C6</f>
        <v>估价对象周边道路状况、公共交通通达情况、停车便捷程度，综合评价交通便捷度较好</v>
      </c>
      <c r="D18" s="2825"/>
      <c r="E18" s="2850"/>
      <c r="F18" s="2851" t="s">
        <v>721</v>
      </c>
      <c r="G18" s="2852" t="str">
        <f>G7</f>
        <v>该园区内是否有污染型企业，绿化情况，卫生条件，整体环境状况判断</v>
      </c>
    </row>
    <row r="19" spans="1:7" ht="27">
      <c r="A19" s="2847"/>
      <c r="B19" s="2851" t="s">
        <v>727</v>
      </c>
      <c r="C19" s="2853"/>
      <c r="D19" s="2816"/>
      <c r="E19" s="2850"/>
      <c r="F19" s="2820" t="s">
        <v>229</v>
      </c>
      <c r="G19" s="2852" t="str">
        <f>G5</f>
        <v>估价对象所在区域公共配套设施齐备情况</v>
      </c>
    </row>
    <row r="20" spans="1:7" ht="27">
      <c r="A20" s="2847"/>
      <c r="B20" s="2851" t="s">
        <v>728</v>
      </c>
      <c r="C20" s="2849" t="str">
        <f>C9</f>
        <v>区域自然环境：；人文环境；综合评价环境状况一般</v>
      </c>
      <c r="D20" s="2825"/>
      <c r="E20" s="2850"/>
      <c r="F20" s="2820" t="s">
        <v>230</v>
      </c>
      <c r="G20" s="2852" t="str">
        <f>G6</f>
        <v>估价对象所在区域基础设施水平</v>
      </c>
    </row>
    <row r="21" spans="1:7" ht="27">
      <c r="A21" s="2847"/>
      <c r="B21" s="2820" t="s">
        <v>229</v>
      </c>
      <c r="C21" s="2852" t="str">
        <f>C7</f>
        <v>估价对象所在区域公共配套设施齐备情况</v>
      </c>
      <c r="D21" s="2816"/>
      <c r="E21" s="2850"/>
      <c r="F21" s="2851" t="s">
        <v>729</v>
      </c>
      <c r="G21" s="2854"/>
    </row>
    <row r="22" spans="1:7" ht="14.25">
      <c r="A22" s="2847"/>
      <c r="B22" s="2820" t="s">
        <v>230</v>
      </c>
      <c r="C22" s="2852" t="str">
        <f>C8</f>
        <v>估价对象所在区域基础设施水平</v>
      </c>
      <c r="D22" s="2816"/>
      <c r="E22" s="2850"/>
      <c r="F22" s="2851" t="s">
        <v>725</v>
      </c>
      <c r="G22" s="2853"/>
    </row>
    <row r="23" spans="1:7" ht="14.25">
      <c r="A23" s="2847"/>
      <c r="B23" s="2851" t="s">
        <v>729</v>
      </c>
      <c r="C23" s="2854"/>
      <c r="E23" s="2855"/>
      <c r="F23" s="2856" t="s">
        <v>215</v>
      </c>
      <c r="G23" s="2857"/>
    </row>
    <row r="24" spans="1:7">
      <c r="A24" s="2858"/>
      <c r="B24" s="2856" t="s">
        <v>725</v>
      </c>
      <c r="C24" s="2859">
        <f>C10</f>
        <v>0</v>
      </c>
      <c r="E24" s="2860"/>
      <c r="F24" s="2860"/>
      <c r="G24" s="2861"/>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88" customWidth="1"/>
    <col min="2" max="16384" width="14.625" style="2788"/>
  </cols>
  <sheetData>
    <row r="1" spans="1:10" ht="16.5">
      <c r="A1" s="2789" t="s">
        <v>730</v>
      </c>
      <c r="B1" s="2789">
        <f>SUM(B14:B23)</f>
        <v>0</v>
      </c>
      <c r="C1" s="2790"/>
      <c r="D1" s="2790"/>
      <c r="E1" s="2790"/>
      <c r="F1" s="2790"/>
      <c r="G1" s="2791"/>
      <c r="H1" s="2791"/>
      <c r="I1" s="2791"/>
      <c r="J1" s="2791"/>
    </row>
    <row r="2" spans="1:10" ht="16.5">
      <c r="A2" s="2789" t="s">
        <v>731</v>
      </c>
      <c r="B2" s="2789">
        <f>SUM(C14:C23)</f>
        <v>0</v>
      </c>
      <c r="C2" s="2790"/>
      <c r="D2" s="2790"/>
      <c r="E2" s="2790"/>
      <c r="F2" s="2790"/>
      <c r="G2" s="2791"/>
      <c r="H2" s="2791"/>
      <c r="I2" s="2791"/>
      <c r="J2" s="2791"/>
    </row>
    <row r="3" spans="1:10" ht="16.5">
      <c r="A3" s="2789" t="s">
        <v>732</v>
      </c>
      <c r="B3" s="2792">
        <f>项目基本情况!D3</f>
        <v>45257</v>
      </c>
      <c r="C3" s="2790"/>
      <c r="D3" s="2790"/>
      <c r="E3" s="2790"/>
      <c r="F3" s="2790"/>
      <c r="G3" s="2791"/>
      <c r="H3" s="2791"/>
      <c r="I3" s="2791"/>
      <c r="J3" s="2791"/>
    </row>
    <row r="4" spans="1:10" ht="33">
      <c r="A4" s="2789" t="s">
        <v>423</v>
      </c>
      <c r="B4" s="2789" t="s">
        <v>733</v>
      </c>
      <c r="C4" s="2789" t="s">
        <v>734</v>
      </c>
      <c r="D4" s="2789" t="s">
        <v>735</v>
      </c>
      <c r="E4" s="2790"/>
      <c r="F4" s="2790"/>
      <c r="G4" s="2791"/>
      <c r="H4" s="2791"/>
      <c r="I4" s="2791"/>
      <c r="J4" s="2791"/>
    </row>
    <row r="5" spans="1:10" ht="16.5">
      <c r="A5" s="2789" t="s">
        <v>736</v>
      </c>
      <c r="B5" s="2789">
        <f>SUM(D14:D23)</f>
        <v>0</v>
      </c>
      <c r="C5" s="2789" t="e">
        <f>ROUND(B5*10000/$B$1,0)</f>
        <v>#DIV/0!</v>
      </c>
      <c r="D5" s="2789" t="e">
        <f>ROUND(B5*10000/$B$2,0)</f>
        <v>#DIV/0!</v>
      </c>
      <c r="E5" s="2790"/>
      <c r="F5" s="2790"/>
      <c r="G5" s="2791"/>
      <c r="H5" s="2791"/>
      <c r="I5" s="2791"/>
      <c r="J5" s="2791"/>
    </row>
    <row r="6" spans="1:10" ht="16.5">
      <c r="A6" s="2789" t="s">
        <v>737</v>
      </c>
      <c r="B6" s="2789">
        <f>SUM(G14:G23)</f>
        <v>0</v>
      </c>
      <c r="C6" s="2789" t="e">
        <f>ROUND(B6*10000/$B$1,0)</f>
        <v>#DIV/0!</v>
      </c>
      <c r="D6" s="2789" t="e">
        <f>ROUND(B6*10000/$B$2,0)</f>
        <v>#DIV/0!</v>
      </c>
      <c r="E6" s="2790"/>
      <c r="F6" s="2790"/>
      <c r="G6" s="2791"/>
      <c r="H6" s="2791"/>
      <c r="I6" s="2791"/>
      <c r="J6" s="2791"/>
    </row>
    <row r="7" spans="1:10" ht="16.5">
      <c r="A7" s="2789" t="s">
        <v>738</v>
      </c>
      <c r="B7" s="2789">
        <f>SUM(H14:H23)</f>
        <v>0</v>
      </c>
      <c r="C7" s="2789" t="e">
        <f>ROUND(B7*10000/$B$1,0)</f>
        <v>#DIV/0!</v>
      </c>
      <c r="D7" s="2789" t="e">
        <f>ROUND(B7*10000/$B$2,0)</f>
        <v>#DIV/0!</v>
      </c>
      <c r="E7" s="2790"/>
      <c r="F7" s="2790"/>
      <c r="G7" s="2791"/>
      <c r="H7" s="2791"/>
      <c r="I7" s="2791"/>
      <c r="J7" s="2791"/>
    </row>
    <row r="8" spans="1:10" ht="16.5">
      <c r="A8" s="2789" t="s">
        <v>350</v>
      </c>
      <c r="B8" s="2789">
        <f>SUM(I14:I23)</f>
        <v>0</v>
      </c>
      <c r="C8" s="2789" t="e">
        <f>ROUND(B8*10000/$B$1,0)</f>
        <v>#DIV/0!</v>
      </c>
      <c r="D8" s="2789" t="e">
        <f>ROUND(B8*10000/$B$2,0)</f>
        <v>#DIV/0!</v>
      </c>
      <c r="E8" s="2790"/>
      <c r="F8" s="2790"/>
      <c r="G8" s="2791"/>
      <c r="H8" s="2791"/>
      <c r="I8" s="2791"/>
      <c r="J8" s="2791"/>
    </row>
    <row r="9" spans="1:10" ht="16.5">
      <c r="A9" s="2789" t="s">
        <v>739</v>
      </c>
      <c r="B9" s="2793"/>
      <c r="C9" s="2790"/>
      <c r="D9" s="2790"/>
      <c r="E9" s="2790"/>
      <c r="F9" s="2790"/>
      <c r="G9" s="2791"/>
      <c r="H9" s="2791"/>
      <c r="I9" s="2791"/>
      <c r="J9" s="2791"/>
    </row>
    <row r="10" spans="1:10" ht="16.5">
      <c r="A10" s="2789" t="s">
        <v>560</v>
      </c>
      <c r="B10" s="2793"/>
      <c r="C10" s="2790"/>
      <c r="D10" s="2790"/>
      <c r="E10" s="2790"/>
      <c r="F10" s="2790"/>
      <c r="G10" s="2791"/>
      <c r="H10" s="2791"/>
      <c r="I10" s="2791"/>
      <c r="J10" s="2791"/>
    </row>
    <row r="11" spans="1:10" ht="16.5">
      <c r="A11" s="2789" t="s">
        <v>740</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741</v>
      </c>
      <c r="B13" s="2795" t="s">
        <v>730</v>
      </c>
      <c r="C13" s="2795" t="s">
        <v>731</v>
      </c>
      <c r="D13" s="2795" t="s">
        <v>742</v>
      </c>
      <c r="E13" s="2789" t="s">
        <v>734</v>
      </c>
      <c r="F13" s="2789" t="s">
        <v>735</v>
      </c>
      <c r="G13" s="2795" t="s">
        <v>743</v>
      </c>
      <c r="H13" s="2795" t="s">
        <v>744</v>
      </c>
      <c r="I13" s="2795" t="s">
        <v>745</v>
      </c>
      <c r="J13" s="2791"/>
    </row>
    <row r="14" spans="1:10" ht="16.5">
      <c r="A14" s="2796" t="s">
        <v>746</v>
      </c>
      <c r="B14" s="2797"/>
      <c r="C14" s="2797"/>
      <c r="D14" s="2797"/>
      <c r="E14" s="2797" t="e">
        <f>ROUND(D14*10000/B14,0)</f>
        <v>#DIV/0!</v>
      </c>
      <c r="F14" s="2797" t="e">
        <f>ROUND(D14*10000/C14,0)</f>
        <v>#DIV/0!</v>
      </c>
      <c r="G14" s="2797"/>
      <c r="H14" s="2797"/>
      <c r="I14" s="2797"/>
      <c r="J14" s="2791"/>
    </row>
    <row r="15" spans="1:10" ht="16.5">
      <c r="A15" s="2796" t="s">
        <v>747</v>
      </c>
      <c r="B15" s="2798"/>
      <c r="C15" s="2798"/>
      <c r="D15" s="2798"/>
      <c r="E15" s="2797" t="e">
        <f t="shared" ref="E15:E23" si="0">ROUND(D15*10000/B15,0)</f>
        <v>#DIV/0!</v>
      </c>
      <c r="F15" s="2797" t="e">
        <f t="shared" ref="F15:F23" si="1">ROUND(D15*10000/C15,0)</f>
        <v>#DIV/0!</v>
      </c>
      <c r="G15" s="2799"/>
      <c r="H15" s="2799"/>
      <c r="I15" s="2798"/>
      <c r="J15" s="2791"/>
    </row>
    <row r="16" spans="1:10" ht="16.5">
      <c r="A16" s="2796" t="s">
        <v>748</v>
      </c>
      <c r="B16" s="2798"/>
      <c r="C16" s="2798"/>
      <c r="D16" s="2798"/>
      <c r="E16" s="2797" t="e">
        <f t="shared" si="0"/>
        <v>#DIV/0!</v>
      </c>
      <c r="F16" s="2797" t="e">
        <f t="shared" si="1"/>
        <v>#DIV/0!</v>
      </c>
      <c r="G16" s="2799"/>
      <c r="H16" s="2799"/>
      <c r="I16" s="2798"/>
      <c r="J16" s="2791"/>
    </row>
    <row r="17" spans="1:10" ht="16.5">
      <c r="A17" s="2796" t="s">
        <v>749</v>
      </c>
      <c r="B17" s="2798"/>
      <c r="C17" s="2798"/>
      <c r="D17" s="2798"/>
      <c r="E17" s="2797" t="e">
        <f t="shared" si="0"/>
        <v>#DIV/0!</v>
      </c>
      <c r="F17" s="2797" t="e">
        <f t="shared" si="1"/>
        <v>#DIV/0!</v>
      </c>
      <c r="G17" s="2799"/>
      <c r="H17" s="2799"/>
      <c r="I17" s="2798"/>
      <c r="J17" s="2791"/>
    </row>
    <row r="18" spans="1:10" ht="16.5">
      <c r="A18" s="2796" t="s">
        <v>750</v>
      </c>
      <c r="B18" s="2798"/>
      <c r="C18" s="2798"/>
      <c r="D18" s="2798"/>
      <c r="E18" s="2797" t="e">
        <f t="shared" si="0"/>
        <v>#DIV/0!</v>
      </c>
      <c r="F18" s="2797" t="e">
        <f t="shared" si="1"/>
        <v>#DIV/0!</v>
      </c>
      <c r="G18" s="2798"/>
      <c r="H18" s="2798"/>
      <c r="I18" s="2798"/>
      <c r="J18" s="2791"/>
    </row>
    <row r="19" spans="1:10" ht="16.5">
      <c r="A19" s="2796" t="s">
        <v>751</v>
      </c>
      <c r="B19" s="2798"/>
      <c r="C19" s="2798"/>
      <c r="D19" s="2798"/>
      <c r="E19" s="2797" t="e">
        <f t="shared" si="0"/>
        <v>#DIV/0!</v>
      </c>
      <c r="F19" s="2797" t="e">
        <f t="shared" si="1"/>
        <v>#DIV/0!</v>
      </c>
      <c r="G19" s="2798"/>
      <c r="H19" s="2798"/>
      <c r="I19" s="2798"/>
      <c r="J19" s="2791"/>
    </row>
    <row r="20" spans="1:10" ht="16.5">
      <c r="A20" s="2796" t="s">
        <v>752</v>
      </c>
      <c r="B20" s="2798"/>
      <c r="C20" s="2798"/>
      <c r="D20" s="2798"/>
      <c r="E20" s="2797" t="e">
        <f t="shared" si="0"/>
        <v>#DIV/0!</v>
      </c>
      <c r="F20" s="2797" t="e">
        <f t="shared" si="1"/>
        <v>#DIV/0!</v>
      </c>
      <c r="G20" s="2798"/>
      <c r="H20" s="2798"/>
      <c r="I20" s="2798"/>
      <c r="J20" s="2791"/>
    </row>
    <row r="21" spans="1:10" ht="16.5">
      <c r="A21" s="2796" t="s">
        <v>753</v>
      </c>
      <c r="B21" s="2798"/>
      <c r="C21" s="2798"/>
      <c r="D21" s="2798"/>
      <c r="E21" s="2797" t="e">
        <f t="shared" si="0"/>
        <v>#DIV/0!</v>
      </c>
      <c r="F21" s="2797" t="e">
        <f t="shared" si="1"/>
        <v>#DIV/0!</v>
      </c>
      <c r="G21" s="2798"/>
      <c r="H21" s="2798"/>
      <c r="I21" s="2798"/>
      <c r="J21" s="2791"/>
    </row>
    <row r="22" spans="1:10" ht="16.5">
      <c r="A22" s="2796" t="s">
        <v>754</v>
      </c>
      <c r="B22" s="2798"/>
      <c r="C22" s="2798"/>
      <c r="D22" s="2798"/>
      <c r="E22" s="2797" t="e">
        <f t="shared" si="0"/>
        <v>#DIV/0!</v>
      </c>
      <c r="F22" s="2797" t="e">
        <f t="shared" si="1"/>
        <v>#DIV/0!</v>
      </c>
      <c r="G22" s="2798"/>
      <c r="H22" s="2798"/>
      <c r="I22" s="2798"/>
      <c r="J22" s="2791"/>
    </row>
    <row r="23" spans="1:10" ht="16.5">
      <c r="A23" s="2796" t="s">
        <v>755</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Q22" sqref="Q22"/>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2" t="s">
        <v>756</v>
      </c>
      <c r="B1" s="2453"/>
      <c r="C1" s="2454" t="s">
        <v>757</v>
      </c>
      <c r="D1" s="2455"/>
      <c r="E1" s="2454" t="s">
        <v>758</v>
      </c>
      <c r="F1" s="2456"/>
      <c r="G1" s="121"/>
      <c r="H1" s="121"/>
      <c r="I1" s="121"/>
      <c r="J1" s="188"/>
      <c r="K1" s="188"/>
      <c r="L1" s="188"/>
      <c r="M1" s="188"/>
      <c r="N1" s="188"/>
      <c r="O1" s="188"/>
      <c r="P1" s="188"/>
      <c r="Q1" s="188"/>
      <c r="R1" s="188"/>
      <c r="S1" s="188"/>
      <c r="T1" s="188"/>
      <c r="U1" s="188"/>
      <c r="V1" s="188"/>
    </row>
    <row r="2" spans="1:22" ht="21.75" customHeight="1">
      <c r="A2" s="3739" t="str">
        <f>项目基本情况!K2</f>
        <v>北京市出让国有建设用地使用权</v>
      </c>
      <c r="B2" s="3740"/>
      <c r="C2" s="3741"/>
      <c r="D2" s="3741"/>
      <c r="E2" s="3741"/>
      <c r="F2" s="3741"/>
      <c r="G2" s="3740"/>
      <c r="H2" s="3740"/>
      <c r="I2" s="3742"/>
      <c r="J2" s="2568"/>
      <c r="K2" s="188"/>
      <c r="L2" s="188"/>
      <c r="M2" s="188"/>
      <c r="N2" s="188"/>
      <c r="O2" s="188"/>
      <c r="P2" s="188"/>
      <c r="Q2" s="188"/>
      <c r="R2" s="188"/>
      <c r="S2" s="188"/>
      <c r="T2" s="188"/>
      <c r="U2" s="188"/>
      <c r="V2" s="188"/>
    </row>
    <row r="3" spans="1:22" ht="14.25">
      <c r="A3" s="3743" t="s">
        <v>759</v>
      </c>
      <c r="B3" s="3744"/>
      <c r="C3" s="3744"/>
      <c r="D3" s="3744"/>
      <c r="E3" s="3744"/>
      <c r="F3" s="3744"/>
      <c r="G3" s="3744"/>
      <c r="H3" s="3744"/>
      <c r="I3" s="3744"/>
      <c r="J3" s="2568"/>
      <c r="K3" s="188"/>
      <c r="L3" s="188"/>
      <c r="M3" s="188"/>
      <c r="N3" s="188"/>
      <c r="O3" s="188"/>
      <c r="P3" s="188"/>
      <c r="Q3" s="188"/>
      <c r="R3" s="188"/>
      <c r="S3" s="188"/>
      <c r="T3" s="188"/>
      <c r="U3" s="188"/>
      <c r="V3" s="188"/>
    </row>
    <row r="4" spans="1:22" ht="14.25">
      <c r="A4" s="2457" t="s">
        <v>760</v>
      </c>
      <c r="B4" s="2215" t="s">
        <v>761</v>
      </c>
      <c r="C4" s="2458" t="s">
        <v>762</v>
      </c>
      <c r="D4" s="2458" t="s">
        <v>763</v>
      </c>
      <c r="E4" s="3745" t="s">
        <v>764</v>
      </c>
      <c r="F4" s="3746"/>
      <c r="G4" s="3746"/>
      <c r="H4" s="3746"/>
      <c r="I4" s="3747"/>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01" t="s">
        <v>765</v>
      </c>
      <c r="B5" s="3804">
        <v>25</v>
      </c>
      <c r="C5" s="3805"/>
      <c r="D5" s="3808"/>
      <c r="E5" s="1038" t="s">
        <v>766</v>
      </c>
      <c r="F5" s="2461"/>
      <c r="G5" s="2461"/>
      <c r="H5" s="2461"/>
      <c r="I5" s="2571"/>
      <c r="J5" s="2568"/>
      <c r="K5" s="188"/>
      <c r="L5" s="188"/>
      <c r="M5" s="188"/>
      <c r="N5" s="188"/>
      <c r="O5" s="188"/>
      <c r="P5" s="188"/>
      <c r="Q5" s="188"/>
      <c r="R5" s="188"/>
      <c r="S5" s="188"/>
      <c r="T5" s="188"/>
      <c r="U5" s="188"/>
      <c r="V5" s="188"/>
    </row>
    <row r="6" spans="1:22" ht="14.25">
      <c r="A6" s="3801"/>
      <c r="B6" s="3804"/>
      <c r="C6" s="3806"/>
      <c r="D6" s="3808"/>
      <c r="E6" s="1038" t="s">
        <v>767</v>
      </c>
      <c r="F6" s="2461"/>
      <c r="G6" s="2461"/>
      <c r="H6" s="2461"/>
      <c r="I6" s="2571"/>
      <c r="J6" s="2568"/>
      <c r="K6" s="188"/>
      <c r="L6" s="188"/>
      <c r="M6" s="188"/>
      <c r="N6" s="188"/>
      <c r="O6" s="188"/>
      <c r="P6" s="188"/>
      <c r="Q6" s="188"/>
      <c r="R6" s="188"/>
      <c r="S6" s="188"/>
      <c r="T6" s="188"/>
      <c r="U6" s="188"/>
      <c r="V6" s="188"/>
    </row>
    <row r="7" spans="1:22" ht="14.25">
      <c r="A7" s="3801"/>
      <c r="B7" s="3804"/>
      <c r="C7" s="3807"/>
      <c r="D7" s="3808"/>
      <c r="E7" s="1038" t="s">
        <v>768</v>
      </c>
      <c r="F7" s="2461"/>
      <c r="G7" s="2461"/>
      <c r="H7" s="2461"/>
      <c r="I7" s="2571"/>
      <c r="J7" s="2568"/>
      <c r="K7" s="188"/>
      <c r="L7" s="188"/>
      <c r="M7" s="188"/>
      <c r="N7" s="188"/>
      <c r="O7" s="188"/>
      <c r="P7" s="188"/>
      <c r="Q7" s="188"/>
      <c r="R7" s="188"/>
      <c r="S7" s="188"/>
      <c r="T7" s="188"/>
      <c r="U7" s="188"/>
      <c r="V7" s="188"/>
    </row>
    <row r="8" spans="1:22" ht="14.25">
      <c r="A8" s="3801" t="s">
        <v>769</v>
      </c>
      <c r="B8" s="3804">
        <v>15</v>
      </c>
      <c r="C8" s="3805"/>
      <c r="D8" s="3808"/>
      <c r="E8" s="1038" t="s">
        <v>770</v>
      </c>
      <c r="F8" s="2461"/>
      <c r="G8" s="2461"/>
      <c r="H8" s="2461"/>
      <c r="I8" s="2571"/>
      <c r="J8" s="2568"/>
      <c r="K8" s="188"/>
      <c r="L8" s="188"/>
      <c r="M8" s="188"/>
      <c r="N8" s="188"/>
      <c r="O8" s="188"/>
      <c r="P8" s="188"/>
      <c r="Q8" s="188"/>
      <c r="R8" s="188"/>
      <c r="S8" s="188"/>
      <c r="T8" s="188"/>
      <c r="U8" s="188"/>
      <c r="V8" s="188"/>
    </row>
    <row r="9" spans="1:22" ht="14.25">
      <c r="A9" s="3801"/>
      <c r="B9" s="3804"/>
      <c r="C9" s="3807"/>
      <c r="D9" s="3808"/>
      <c r="E9" s="1038" t="s">
        <v>771</v>
      </c>
      <c r="F9" s="2461"/>
      <c r="G9" s="2461"/>
      <c r="H9" s="2461"/>
      <c r="I9" s="2571"/>
      <c r="J9" s="2568"/>
      <c r="K9" s="188"/>
      <c r="L9" s="188"/>
      <c r="M9" s="188"/>
      <c r="N9" s="188"/>
      <c r="O9" s="188"/>
      <c r="P9" s="188"/>
      <c r="Q9" s="188"/>
      <c r="R9" s="188"/>
      <c r="S9" s="188"/>
      <c r="T9" s="188"/>
      <c r="U9" s="188"/>
      <c r="V9" s="188"/>
    </row>
    <row r="10" spans="1:22" ht="14.25">
      <c r="A10" s="3801" t="s">
        <v>772</v>
      </c>
      <c r="B10" s="3804">
        <v>15</v>
      </c>
      <c r="C10" s="3805"/>
      <c r="D10" s="3808"/>
      <c r="E10" s="1038" t="s">
        <v>773</v>
      </c>
      <c r="F10" s="2461"/>
      <c r="G10" s="2461"/>
      <c r="H10" s="2461"/>
      <c r="I10" s="2571"/>
      <c r="J10" s="2568"/>
      <c r="K10" s="188"/>
      <c r="L10" s="188"/>
      <c r="M10" s="188"/>
      <c r="N10" s="188"/>
      <c r="O10" s="188"/>
      <c r="P10" s="188"/>
      <c r="Q10" s="188"/>
      <c r="R10" s="188"/>
      <c r="S10" s="188"/>
      <c r="T10" s="188"/>
      <c r="U10" s="188"/>
      <c r="V10" s="188"/>
    </row>
    <row r="11" spans="1:22" ht="14.25">
      <c r="A11" s="3801"/>
      <c r="B11" s="3804"/>
      <c r="C11" s="3807"/>
      <c r="D11" s="3808"/>
      <c r="E11" s="1038" t="s">
        <v>774</v>
      </c>
      <c r="F11" s="2461"/>
      <c r="G11" s="2461"/>
      <c r="H11" s="2461"/>
      <c r="I11" s="2571"/>
      <c r="J11" s="2568"/>
      <c r="K11" s="188"/>
      <c r="L11" s="188"/>
      <c r="M11" s="188"/>
      <c r="N11" s="188"/>
      <c r="O11" s="188"/>
      <c r="P11" s="188"/>
      <c r="Q11" s="188"/>
      <c r="R11" s="188"/>
      <c r="S11" s="188"/>
      <c r="T11" s="188"/>
      <c r="U11" s="188"/>
      <c r="V11" s="188"/>
    </row>
    <row r="12" spans="1:22" ht="14.25">
      <c r="A12" s="3801" t="s">
        <v>775</v>
      </c>
      <c r="B12" s="3804">
        <v>15</v>
      </c>
      <c r="C12" s="3805"/>
      <c r="D12" s="3808"/>
      <c r="E12" s="1038" t="s">
        <v>776</v>
      </c>
      <c r="F12" s="2461"/>
      <c r="G12" s="2461"/>
      <c r="H12" s="2461"/>
      <c r="I12" s="2571"/>
      <c r="J12" s="2568"/>
      <c r="K12" s="188"/>
      <c r="L12" s="188"/>
      <c r="M12" s="188"/>
      <c r="N12" s="188"/>
      <c r="O12" s="188"/>
      <c r="P12" s="188"/>
      <c r="Q12" s="188"/>
      <c r="R12" s="188"/>
      <c r="S12" s="188"/>
      <c r="T12" s="188"/>
      <c r="U12" s="188"/>
      <c r="V12" s="188"/>
    </row>
    <row r="13" spans="1:22" ht="14.25">
      <c r="A13" s="3801"/>
      <c r="B13" s="3804"/>
      <c r="C13" s="3807"/>
      <c r="D13" s="3808"/>
      <c r="E13" s="1038" t="s">
        <v>777</v>
      </c>
      <c r="F13" s="2461"/>
      <c r="G13" s="2461"/>
      <c r="H13" s="2461"/>
      <c r="I13" s="2571"/>
      <c r="J13" s="2568"/>
      <c r="K13" s="188"/>
      <c r="L13" s="188"/>
      <c r="M13" s="188"/>
      <c r="N13" s="188"/>
      <c r="O13" s="188"/>
      <c r="P13" s="188"/>
      <c r="Q13" s="188"/>
      <c r="R13" s="188"/>
      <c r="S13" s="188"/>
      <c r="T13" s="188"/>
      <c r="U13" s="188"/>
      <c r="V13" s="188"/>
    </row>
    <row r="14" spans="1:22" ht="14.25">
      <c r="A14" s="3801" t="s">
        <v>778</v>
      </c>
      <c r="B14" s="3804">
        <v>30</v>
      </c>
      <c r="C14" s="3805">
        <v>5</v>
      </c>
      <c r="D14" s="3808">
        <v>5</v>
      </c>
      <c r="E14" s="1038" t="s">
        <v>779</v>
      </c>
      <c r="F14" s="2461"/>
      <c r="G14" s="2461"/>
      <c r="H14" s="2461"/>
      <c r="I14" s="2571"/>
      <c r="J14" s="2568"/>
      <c r="K14" s="188"/>
      <c r="L14" s="188"/>
      <c r="M14" s="188"/>
      <c r="N14" s="188"/>
      <c r="O14" s="188"/>
      <c r="P14" s="188"/>
      <c r="Q14" s="188"/>
      <c r="R14" s="188"/>
      <c r="S14" s="188"/>
      <c r="T14" s="188"/>
      <c r="U14" s="188"/>
      <c r="V14" s="188"/>
    </row>
    <row r="15" spans="1:22" ht="14.25">
      <c r="A15" s="3801"/>
      <c r="B15" s="3804"/>
      <c r="C15" s="3806"/>
      <c r="D15" s="3808"/>
      <c r="E15" s="1038" t="s">
        <v>780</v>
      </c>
      <c r="F15" s="2461"/>
      <c r="G15" s="2461"/>
      <c r="H15" s="2461"/>
      <c r="I15" s="2571"/>
      <c r="J15" s="2568"/>
      <c r="K15" s="188"/>
      <c r="L15" s="188"/>
      <c r="M15" s="188"/>
      <c r="N15" s="188"/>
      <c r="O15" s="188"/>
      <c r="P15" s="188"/>
      <c r="Q15" s="188"/>
      <c r="R15" s="188"/>
      <c r="S15" s="188"/>
      <c r="T15" s="188"/>
      <c r="U15" s="188"/>
      <c r="V15" s="188"/>
    </row>
    <row r="16" spans="1:22" ht="14.25">
      <c r="A16" s="3801"/>
      <c r="B16" s="3804"/>
      <c r="C16" s="3807"/>
      <c r="D16" s="3808"/>
      <c r="E16" s="1038" t="s">
        <v>781</v>
      </c>
      <c r="F16" s="2461"/>
      <c r="G16" s="2461"/>
      <c r="H16" s="2461"/>
      <c r="I16" s="2571"/>
      <c r="J16" s="2568"/>
      <c r="K16" s="188"/>
      <c r="L16" s="188"/>
      <c r="M16" s="188"/>
      <c r="N16" s="188"/>
      <c r="O16" s="188"/>
      <c r="P16" s="188"/>
      <c r="Q16" s="188"/>
      <c r="R16" s="188"/>
      <c r="S16" s="188"/>
      <c r="T16" s="188"/>
      <c r="U16" s="188"/>
      <c r="V16" s="188"/>
    </row>
    <row r="17" spans="1:26" ht="15">
      <c r="A17" s="2462" t="s">
        <v>782</v>
      </c>
      <c r="B17" s="2463"/>
      <c r="C17" s="2464">
        <f>SUM(C5:C16)</f>
        <v>5</v>
      </c>
      <c r="D17" s="2464">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5" t="s">
        <v>783</v>
      </c>
      <c r="B18" s="2466"/>
      <c r="C18" s="2467">
        <f>ROUND(C17/SUM(C17:D17),2)</f>
        <v>0.5</v>
      </c>
      <c r="D18" s="2467">
        <f>1-C18</f>
        <v>0.5</v>
      </c>
      <c r="E18" s="3748" t="s">
        <v>784</v>
      </c>
      <c r="F18" s="3749"/>
      <c r="G18" s="3749"/>
      <c r="H18" s="3749"/>
      <c r="I18" s="3749"/>
      <c r="J18" s="188"/>
      <c r="K18" s="188"/>
      <c r="L18" s="188"/>
      <c r="M18" s="188"/>
      <c r="N18" s="188"/>
      <c r="O18" s="188"/>
      <c r="P18" s="188"/>
      <c r="Q18" s="188"/>
      <c r="R18" s="188"/>
      <c r="S18" s="188"/>
      <c r="T18" s="188"/>
      <c r="U18" s="188"/>
      <c r="V18" s="188"/>
    </row>
    <row r="19" spans="1:26" ht="15">
      <c r="A19" s="2468" t="s">
        <v>785</v>
      </c>
      <c r="B19" s="2469" t="s">
        <v>786</v>
      </c>
      <c r="C19" s="2470">
        <f ca="1">SUMIF(INDIRECT("'"&amp;C4&amp;"'"&amp;"!A:A"),结果表!B19,INDIRECT("'"&amp;C4&amp;"'"&amp;"!B:B"))</f>
        <v>3117</v>
      </c>
      <c r="D19" s="2471">
        <f ca="1">SUMIF(INDIRECT("'"&amp;D4&amp;"'"&amp;"!A:A"),结果表!B19,INDIRECT("'"&amp;D4&amp;"'"&amp;"!B:B"))</f>
        <v>3462</v>
      </c>
      <c r="E19" s="2468" t="s">
        <v>787</v>
      </c>
      <c r="F19" s="2469" t="s">
        <v>786</v>
      </c>
      <c r="G19" s="2472">
        <f ca="1">ROUND(C19*$C$18+D19*$D$18,0)</f>
        <v>3290</v>
      </c>
      <c r="H19" s="2473" t="s">
        <v>788</v>
      </c>
      <c r="I19" s="121"/>
      <c r="J19" s="188"/>
      <c r="K19" s="188">
        <v>3258.01</v>
      </c>
      <c r="L19" s="188"/>
      <c r="M19" s="188"/>
      <c r="N19" s="188"/>
      <c r="O19" s="188"/>
      <c r="P19" s="188"/>
      <c r="Q19" s="188"/>
      <c r="R19" s="188"/>
      <c r="S19" s="188"/>
      <c r="T19" s="188"/>
      <c r="U19" s="188"/>
      <c r="V19" s="188"/>
    </row>
    <row r="20" spans="1:26" ht="15">
      <c r="A20" s="2474"/>
      <c r="B20" s="2475" t="s">
        <v>259</v>
      </c>
      <c r="C20" s="2476">
        <f ca="1">SUMIF(INDIRECT("'"&amp;C4&amp;"'"&amp;"!A:A"),结果表!B20,INDIRECT("'"&amp;C4&amp;"'"&amp;"!B:B"))</f>
        <v>670</v>
      </c>
      <c r="D20" s="2477">
        <f ca="1">SUMIF(INDIRECT("'"&amp;D4&amp;"'"&amp;"!A:A"),结果表!B20,INDIRECT("'"&amp;D4&amp;"'"&amp;"!B:B"))</f>
        <v>745</v>
      </c>
      <c r="E20" s="2474"/>
      <c r="F20" s="2475" t="s">
        <v>259</v>
      </c>
      <c r="G20" s="2478">
        <f ca="1">ROUND(C20*$C$18+D20*$D$18,0)</f>
        <v>708</v>
      </c>
      <c r="H20" s="2441" t="s">
        <v>789</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1170</v>
      </c>
      <c r="D21" s="2481">
        <f ca="1">SUMIF(INDIRECT("'"&amp;D4&amp;"'"&amp;"!A:A"),结果表!B21,INDIRECT("'"&amp;D4&amp;"'"&amp;"!B:B"))</f>
        <v>1299</v>
      </c>
      <c r="E21" s="2474"/>
      <c r="F21" s="2479" t="s">
        <v>247</v>
      </c>
      <c r="G21" s="2482">
        <f ca="1">ROUND(C21*$C$18+D21*$D$18,0)</f>
        <v>1235</v>
      </c>
      <c r="H21" s="2483" t="s">
        <v>789</v>
      </c>
      <c r="I21" s="121"/>
      <c r="J21" s="188"/>
      <c r="K21" s="188"/>
      <c r="L21" s="188"/>
      <c r="M21" s="188"/>
      <c r="N21" s="188"/>
      <c r="O21" s="188"/>
      <c r="P21" s="188"/>
      <c r="Q21" s="188"/>
      <c r="R21" s="188"/>
      <c r="S21" s="188"/>
      <c r="T21" s="188"/>
      <c r="U21" s="188"/>
      <c r="V21" s="188"/>
    </row>
    <row r="22" spans="1:26" ht="15">
      <c r="A22" s="2484" t="s">
        <v>790</v>
      </c>
      <c r="B22" s="2485"/>
      <c r="C22" s="2486"/>
      <c r="D22" s="2487">
        <f ca="1">IF(C19&lt;D19,D19/C19-1,C19/D19-1)</f>
        <v>0.11068334937439839</v>
      </c>
      <c r="E22" s="2433"/>
      <c r="F22" s="2488"/>
      <c r="G22" s="2489">
        <f ca="1">ROUND(G19/('数据-汇总表'!D3/666.67),0)</f>
        <v>82</v>
      </c>
      <c r="H22" s="2490" t="s">
        <v>791</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02" t="s">
        <v>792</v>
      </c>
      <c r="B24" s="2469" t="s">
        <v>786</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8">
      <c r="A25" s="3803"/>
      <c r="B25" s="2493" t="s">
        <v>259</v>
      </c>
      <c r="C25" s="2494">
        <f>IF(B30=0,0,C30)</f>
        <v>0</v>
      </c>
      <c r="D25" s="2495"/>
      <c r="E25" s="121"/>
      <c r="F25" s="121"/>
      <c r="G25" s="121"/>
      <c r="H25" s="121"/>
      <c r="I25" s="121"/>
      <c r="J25" s="188"/>
      <c r="K25" s="2572" t="str">
        <f ca="1">项目基本情况!A17&amp;"国有建设用地使用权价格："&amp;O38&amp;"万元"</f>
        <v>出让国有建设用地使用权价格：3290万元</v>
      </c>
      <c r="L25" s="2573"/>
      <c r="M25" s="2573"/>
      <c r="N25" s="2573"/>
      <c r="O25" s="2574"/>
      <c r="P25" s="188"/>
      <c r="Q25" s="188"/>
      <c r="R25" s="188"/>
      <c r="S25" s="188"/>
      <c r="T25" s="188"/>
      <c r="U25" s="188"/>
      <c r="V25" s="188"/>
    </row>
    <row r="26" spans="1:26" s="2450" customFormat="1" ht="18">
      <c r="A26" s="2496" t="s">
        <v>793</v>
      </c>
      <c r="B26" s="2497" t="s">
        <v>794</v>
      </c>
      <c r="C26" s="2497" t="s">
        <v>795</v>
      </c>
      <c r="D26" s="2498" t="s">
        <v>796</v>
      </c>
      <c r="E26" s="121"/>
      <c r="F26" s="121"/>
      <c r="G26" s="121"/>
      <c r="H26" s="121"/>
      <c r="I26" s="121"/>
      <c r="J26" s="188"/>
      <c r="K26" s="2575" t="str">
        <f ca="1">"大写金额：人民币"&amp;NUMBERSTRING(INT(O38*10000),2)&amp;"元整"</f>
        <v>大写金额：人民币叁仟贰佰玖拾万元整</v>
      </c>
      <c r="L26" s="2485"/>
      <c r="M26" s="2485"/>
      <c r="N26" s="2485"/>
      <c r="O26" s="2483"/>
      <c r="P26" s="188"/>
      <c r="Q26" s="188"/>
      <c r="R26" s="188"/>
      <c r="S26" s="188"/>
      <c r="T26" s="188"/>
      <c r="U26" s="188"/>
      <c r="V26" s="188"/>
      <c r="W26" s="2334"/>
      <c r="X26" s="2334"/>
      <c r="Y26" s="2334"/>
      <c r="Z26" s="2334"/>
    </row>
    <row r="27" spans="1:26" ht="18">
      <c r="A27" s="2496"/>
      <c r="B27" s="2497"/>
      <c r="C27" s="2497"/>
      <c r="D27" s="2498"/>
      <c r="E27" s="121"/>
      <c r="F27" s="121"/>
      <c r="G27" s="121"/>
      <c r="H27" s="121"/>
      <c r="I27" s="121"/>
      <c r="J27" s="188"/>
      <c r="K27" s="2575" t="str">
        <f ca="1">"单位面积地价："&amp;M38&amp;"元/平方米"</f>
        <v>单位面积地价：1235元/平方米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5" t="str">
        <f ca="1">"楼面地价："&amp;N38&amp;"元/平方米"</f>
        <v>楼面地价：708元/平方米</v>
      </c>
      <c r="L28" s="2485"/>
      <c r="M28" s="2485"/>
      <c r="N28" s="2485"/>
      <c r="O28" s="2483"/>
      <c r="P28" s="188"/>
      <c r="V28" s="188"/>
    </row>
    <row r="29" spans="1:26" ht="18">
      <c r="A29" s="2496"/>
      <c r="B29" s="2497"/>
      <c r="C29" s="2497"/>
      <c r="D29" s="2498"/>
      <c r="E29" s="121"/>
      <c r="F29" s="121"/>
      <c r="G29" s="121"/>
      <c r="H29" s="121"/>
      <c r="I29" s="121"/>
      <c r="J29" s="188"/>
      <c r="K29" s="2575" t="str">
        <f ca="1">IF(OR(项目基本情况!E8="抵押价格",项目基本情况!E8="已注销及未注销"),"抵押价格："&amp;O39&amp;"万元","——")</f>
        <v>抵押价格：3290万元</v>
      </c>
      <c r="L29" s="2485"/>
      <c r="M29" s="2485"/>
      <c r="N29" s="2485"/>
      <c r="O29" s="2483"/>
      <c r="P29" s="188"/>
      <c r="V29" s="188"/>
    </row>
    <row r="30" spans="1:26" ht="18">
      <c r="A30" s="2499" t="s">
        <v>797</v>
      </c>
      <c r="B30" s="2500"/>
      <c r="C30" s="2500"/>
      <c r="D30" s="2501"/>
      <c r="E30" s="2502" t="s">
        <v>798</v>
      </c>
      <c r="F30" s="121"/>
      <c r="G30" s="121"/>
      <c r="H30" s="121"/>
      <c r="I30" s="121"/>
      <c r="J30" s="188"/>
      <c r="K30" s="2575" t="str">
        <f ca="1">IF(K29="——","——","大写金额：人民币"&amp;NUMBERSTRING(INT(O39*10000),2)&amp;"元整")</f>
        <v>大写金额：人民币叁仟贰佰玖拾万元整</v>
      </c>
      <c r="L30" s="2485"/>
      <c r="M30" s="2485"/>
      <c r="N30" s="2485"/>
      <c r="O30" s="2483"/>
      <c r="P30" s="188"/>
      <c r="V30" s="188"/>
    </row>
    <row r="31" spans="1:26" ht="24" customHeight="1">
      <c r="A31" s="3750" t="s">
        <v>799</v>
      </c>
      <c r="B31" s="3750"/>
      <c r="C31" s="3750"/>
      <c r="D31" s="3750"/>
      <c r="E31" s="3750"/>
      <c r="F31" s="3750"/>
      <c r="G31" s="3750"/>
      <c r="H31" s="3750"/>
      <c r="I31" s="3750"/>
      <c r="J31" s="188"/>
      <c r="K31" s="2576" t="str">
        <f>IF(项目基本情况!E8="抵押价格","——","抵押担保权已注销时的抵押价格："&amp;O40&amp;"万元")</f>
        <v>——</v>
      </c>
      <c r="L31" s="2577"/>
      <c r="M31" s="2577"/>
      <c r="N31" s="2577"/>
      <c r="O31" s="2578"/>
      <c r="P31" s="188"/>
      <c r="V31" s="188"/>
    </row>
    <row r="32" spans="1:26" ht="18">
      <c r="A32" s="2474" t="s">
        <v>800</v>
      </c>
      <c r="B32" s="2503" t="s">
        <v>801</v>
      </c>
      <c r="C32" s="2465">
        <f ca="1">G19-C24</f>
        <v>3290</v>
      </c>
      <c r="D32" s="2504" t="s">
        <v>802</v>
      </c>
      <c r="E32" s="121"/>
      <c r="F32" s="121"/>
      <c r="G32" s="121"/>
      <c r="H32" s="121"/>
      <c r="I32" s="121"/>
      <c r="J32" s="188"/>
      <c r="K32" s="2579" t="str">
        <f>IF(K31="——","——","大写金额：人民币"&amp;NUMBERSTRING(INT(O40*10000),2)&amp;"元整")</f>
        <v>——</v>
      </c>
      <c r="L32" s="2580"/>
      <c r="M32" s="2580"/>
      <c r="N32" s="2580"/>
      <c r="O32" s="2581"/>
      <c r="P32" s="188"/>
      <c r="V32" s="188"/>
    </row>
    <row r="33" spans="1:26" ht="18">
      <c r="A33" s="2505" t="s">
        <v>803</v>
      </c>
      <c r="B33" s="2506" t="s">
        <v>804</v>
      </c>
      <c r="C33" s="2462">
        <f ca="1">ROUND(C32*10000/'数据-汇总表'!E3,0)</f>
        <v>708</v>
      </c>
      <c r="D33" s="2507" t="s">
        <v>805</v>
      </c>
      <c r="E33" s="3802" t="s">
        <v>806</v>
      </c>
      <c r="F33" s="2508" t="s">
        <v>807</v>
      </c>
      <c r="G33" s="2509"/>
      <c r="H33" s="2510"/>
      <c r="I33" s="2582"/>
      <c r="J33" s="188"/>
      <c r="K33" s="2575" t="str">
        <f>IF(项目基本情况!E9="——","——","抵押净值："&amp;C46&amp;"万元")</f>
        <v>抵押净值：——万元</v>
      </c>
      <c r="L33" s="2485"/>
      <c r="M33" s="2485"/>
      <c r="N33" s="2485"/>
      <c r="O33" s="2483"/>
      <c r="P33" s="188"/>
      <c r="V33" s="188"/>
    </row>
    <row r="34" spans="1:26" s="2450" customFormat="1" ht="18">
      <c r="A34" s="2511"/>
      <c r="B34" s="2512" t="s">
        <v>808</v>
      </c>
      <c r="C34" s="2462">
        <f ca="1">ROUND(C32*10000/'数据-汇总表'!D3,0)</f>
        <v>1235</v>
      </c>
      <c r="D34" s="2513" t="s">
        <v>805</v>
      </c>
      <c r="E34" s="3809"/>
      <c r="F34" s="2514" t="s">
        <v>809</v>
      </c>
      <c r="G34" s="2515"/>
      <c r="H34" s="2466"/>
      <c r="I34" s="121"/>
      <c r="J34" s="188"/>
      <c r="K34" s="2583" t="e">
        <f>IF(K33="——","——","大写金额：人民币"&amp;NUMBERSTRING(INT(O41*10000),2)&amp;"元整")</f>
        <v>#VALUE!</v>
      </c>
      <c r="L34" s="2584"/>
      <c r="M34" s="2584"/>
      <c r="N34" s="2584"/>
      <c r="O34" s="2585"/>
      <c r="P34" s="188"/>
      <c r="Q34" s="2334"/>
      <c r="R34" s="2334"/>
      <c r="S34" s="2334"/>
      <c r="T34" s="2334"/>
      <c r="U34" s="2334"/>
      <c r="V34" s="188"/>
      <c r="W34" s="2334"/>
      <c r="X34" s="2334"/>
      <c r="Y34" s="2334"/>
      <c r="Z34" s="2334"/>
    </row>
    <row r="35" spans="1:26" ht="15">
      <c r="A35" s="2433"/>
      <c r="B35" s="2516"/>
      <c r="C35" s="2517">
        <f ca="1">ROUND(C32/('数据-汇总表'!D3/666.67),0)</f>
        <v>82</v>
      </c>
      <c r="D35" s="2518" t="s">
        <v>810</v>
      </c>
      <c r="E35" s="3810"/>
      <c r="F35" s="2519" t="s">
        <v>811</v>
      </c>
      <c r="G35" s="2520"/>
      <c r="H35" s="2521" t="s">
        <v>812</v>
      </c>
      <c r="I35" s="121"/>
      <c r="J35" s="188"/>
      <c r="K35" s="3814" t="s">
        <v>813</v>
      </c>
      <c r="L35" s="3814" t="s">
        <v>814</v>
      </c>
      <c r="M35" s="2586" t="s">
        <v>815</v>
      </c>
      <c r="N35" s="3814" t="s">
        <v>816</v>
      </c>
      <c r="O35" s="3814" t="s">
        <v>817</v>
      </c>
      <c r="P35" s="188"/>
      <c r="V35" s="188"/>
    </row>
    <row r="36" spans="1:26" ht="16.5" customHeight="1">
      <c r="A36" s="2522" t="s">
        <v>818</v>
      </c>
      <c r="B36" s="2523" t="s">
        <v>794</v>
      </c>
      <c r="C36" s="2524" t="s">
        <v>795</v>
      </c>
      <c r="D36" s="2524" t="s">
        <v>819</v>
      </c>
      <c r="E36" s="2525" t="s">
        <v>796</v>
      </c>
      <c r="F36" s="121"/>
      <c r="G36" s="121"/>
      <c r="H36" s="121"/>
      <c r="I36" s="121"/>
      <c r="J36" s="2587"/>
      <c r="K36" s="3815"/>
      <c r="L36" s="3815"/>
      <c r="M36" s="2588" t="s">
        <v>820</v>
      </c>
      <c r="N36" s="3815"/>
      <c r="O36" s="3815"/>
      <c r="P36" s="188"/>
      <c r="V36" s="188"/>
    </row>
    <row r="37" spans="1:26" ht="16.5" customHeight="1">
      <c r="A37" s="2526" t="s">
        <v>821</v>
      </c>
      <c r="B37" s="2527"/>
      <c r="C37" s="2497"/>
      <c r="D37" s="2497"/>
      <c r="E37" s="2498"/>
      <c r="F37" s="121"/>
      <c r="G37" s="121"/>
      <c r="H37" s="121"/>
      <c r="I37" s="121"/>
      <c r="J37" s="2587"/>
      <c r="K37" s="3816"/>
      <c r="L37" s="3816"/>
      <c r="M37" s="2589"/>
      <c r="N37" s="3816"/>
      <c r="O37" s="3816"/>
      <c r="P37" s="188"/>
      <c r="V37" s="188"/>
    </row>
    <row r="38" spans="1:26" ht="16.5" customHeight="1">
      <c r="A38" s="2526" t="s">
        <v>822</v>
      </c>
      <c r="B38" s="2527"/>
      <c r="C38" s="2497"/>
      <c r="D38" s="2497"/>
      <c r="E38" s="2498"/>
      <c r="F38" s="121"/>
      <c r="G38" s="121"/>
      <c r="H38" s="121"/>
      <c r="I38" s="121"/>
      <c r="J38" s="2587"/>
      <c r="K38" s="2590">
        <f>'数据-汇总表'!D3</f>
        <v>26650.41</v>
      </c>
      <c r="L38" s="2591">
        <f>'数据-汇总表'!E3</f>
        <v>46494.69</v>
      </c>
      <c r="M38" s="2591">
        <f ca="1">C34</f>
        <v>1235</v>
      </c>
      <c r="N38" s="2591">
        <f ca="1">C33</f>
        <v>708</v>
      </c>
      <c r="O38" s="2592">
        <f ca="1">C32</f>
        <v>3290</v>
      </c>
      <c r="P38" s="188"/>
      <c r="V38" s="188"/>
    </row>
    <row r="39" spans="1:26" ht="16.5" customHeight="1">
      <c r="A39" s="2528"/>
      <c r="B39" s="2529"/>
      <c r="C39" s="2500"/>
      <c r="D39" s="2500"/>
      <c r="E39" s="2501"/>
      <c r="F39" s="121"/>
      <c r="G39" s="121"/>
      <c r="H39" s="121"/>
      <c r="I39" s="121"/>
      <c r="J39" s="2587"/>
      <c r="K39" s="3751" t="str">
        <f>MID(A44,3,LEN(A44)-2)</f>
        <v>抵押价格</v>
      </c>
      <c r="L39" s="3752"/>
      <c r="M39" s="3752"/>
      <c r="N39" s="3753"/>
      <c r="O39" s="2593">
        <f ca="1">C44</f>
        <v>3290</v>
      </c>
      <c r="P39" s="188"/>
      <c r="V39" s="188"/>
    </row>
    <row r="40" spans="1:26" ht="18.75">
      <c r="A40" s="2530" t="s">
        <v>823</v>
      </c>
      <c r="B40" s="121"/>
      <c r="C40" s="121"/>
      <c r="D40" s="121"/>
      <c r="E40" s="121"/>
      <c r="F40" s="121"/>
      <c r="G40" s="121"/>
      <c r="H40" s="121"/>
      <c r="I40" s="121"/>
      <c r="J40" s="2587"/>
      <c r="K40" s="3751" t="str">
        <f>MID(A45,3,LEN(A45)-2)</f>
        <v/>
      </c>
      <c r="L40" s="3752"/>
      <c r="M40" s="3752"/>
      <c r="N40" s="3753"/>
      <c r="O40" s="2593" t="str">
        <f>C45</f>
        <v>——</v>
      </c>
      <c r="P40" s="188"/>
      <c r="V40" s="188"/>
    </row>
    <row r="41" spans="1:26" ht="15.75">
      <c r="A41" s="2531" t="s">
        <v>824</v>
      </c>
      <c r="B41" s="2532"/>
      <c r="C41" s="2533" t="s">
        <v>825</v>
      </c>
      <c r="D41" s="2534" t="s">
        <v>826</v>
      </c>
      <c r="E41" s="2534" t="s">
        <v>827</v>
      </c>
      <c r="F41" s="2535" t="s">
        <v>828</v>
      </c>
      <c r="G41" s="121"/>
      <c r="H41" s="121"/>
      <c r="I41" s="121"/>
      <c r="J41" s="2587"/>
      <c r="K41" s="3751" t="str">
        <f>MID(A46,3,LEN(A46)-2)</f>
        <v/>
      </c>
      <c r="L41" s="3752"/>
      <c r="M41" s="3752"/>
      <c r="N41" s="3753"/>
      <c r="O41" s="2593" t="str">
        <f>C46</f>
        <v>——</v>
      </c>
      <c r="P41" s="188"/>
      <c r="V41" s="188"/>
    </row>
    <row r="42" spans="1:26" ht="29.25">
      <c r="A42" s="3754" t="s">
        <v>829</v>
      </c>
      <c r="B42" s="3755"/>
      <c r="C42" s="2462">
        <f ca="1">C32</f>
        <v>3290</v>
      </c>
      <c r="D42" s="2536">
        <f ca="1">C33</f>
        <v>708</v>
      </c>
      <c r="E42" s="2536">
        <f ca="1">C34</f>
        <v>1235</v>
      </c>
      <c r="F42" s="2537">
        <f ca="1">C35</f>
        <v>82</v>
      </c>
      <c r="G42" s="121"/>
      <c r="H42" s="121"/>
      <c r="I42" s="2594"/>
      <c r="J42" s="2587"/>
      <c r="K42" s="2595" t="s">
        <v>830</v>
      </c>
      <c r="L42" s="2596" t="s">
        <v>831</v>
      </c>
      <c r="M42" s="2597" t="s">
        <v>832</v>
      </c>
      <c r="N42" s="2598" t="s">
        <v>833</v>
      </c>
      <c r="O42" s="2599" t="s">
        <v>834</v>
      </c>
      <c r="P42" s="188"/>
      <c r="V42" s="188"/>
    </row>
    <row r="43" spans="1:26" ht="18">
      <c r="A43" s="3756" t="s">
        <v>835</v>
      </c>
      <c r="B43" s="3757"/>
      <c r="C43" s="2462">
        <f>IF(H33="正常操作",G33+G34+G35,G34+G35)</f>
        <v>0</v>
      </c>
      <c r="D43" s="2536" t="s">
        <v>138</v>
      </c>
      <c r="E43" s="2536" t="s">
        <v>138</v>
      </c>
      <c r="F43" s="2537" t="s">
        <v>138</v>
      </c>
      <c r="G43" s="2538" t="s">
        <v>138</v>
      </c>
      <c r="H43" s="121"/>
      <c r="I43" s="2594"/>
      <c r="J43" s="2587"/>
      <c r="K43" s="2600" t="str">
        <f>C4</f>
        <v>比较法-工业</v>
      </c>
      <c r="L43" s="2601">
        <f ca="1">IF(L42="估价结果/万元",C19,C20)</f>
        <v>3117</v>
      </c>
      <c r="M43" s="2602">
        <f>C18</f>
        <v>0.5</v>
      </c>
      <c r="N43" s="2603">
        <f ca="1">IF(N42="测算结果/万元",G19,G20)</f>
        <v>3290</v>
      </c>
      <c r="O43" s="2604">
        <f ca="1">IF(O42="最终结果/万元",C32,C33)</f>
        <v>3290</v>
      </c>
      <c r="P43" s="188"/>
      <c r="V43" s="188"/>
    </row>
    <row r="44" spans="1:26" ht="30">
      <c r="A44" s="3754" t="str">
        <f>IF(OR(项目基本情况!E8="抵押价格",项目基本情况!E8="已注销及未注销"),"3.抵押价格","——")</f>
        <v>3.抵押价格</v>
      </c>
      <c r="B44" s="3755"/>
      <c r="C44" s="2462">
        <f ca="1">IF(A44="——","——",C42-C43)</f>
        <v>3290</v>
      </c>
      <c r="D44" s="2536">
        <f ca="1">ROUND(C44*10000/'数据-汇总表'!E3,0)</f>
        <v>708</v>
      </c>
      <c r="E44" s="2536">
        <f ca="1">ROUND(C44*10000/'数据-汇总表'!D3,0)</f>
        <v>1235</v>
      </c>
      <c r="F44" s="2537">
        <f ca="1">ROUND(C44/('数据-汇总表'!D3/666.67),0)</f>
        <v>82</v>
      </c>
      <c r="G44" s="121"/>
      <c r="H44" s="121"/>
      <c r="I44" s="2594"/>
      <c r="J44" s="2587"/>
      <c r="K44" s="2605" t="str">
        <f>D4</f>
        <v>剩余法-待开发</v>
      </c>
      <c r="L44" s="2606">
        <f ca="1">IF(L42="估价结果/万元",D19,D20)</f>
        <v>3462</v>
      </c>
      <c r="M44" s="2607">
        <f>D18</f>
        <v>0.5</v>
      </c>
      <c r="N44" s="2608"/>
      <c r="O44" s="2609"/>
      <c r="P44" s="188"/>
      <c r="V44" s="188"/>
    </row>
    <row r="45" spans="1:26" ht="15">
      <c r="A45" s="3758" t="str">
        <f>IF(项目基本情况!E8="已注销及未注销","4.抵押担保权已注销时的抵押价格",IF(项目基本情况!E8="已注销","3.抵押担保权已注销时的抵押价格","——"))</f>
        <v>——</v>
      </c>
      <c r="B45" s="3759"/>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60" t="str">
        <f>IF(项目基本情况!E9="抵押净值",IF(A45="——","4.抵押净值","5.抵押净值"),"——")</f>
        <v>——</v>
      </c>
      <c r="B46" s="3761"/>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836</v>
      </c>
      <c r="B47" s="2542"/>
      <c r="C47" s="2543" t="s">
        <v>837</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838</v>
      </c>
      <c r="G53" s="2555"/>
      <c r="H53" s="2555"/>
      <c r="I53" s="2614" t="s">
        <v>839</v>
      </c>
      <c r="J53" s="2612"/>
      <c r="K53" s="188"/>
      <c r="L53" s="188"/>
      <c r="M53" s="188"/>
      <c r="N53" s="188"/>
      <c r="O53" s="188"/>
      <c r="P53" s="188"/>
      <c r="Q53" s="188"/>
      <c r="R53" s="188"/>
      <c r="S53" s="188"/>
      <c r="T53" s="188"/>
      <c r="U53" s="188"/>
      <c r="V53" s="188"/>
    </row>
    <row r="54" spans="1:22" ht="12.75">
      <c r="A54" s="75"/>
      <c r="B54" s="2556" t="s">
        <v>840</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841</v>
      </c>
      <c r="J56" s="2612"/>
      <c r="K56" s="188"/>
      <c r="L56" s="188"/>
      <c r="M56" s="188"/>
      <c r="N56" s="188"/>
      <c r="O56" s="188"/>
      <c r="P56" s="188"/>
      <c r="Q56" s="188"/>
      <c r="R56" s="188"/>
      <c r="S56" s="188"/>
      <c r="T56" s="188"/>
      <c r="U56" s="188"/>
      <c r="V56" s="188"/>
    </row>
    <row r="57" spans="1:22" ht="12.75">
      <c r="A57" s="75"/>
      <c r="B57" s="2556" t="s">
        <v>842</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841</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843</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62" t="s">
        <v>844</v>
      </c>
      <c r="B63" s="3763"/>
      <c r="C63" s="3764"/>
      <c r="D63" s="1066">
        <f ca="1">ROUND(C42*F63,0)</f>
        <v>3290</v>
      </c>
      <c r="E63" s="2564" t="s">
        <v>845</v>
      </c>
      <c r="F63" s="2565">
        <v>1</v>
      </c>
      <c r="G63" s="2566" t="s">
        <v>846</v>
      </c>
      <c r="H63" s="121"/>
      <c r="I63" s="121"/>
      <c r="J63" s="188"/>
      <c r="K63" s="188"/>
      <c r="L63" s="188"/>
      <c r="M63" s="188"/>
      <c r="N63" s="188"/>
      <c r="O63" s="188"/>
      <c r="P63" s="188"/>
      <c r="Q63" s="188"/>
      <c r="R63" s="188"/>
      <c r="S63" s="188"/>
      <c r="T63" s="188"/>
      <c r="U63" s="188"/>
      <c r="V63" s="188"/>
    </row>
    <row r="64" spans="1:22" ht="14.25" customHeight="1">
      <c r="A64" s="3765" t="s">
        <v>847</v>
      </c>
      <c r="B64" s="3766"/>
      <c r="C64" s="3766"/>
      <c r="D64" s="3766"/>
      <c r="E64" s="3766"/>
      <c r="F64" s="3766"/>
      <c r="G64" s="3767"/>
      <c r="H64" s="2567"/>
      <c r="I64" s="122"/>
      <c r="J64" s="123"/>
      <c r="K64" s="2616" t="s">
        <v>848</v>
      </c>
      <c r="L64" s="2617"/>
      <c r="M64" s="2617"/>
      <c r="N64" s="2617"/>
      <c r="O64" s="2617"/>
      <c r="P64" s="121"/>
      <c r="Q64" s="188"/>
      <c r="R64" s="188"/>
      <c r="S64" s="188"/>
      <c r="T64" s="188"/>
      <c r="U64" s="188"/>
      <c r="V64" s="188"/>
    </row>
    <row r="65" spans="1:22" ht="12" customHeight="1">
      <c r="A65" s="2618" t="s">
        <v>849</v>
      </c>
      <c r="B65" s="2619"/>
      <c r="C65" s="2620"/>
      <c r="D65" s="2621" t="s">
        <v>850</v>
      </c>
      <c r="E65" s="127" t="s">
        <v>851</v>
      </c>
      <c r="F65" s="2622" t="s">
        <v>852</v>
      </c>
      <c r="G65" s="2623" t="s">
        <v>853</v>
      </c>
      <c r="H65" s="2567"/>
      <c r="I65" s="122"/>
      <c r="J65" s="123"/>
      <c r="K65" s="2725"/>
      <c r="L65" s="2726"/>
      <c r="M65" s="2726"/>
      <c r="N65" s="2727" t="s">
        <v>854</v>
      </c>
      <c r="O65" s="2728"/>
      <c r="P65" s="2729"/>
      <c r="Q65" s="188"/>
      <c r="R65" s="188"/>
      <c r="S65" s="188"/>
      <c r="T65" s="188"/>
      <c r="U65" s="188"/>
      <c r="V65" s="188"/>
    </row>
    <row r="66" spans="1:22" ht="25.5">
      <c r="A66" s="3768" t="s">
        <v>855</v>
      </c>
      <c r="B66" s="3769"/>
      <c r="C66" s="3769"/>
      <c r="D66" s="1038" t="b">
        <f>IF(H66="情况1",0,IF(H66="情况2",D70,IF(H66="情况3",D71,IF(H66="情况4",D72))))</f>
        <v>0</v>
      </c>
      <c r="E66" s="1060" t="str">
        <f>IF(H66="情况4","(销售额-原购置价)×税（费）率","销售额×税（费）率")</f>
        <v>销售额×税（费）率</v>
      </c>
      <c r="F66" s="2624">
        <f>IF(H66="情况1","免征",'数据-取费表'!B41)</f>
        <v>5.5E-2</v>
      </c>
      <c r="G66" s="2625" t="s">
        <v>856</v>
      </c>
      <c r="H66" s="2626"/>
      <c r="I66" s="2567"/>
      <c r="J66" s="2730"/>
      <c r="K66" s="2731">
        <v>1</v>
      </c>
      <c r="L66" s="3770" t="s">
        <v>857</v>
      </c>
      <c r="M66" s="3771"/>
      <c r="N66" s="2732"/>
      <c r="O66" s="2733"/>
      <c r="P66" s="2734"/>
      <c r="Q66" s="188"/>
      <c r="R66" s="188"/>
      <c r="S66" s="188"/>
      <c r="T66" s="188"/>
      <c r="U66" s="188"/>
      <c r="V66" s="188"/>
    </row>
    <row r="67" spans="1:22" ht="25.5" customHeight="1">
      <c r="A67" s="2627" t="s">
        <v>858</v>
      </c>
      <c r="B67" s="3772" t="s">
        <v>859</v>
      </c>
      <c r="C67" s="3772"/>
      <c r="D67" s="2628">
        <v>0</v>
      </c>
      <c r="E67" s="2629" t="s">
        <v>860</v>
      </c>
      <c r="F67" s="2630" t="s">
        <v>138</v>
      </c>
      <c r="G67" s="3811"/>
      <c r="H67" s="2632" t="s">
        <v>861</v>
      </c>
      <c r="I67" s="2735"/>
      <c r="J67" s="2736"/>
      <c r="K67" s="2737">
        <v>2</v>
      </c>
      <c r="L67" s="3773" t="s">
        <v>862</v>
      </c>
      <c r="M67" s="3773"/>
      <c r="N67" s="2738">
        <f>'数据-取费表'!B2</f>
        <v>45257</v>
      </c>
      <c r="O67" s="2738"/>
      <c r="P67" s="2738"/>
      <c r="Q67" s="188"/>
      <c r="R67" s="188"/>
      <c r="S67" s="188"/>
      <c r="T67" s="188"/>
      <c r="U67" s="188"/>
      <c r="V67" s="188"/>
    </row>
    <row r="68" spans="1:22" ht="25.5" customHeight="1">
      <c r="A68" s="2633"/>
      <c r="B68" s="3772" t="s">
        <v>863</v>
      </c>
      <c r="C68" s="3772"/>
      <c r="D68" s="2634"/>
      <c r="E68" s="2635"/>
      <c r="F68" s="2636"/>
      <c r="G68" s="3812"/>
      <c r="H68" s="2637" t="s">
        <v>864</v>
      </c>
      <c r="I68" s="2735"/>
      <c r="J68" s="2736"/>
      <c r="K68" s="2737">
        <v>3</v>
      </c>
      <c r="L68" s="3773" t="s">
        <v>865</v>
      </c>
      <c r="M68" s="3773"/>
      <c r="N68" s="2739">
        <f ca="1">C42</f>
        <v>3290</v>
      </c>
      <c r="O68" s="2739"/>
      <c r="P68" s="2739"/>
      <c r="Q68" s="188"/>
      <c r="R68" s="188"/>
      <c r="S68" s="188"/>
      <c r="T68" s="188"/>
      <c r="U68" s="188"/>
      <c r="V68" s="188"/>
    </row>
    <row r="69" spans="1:22" ht="23.45" customHeight="1">
      <c r="A69" s="2638"/>
      <c r="B69" s="3772" t="s">
        <v>866</v>
      </c>
      <c r="C69" s="3772"/>
      <c r="D69" s="2639"/>
      <c r="E69" s="2640"/>
      <c r="F69" s="2636"/>
      <c r="G69" s="3813"/>
      <c r="H69" s="2637" t="s">
        <v>867</v>
      </c>
      <c r="I69" s="2735"/>
      <c r="J69" s="2736"/>
      <c r="K69" s="2740">
        <v>4</v>
      </c>
      <c r="L69" s="3774" t="s">
        <v>868</v>
      </c>
      <c r="M69" s="3775"/>
      <c r="N69" s="2741">
        <f ca="1">C44</f>
        <v>3290</v>
      </c>
      <c r="O69" s="2741"/>
      <c r="P69" s="2741"/>
      <c r="Q69" s="188"/>
      <c r="R69" s="188"/>
      <c r="S69" s="188"/>
      <c r="T69" s="188"/>
      <c r="U69" s="188"/>
      <c r="V69" s="188"/>
    </row>
    <row r="70" spans="1:22" ht="24" customHeight="1">
      <c r="A70" s="2642" t="s">
        <v>869</v>
      </c>
      <c r="B70" s="3772" t="s">
        <v>870</v>
      </c>
      <c r="C70" s="3772"/>
      <c r="D70" s="2639">
        <f ca="1">ROUND(D63*'数据-取费表'!B41/(1+'数据-取费表'!C42),0)</f>
        <v>172</v>
      </c>
      <c r="E70" s="130" t="s">
        <v>871</v>
      </c>
      <c r="F70" s="2643">
        <f>'数据-取费表'!B41</f>
        <v>5.5E-2</v>
      </c>
      <c r="G70" s="2644"/>
      <c r="H70" s="121"/>
      <c r="I70" s="2742"/>
      <c r="J70" s="2736"/>
      <c r="K70" s="2743"/>
      <c r="L70" s="2744"/>
      <c r="M70" s="2744"/>
      <c r="N70" s="2745" t="s">
        <v>847</v>
      </c>
      <c r="O70" s="2744"/>
      <c r="P70" s="2746"/>
      <c r="Q70" s="188"/>
      <c r="R70" s="188"/>
      <c r="S70" s="188"/>
      <c r="T70" s="188"/>
      <c r="U70" s="188"/>
      <c r="V70" s="188"/>
    </row>
    <row r="71" spans="1:22" ht="12" customHeight="1">
      <c r="A71" s="2642" t="s">
        <v>872</v>
      </c>
      <c r="B71" s="3776" t="s">
        <v>873</v>
      </c>
      <c r="C71" s="3777"/>
      <c r="D71" s="2639">
        <f ca="1">ROUND(D63*'数据-取费表'!B41/(1+'数据-取费表'!C42),0)</f>
        <v>172</v>
      </c>
      <c r="E71" s="130" t="s">
        <v>871</v>
      </c>
      <c r="F71" s="2643">
        <f>'数据-取费表'!B41</f>
        <v>5.5E-2</v>
      </c>
      <c r="G71" s="2644"/>
      <c r="H71" s="121"/>
      <c r="I71" s="2742"/>
      <c r="J71" s="2736"/>
      <c r="K71" s="2747" t="s">
        <v>874</v>
      </c>
      <c r="L71" s="3778" t="s">
        <v>849</v>
      </c>
      <c r="M71" s="3778"/>
      <c r="N71" s="2747" t="s">
        <v>875</v>
      </c>
      <c r="O71" s="2747" t="s">
        <v>876</v>
      </c>
      <c r="P71" s="2747" t="s">
        <v>852</v>
      </c>
      <c r="Q71" s="188"/>
      <c r="R71" s="188"/>
      <c r="S71" s="188"/>
      <c r="T71" s="188"/>
      <c r="U71" s="188"/>
      <c r="V71" s="188"/>
    </row>
    <row r="72" spans="1:22" ht="12" customHeight="1">
      <c r="A72" s="2642" t="s">
        <v>877</v>
      </c>
      <c r="B72" s="3776" t="s">
        <v>878</v>
      </c>
      <c r="C72" s="3777"/>
      <c r="D72" s="2639">
        <f ca="1">C86</f>
        <v>172</v>
      </c>
      <c r="E72" s="2640" t="s">
        <v>879</v>
      </c>
      <c r="F72" s="2643">
        <f>'数据-取费表'!B41</f>
        <v>5.5E-2</v>
      </c>
      <c r="G72" s="2644"/>
      <c r="H72" s="2645"/>
      <c r="I72" s="2742"/>
      <c r="J72" s="2736"/>
      <c r="K72" s="2737">
        <v>1</v>
      </c>
      <c r="L72" s="3779" t="s">
        <v>880</v>
      </c>
      <c r="M72" s="3779"/>
      <c r="N72" s="2749" t="b">
        <f>D66</f>
        <v>0</v>
      </c>
      <c r="O72" s="2748" t="str">
        <f>E66</f>
        <v>销售额×税（费）率</v>
      </c>
      <c r="P72" s="2750">
        <f>F66</f>
        <v>5.5E-2</v>
      </c>
      <c r="Q72" s="188"/>
      <c r="R72" s="188"/>
      <c r="S72" s="188"/>
      <c r="T72" s="188"/>
      <c r="U72" s="188"/>
      <c r="V72" s="188"/>
    </row>
    <row r="73" spans="1:22" ht="24" customHeight="1">
      <c r="A73" s="3780" t="s">
        <v>881</v>
      </c>
      <c r="B73" s="3769"/>
      <c r="C73" s="3769"/>
      <c r="D73" s="2646">
        <f ca="1">IF(H73="个人住宅",0,ROUND(D63*I73,0))</f>
        <v>2</v>
      </c>
      <c r="E73" s="130" t="s">
        <v>882</v>
      </c>
      <c r="F73" s="2643" t="str">
        <f>IF(H73="正常",I73,"免征")</f>
        <v>免征</v>
      </c>
      <c r="G73" s="2644"/>
      <c r="H73" s="2626"/>
      <c r="I73" s="2643">
        <f>'数据-取费表'!B49</f>
        <v>5.0000000000000001E-4</v>
      </c>
      <c r="J73" s="2736"/>
      <c r="K73" s="2737">
        <v>2</v>
      </c>
      <c r="L73" s="3779" t="s">
        <v>883</v>
      </c>
      <c r="M73" s="3779"/>
      <c r="N73" s="2749">
        <f t="shared" ref="N73:P74" ca="1" si="0">D73</f>
        <v>2</v>
      </c>
      <c r="O73" s="2748" t="str">
        <f t="shared" si="0"/>
        <v>销售额×税（费）率</v>
      </c>
      <c r="P73" s="2750" t="str">
        <f t="shared" si="0"/>
        <v>免征</v>
      </c>
      <c r="Q73" s="188"/>
      <c r="R73" s="188"/>
      <c r="S73" s="188"/>
      <c r="T73" s="188"/>
      <c r="U73" s="188"/>
      <c r="V73" s="188"/>
    </row>
    <row r="74" spans="1:22" ht="24.75">
      <c r="A74" s="3780" t="s">
        <v>884</v>
      </c>
      <c r="B74" s="3769"/>
      <c r="C74" s="3769"/>
      <c r="D74" s="2646">
        <f ca="1">IF(H74="个人住宅",D75,D76)</f>
        <v>1865</v>
      </c>
      <c r="E74" s="130" t="s">
        <v>885</v>
      </c>
      <c r="F74" s="2643" t="str">
        <f>IF(H74="正常",F76,"免征")</f>
        <v>免征</v>
      </c>
      <c r="G74" s="2647" t="s">
        <v>856</v>
      </c>
      <c r="H74" s="2648"/>
      <c r="I74" s="2650"/>
      <c r="J74" s="2736"/>
      <c r="K74" s="2737">
        <v>3</v>
      </c>
      <c r="L74" s="3779" t="s">
        <v>886</v>
      </c>
      <c r="M74" s="3779"/>
      <c r="N74" s="2749">
        <f t="shared" ca="1" si="0"/>
        <v>1865</v>
      </c>
      <c r="O74" s="2748" t="str">
        <f t="shared" si="0"/>
        <v>增值额×税（费）率</v>
      </c>
      <c r="P74" s="2751" t="str">
        <f t="shared" si="0"/>
        <v>免征</v>
      </c>
      <c r="Q74" s="188"/>
      <c r="R74" s="188"/>
      <c r="S74" s="188"/>
      <c r="T74" s="188"/>
      <c r="U74" s="188"/>
      <c r="V74" s="188"/>
    </row>
    <row r="75" spans="1:22" ht="12.75">
      <c r="A75" s="2642" t="s">
        <v>858</v>
      </c>
      <c r="B75" s="3745" t="s">
        <v>887</v>
      </c>
      <c r="C75" s="3747"/>
      <c r="D75" s="2649">
        <v>0</v>
      </c>
      <c r="E75" s="2629" t="s">
        <v>860</v>
      </c>
      <c r="F75" s="84"/>
      <c r="G75" s="2644"/>
      <c r="H75" s="2650"/>
      <c r="I75" s="2650"/>
      <c r="J75" s="2736"/>
      <c r="K75" s="2737">
        <f>IF(H77="非个人房产","",4)</f>
        <v>4</v>
      </c>
      <c r="L75" s="3779" t="str">
        <f>IF(H77="非个人房产","——","个人所得税")</f>
        <v>个人所得税</v>
      </c>
      <c r="M75" s="3779"/>
      <c r="N75" s="2752">
        <f>D77</f>
        <v>0</v>
      </c>
      <c r="O75" s="2753" t="str">
        <f>E77</f>
        <v>差额计税</v>
      </c>
      <c r="P75" s="2754">
        <f>F77</f>
        <v>0.01</v>
      </c>
      <c r="Q75" s="188"/>
      <c r="R75" s="188"/>
      <c r="S75" s="188"/>
      <c r="T75" s="188"/>
      <c r="U75" s="188"/>
      <c r="V75" s="188"/>
    </row>
    <row r="76" spans="1:22" ht="24.75">
      <c r="A76" s="2642" t="s">
        <v>869</v>
      </c>
      <c r="B76" s="3745" t="s">
        <v>888</v>
      </c>
      <c r="C76" s="3746"/>
      <c r="D76" s="2646">
        <f ca="1">IF(H76="转让取得",C99,C115)</f>
        <v>1865</v>
      </c>
      <c r="E76" s="130" t="s">
        <v>885</v>
      </c>
      <c r="F76" s="127" t="s">
        <v>138</v>
      </c>
      <c r="G76" s="2644"/>
      <c r="H76" s="2648"/>
      <c r="I76" s="2650"/>
      <c r="J76" s="2736"/>
      <c r="K76" s="2737" t="str">
        <f>IF(项目基本情况!K6="上海银行",IF(K75="",4,K75+1),"")</f>
        <v/>
      </c>
      <c r="L76" s="3781" t="str">
        <f>IF(项目基本情况!K6="上海银行","其他处置费用","")</f>
        <v/>
      </c>
      <c r="M76" s="3782"/>
      <c r="N76" s="2749" t="str">
        <f>IF(项目基本情况!K6="上海银行",N89,"")</f>
        <v/>
      </c>
      <c r="O76" s="3783" t="str">
        <f>IF(项目基本情况!K6="上海银行","包含处置中涉及的律师、诉讼、拍卖、评估等费用","")</f>
        <v/>
      </c>
      <c r="P76" s="3784"/>
      <c r="Q76" s="188"/>
      <c r="R76" s="188"/>
      <c r="S76" s="188"/>
      <c r="T76" s="188"/>
      <c r="U76" s="188"/>
      <c r="V76" s="188"/>
    </row>
    <row r="77" spans="1:22" ht="24">
      <c r="A77" s="3785" t="s">
        <v>889</v>
      </c>
      <c r="B77" s="3786"/>
      <c r="C77" s="3786"/>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856</v>
      </c>
      <c r="H77" s="2655"/>
      <c r="I77" s="2756" t="s">
        <v>890</v>
      </c>
      <c r="J77" s="2736"/>
      <c r="K77" s="3817">
        <f>IF(AND(K75="",K76=""),4,IF(项目基本情况!K6="上海银行",K76+1,K75+1))</f>
        <v>5</v>
      </c>
      <c r="L77" s="3779" t="s">
        <v>517</v>
      </c>
      <c r="M77" s="2757" t="s">
        <v>891</v>
      </c>
      <c r="N77" s="2758"/>
      <c r="O77" s="2759">
        <f ca="1">SUMIF(N72:N76,"&lt;9e307")</f>
        <v>1867</v>
      </c>
      <c r="P77" s="2760"/>
      <c r="Q77" s="2782">
        <f ca="1">O77/N69</f>
        <v>0.56747720364741638</v>
      </c>
      <c r="R77" s="188"/>
      <c r="S77" s="188"/>
      <c r="T77" s="188"/>
      <c r="U77" s="188"/>
      <c r="V77" s="188"/>
    </row>
    <row r="78" spans="1:22" ht="12" customHeight="1">
      <c r="A78" s="2656"/>
      <c r="B78" s="121"/>
      <c r="C78" s="121"/>
      <c r="D78" s="121"/>
      <c r="E78" s="2650"/>
      <c r="F78" s="2650"/>
      <c r="G78" s="2650"/>
      <c r="H78" s="2657"/>
      <c r="I78" s="121"/>
      <c r="J78" s="2736"/>
      <c r="K78" s="3817"/>
      <c r="L78" s="3779"/>
      <c r="M78" s="2757" t="s">
        <v>892</v>
      </c>
      <c r="N78" s="2758"/>
      <c r="O78" s="2759" t="str">
        <f ca="1">NUMBERSTRING(INT(O77*10000),2)&amp;"元整"</f>
        <v>壹仟捌佰陆拾柒万元整</v>
      </c>
      <c r="P78" s="2760"/>
      <c r="Q78" s="188"/>
      <c r="R78" s="188"/>
      <c r="S78" s="188"/>
      <c r="T78" s="188"/>
      <c r="U78" s="188"/>
      <c r="V78" s="188"/>
    </row>
    <row r="79" spans="1:22" ht="12.75">
      <c r="A79" s="3787" t="s">
        <v>893</v>
      </c>
      <c r="B79" s="3787"/>
      <c r="C79" s="3787"/>
      <c r="D79" s="3787"/>
      <c r="E79" s="3787"/>
      <c r="F79" s="2650"/>
      <c r="G79" s="2650"/>
      <c r="H79" s="2657"/>
      <c r="I79" s="121"/>
      <c r="J79" s="2736"/>
      <c r="K79" s="3818">
        <f>K77+1</f>
        <v>6</v>
      </c>
      <c r="L79" s="3779" t="s">
        <v>894</v>
      </c>
      <c r="M79" s="2757" t="s">
        <v>891</v>
      </c>
      <c r="N79" s="2758"/>
      <c r="O79" s="2759">
        <f ca="1">N69-O77</f>
        <v>1423</v>
      </c>
      <c r="P79" s="2760"/>
      <c r="Q79" s="188"/>
      <c r="R79" s="188"/>
      <c r="S79" s="188"/>
      <c r="T79" s="188"/>
      <c r="U79" s="188"/>
      <c r="V79" s="188"/>
    </row>
    <row r="80" spans="1:22" ht="25.5">
      <c r="A80" s="3788" t="s">
        <v>895</v>
      </c>
      <c r="B80" s="3789"/>
      <c r="C80" s="2658"/>
      <c r="D80" s="2658" t="s">
        <v>896</v>
      </c>
      <c r="E80" s="2659" t="s">
        <v>853</v>
      </c>
      <c r="F80" s="2650"/>
      <c r="G80" s="2650"/>
      <c r="H80" s="2657"/>
      <c r="I80" s="121"/>
      <c r="J80" s="188"/>
      <c r="K80" s="3819"/>
      <c r="L80" s="3779"/>
      <c r="M80" s="2757" t="s">
        <v>892</v>
      </c>
      <c r="N80" s="2758"/>
      <c r="O80" s="2759" t="str">
        <f ca="1">NUMBERSTRING(INT(O79*10000),2)&amp;"元整"</f>
        <v>壹仟肆佰贰拾叁万元整</v>
      </c>
      <c r="P80" s="2760"/>
      <c r="Q80" s="188"/>
      <c r="R80" s="188"/>
      <c r="S80" s="188"/>
      <c r="T80" s="188"/>
      <c r="U80" s="188"/>
      <c r="V80" s="188"/>
    </row>
    <row r="81" spans="1:26" ht="12.75">
      <c r="A81" s="2660" t="s">
        <v>897</v>
      </c>
      <c r="B81" s="2661" t="s">
        <v>898</v>
      </c>
      <c r="C81" s="2662">
        <f ca="1">ROUND((C82+C83)/(1+'数据-取费表'!C42),0)</f>
        <v>3133</v>
      </c>
      <c r="D81" s="2663"/>
      <c r="E81" s="2664"/>
      <c r="F81" s="2650"/>
      <c r="G81" s="2650"/>
      <c r="H81" s="2657"/>
      <c r="I81" s="121"/>
      <c r="J81" s="188"/>
      <c r="K81" s="2737">
        <f>K79+1</f>
        <v>7</v>
      </c>
      <c r="L81" s="3790" t="s">
        <v>899</v>
      </c>
      <c r="M81" s="3791"/>
      <c r="N81" s="2761"/>
      <c r="O81" s="2762">
        <f ca="1">ROUND(O79*10000/'数据-汇总表'!E3,0)</f>
        <v>306</v>
      </c>
      <c r="P81" s="2763"/>
      <c r="Q81" s="188"/>
      <c r="R81" s="188"/>
      <c r="S81" s="188"/>
      <c r="T81" s="188"/>
      <c r="U81" s="188"/>
      <c r="V81" s="188"/>
    </row>
    <row r="82" spans="1:26" ht="12.75">
      <c r="A82" s="2423" t="s">
        <v>900</v>
      </c>
      <c r="B82" s="2665" t="s">
        <v>901</v>
      </c>
      <c r="C82" s="2666">
        <f ca="1">D63</f>
        <v>3290</v>
      </c>
      <c r="D82" s="1875" t="s">
        <v>138</v>
      </c>
      <c r="E82" s="2667"/>
      <c r="F82" s="2650"/>
      <c r="G82" s="2650"/>
      <c r="H82" s="2657"/>
      <c r="I82" s="121"/>
      <c r="J82" s="188"/>
      <c r="K82" s="188"/>
      <c r="L82" s="188"/>
      <c r="M82" s="188"/>
      <c r="N82" s="188"/>
      <c r="O82" s="188"/>
      <c r="P82" s="188"/>
      <c r="Q82" s="188"/>
      <c r="R82" s="188"/>
      <c r="S82" s="188"/>
      <c r="T82" s="188"/>
      <c r="U82" s="188"/>
      <c r="V82" s="188"/>
    </row>
    <row r="83" spans="1:26" ht="12.75">
      <c r="A83" s="2423" t="s">
        <v>902</v>
      </c>
      <c r="B83" s="2665" t="s">
        <v>903</v>
      </c>
      <c r="C83" s="2668"/>
      <c r="D83" s="1875"/>
      <c r="E83" s="2667"/>
      <c r="F83" s="2650"/>
      <c r="G83" s="2650"/>
      <c r="H83" s="2657"/>
      <c r="I83" s="121"/>
      <c r="J83" s="188"/>
      <c r="K83" s="3820" t="s">
        <v>904</v>
      </c>
      <c r="L83" s="2764" t="s">
        <v>905</v>
      </c>
      <c r="M83" s="2765">
        <f ca="1">IF(N69&gt;10000,N69*0.5%,IF(AND(N69&gt;1000,N69&lt;=10000),N69*1%,IF(AND(N69&gt;100,N69&lt;=1000),N69*3%,IF(AND(N69&gt;10,N69&lt;=100),N69*5%,N69*8%))))</f>
        <v>32.9</v>
      </c>
      <c r="N83" s="127">
        <f ca="1">ROUND(M83,1)</f>
        <v>32.9</v>
      </c>
      <c r="O83" s="2766"/>
      <c r="P83" s="188"/>
      <c r="Q83" s="188"/>
      <c r="R83" s="188"/>
      <c r="S83" s="188"/>
      <c r="T83" s="188"/>
      <c r="U83" s="188"/>
      <c r="V83" s="188"/>
    </row>
    <row r="84" spans="1:26" ht="12.75">
      <c r="A84" s="2660" t="s">
        <v>906</v>
      </c>
      <c r="B84" s="2669" t="s">
        <v>907</v>
      </c>
      <c r="C84" s="2670"/>
      <c r="D84" s="2671" t="s">
        <v>138</v>
      </c>
      <c r="E84" s="2672" t="s">
        <v>908</v>
      </c>
      <c r="F84" s="2650"/>
      <c r="G84" s="2650"/>
      <c r="H84" s="2657"/>
      <c r="I84" s="121"/>
      <c r="J84" s="188"/>
      <c r="K84" s="3820"/>
      <c r="L84" s="2764" t="s">
        <v>909</v>
      </c>
      <c r="M84" s="2765">
        <f ca="1">IF(N69&gt;2000,N69*0.5%,IF(AND(N69&gt;1000,N69&lt;=2000),N69*0.6%,IF(AND(N69&gt;500,N69&lt;=1000),N69*0.7%,IF(AND(N69&gt;200,N69&lt;=500),N69*0.8%,IF(AND(N69&gt;100,N69&lt;=200),N69*0.9%,IF(AND(N69&gt;50,N69&lt;=100),N69*1%,IF(AND(N69&gt;20,N69&lt;=50),N69*1.5%,IF(AND(N69&gt;10,N69&lt;=20),N69*2%,IF(AND(N69&gt;1,N69&lt;=10),N69*2.5%)))))))))</f>
        <v>16.45</v>
      </c>
      <c r="N84" s="127">
        <f ca="1">ROUND(M84,1)</f>
        <v>16.5</v>
      </c>
      <c r="O84" s="188" t="s">
        <v>910</v>
      </c>
      <c r="P84" s="188"/>
      <c r="Q84" s="188"/>
      <c r="R84" s="188"/>
      <c r="S84" s="188"/>
      <c r="T84" s="188"/>
      <c r="U84" s="188"/>
      <c r="V84" s="188"/>
    </row>
    <row r="85" spans="1:26" ht="12.75">
      <c r="A85" s="2660" t="s">
        <v>911</v>
      </c>
      <c r="B85" s="2669" t="s">
        <v>912</v>
      </c>
      <c r="C85" s="2673">
        <f ca="1">C81-C84</f>
        <v>3133</v>
      </c>
      <c r="D85" s="1875" t="s">
        <v>138</v>
      </c>
      <c r="E85" s="2667"/>
      <c r="F85" s="2650"/>
      <c r="G85" s="2650"/>
      <c r="H85" s="2657"/>
      <c r="I85" s="121"/>
      <c r="J85" s="188"/>
      <c r="K85" s="3820"/>
      <c r="L85" s="2764" t="s">
        <v>913</v>
      </c>
      <c r="M85" s="2765">
        <f ca="1">IF(N69&gt;1000,N69*0.1%,IF(AND(N69&gt;500,N69&lt;=1000),N69*0.5%,IF(AND(N69&gt;50,N69&lt;=500),N69*1%,IF(AND(N69&gt;1,N69&lt;=50),N69*1.5%))))</f>
        <v>3.29</v>
      </c>
      <c r="N85" s="127">
        <f ca="1">ROUND(M85,1)</f>
        <v>3.3</v>
      </c>
      <c r="O85" s="188" t="s">
        <v>910</v>
      </c>
      <c r="P85" s="188"/>
      <c r="Q85" s="188"/>
      <c r="R85" s="188"/>
      <c r="S85" s="188"/>
      <c r="T85" s="188"/>
      <c r="U85" s="188"/>
      <c r="V85" s="188"/>
    </row>
    <row r="86" spans="1:26" ht="12.75">
      <c r="A86" s="2674" t="s">
        <v>914</v>
      </c>
      <c r="B86" s="2675" t="s">
        <v>915</v>
      </c>
      <c r="C86" s="2676">
        <f ca="1">IF(C85&lt;=0,0,ROUND(C85*D86,0))</f>
        <v>172</v>
      </c>
      <c r="D86" s="2677">
        <f>'数据-取费表'!B41</f>
        <v>5.5E-2</v>
      </c>
      <c r="E86" s="2678"/>
      <c r="F86" s="2650"/>
      <c r="G86" s="2650"/>
      <c r="H86" s="2657"/>
      <c r="I86" s="121"/>
      <c r="J86" s="188"/>
      <c r="K86" s="3820"/>
      <c r="L86" s="2764" t="s">
        <v>916</v>
      </c>
      <c r="M86" s="2765">
        <f ca="1">N69*0.5%</f>
        <v>16.45</v>
      </c>
      <c r="N86" s="127">
        <f ca="1">IF(M86&gt;0.5,0.5,ROUND(M86,0))</f>
        <v>0.5</v>
      </c>
      <c r="O86" s="188" t="s">
        <v>917</v>
      </c>
      <c r="P86" s="188"/>
      <c r="Q86" s="188"/>
      <c r="R86" s="188"/>
      <c r="S86" s="188"/>
      <c r="T86" s="188"/>
      <c r="U86" s="188"/>
      <c r="V86" s="188"/>
    </row>
    <row r="87" spans="1:26" s="2450" customFormat="1" ht="14.25" customHeight="1">
      <c r="A87" s="2679"/>
      <c r="B87" s="2680"/>
      <c r="C87" s="2681"/>
      <c r="D87" s="2682"/>
      <c r="E87" s="2683"/>
      <c r="F87" s="2650"/>
      <c r="G87" s="2650"/>
      <c r="H87" s="2657"/>
      <c r="I87" s="121"/>
      <c r="J87" s="188"/>
      <c r="K87" s="3820"/>
      <c r="L87" s="2764" t="s">
        <v>918</v>
      </c>
      <c r="M87" s="2765">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766"/>
      <c r="P87" s="188"/>
      <c r="Q87" s="188"/>
      <c r="R87" s="188"/>
      <c r="S87" s="188"/>
      <c r="T87" s="188"/>
      <c r="U87" s="188"/>
      <c r="V87" s="188"/>
      <c r="W87" s="2334"/>
      <c r="X87" s="2334"/>
      <c r="Y87" s="2334"/>
      <c r="Z87" s="2334"/>
    </row>
    <row r="88" spans="1:26" s="2451" customFormat="1" ht="14.25">
      <c r="A88" s="3792" t="s">
        <v>919</v>
      </c>
      <c r="B88" s="3793"/>
      <c r="C88" s="3793"/>
      <c r="D88" s="3793"/>
      <c r="E88" s="3793"/>
      <c r="F88" s="3793"/>
      <c r="G88" s="3793"/>
      <c r="H88" s="3793"/>
      <c r="I88" s="2767"/>
      <c r="J88" s="2768"/>
      <c r="K88" s="3820"/>
      <c r="L88" s="2764" t="s">
        <v>920</v>
      </c>
      <c r="M88" s="2765">
        <f ca="1">IF(N69&gt;10000,N69*0.5%,IF(AND(N69&gt;5000,N69&lt;=10000),N69*1%,IF(AND(N69&gt;1000,N69&lt;=5000),N69*2%,IF(AND(N69&gt;200,N69&lt;=1000),N69*3%,N69*5%))))</f>
        <v>65.8</v>
      </c>
      <c r="N88" s="127">
        <f ca="1">ROUND(M88,1)</f>
        <v>65.8</v>
      </c>
      <c r="O88" s="2766"/>
      <c r="P88" s="2769"/>
      <c r="Q88" s="2769"/>
      <c r="R88" s="2769"/>
      <c r="S88" s="2769"/>
      <c r="T88" s="2769"/>
      <c r="U88" s="2769"/>
      <c r="V88" s="2769"/>
      <c r="W88" s="2783"/>
      <c r="X88" s="2783"/>
      <c r="Y88" s="2783"/>
      <c r="Z88" s="2783"/>
    </row>
    <row r="89" spans="1:26" s="2451" customFormat="1" ht="14.25">
      <c r="A89" s="3788" t="s">
        <v>895</v>
      </c>
      <c r="B89" s="3789"/>
      <c r="C89" s="2658"/>
      <c r="D89" s="2658" t="s">
        <v>896</v>
      </c>
      <c r="E89" s="2684" t="s">
        <v>853</v>
      </c>
      <c r="F89" s="2685"/>
      <c r="G89" s="2685"/>
      <c r="H89" s="2686"/>
      <c r="I89" s="2770"/>
      <c r="J89" s="2771"/>
      <c r="K89" s="3820"/>
      <c r="L89" s="2764" t="s">
        <v>542</v>
      </c>
      <c r="M89" s="2772"/>
      <c r="N89" s="127">
        <f ca="1">ROUND(SUM(N83:N88),0)</f>
        <v>121</v>
      </c>
      <c r="O89" s="2773">
        <f ca="1">N89/N69</f>
        <v>3.6778115501519756E-2</v>
      </c>
      <c r="P89" s="2769"/>
      <c r="Q89" s="2769"/>
      <c r="R89" s="2769"/>
      <c r="S89" s="2769"/>
      <c r="T89" s="2769"/>
      <c r="U89" s="2769"/>
      <c r="V89" s="2769"/>
      <c r="W89" s="2783"/>
      <c r="X89" s="2783"/>
      <c r="Y89" s="2783"/>
      <c r="Z89" s="2783"/>
    </row>
    <row r="90" spans="1:26" s="2451" customFormat="1" ht="14.25">
      <c r="A90" s="2660" t="s">
        <v>897</v>
      </c>
      <c r="B90" s="2669" t="s">
        <v>921</v>
      </c>
      <c r="C90" s="2673">
        <f ca="1">ROUND(D63/(1+'数据-取费表'!C42),0)</f>
        <v>3133</v>
      </c>
      <c r="D90" s="1875" t="s">
        <v>138</v>
      </c>
      <c r="E90" s="1029"/>
      <c r="F90" s="1030"/>
      <c r="G90" s="1030"/>
      <c r="H90" s="2687"/>
      <c r="I90" s="2770"/>
      <c r="J90" s="2771"/>
      <c r="K90" s="2769"/>
      <c r="L90" s="2769"/>
      <c r="M90" s="2769"/>
      <c r="N90" s="2769"/>
      <c r="O90" s="2769"/>
      <c r="P90" s="2769"/>
      <c r="Q90" s="2769"/>
      <c r="R90" s="2769"/>
      <c r="S90" s="2769"/>
      <c r="T90" s="2769"/>
      <c r="U90" s="2769"/>
      <c r="V90" s="2769"/>
      <c r="W90" s="2783"/>
      <c r="X90" s="2783"/>
      <c r="Y90" s="2783"/>
      <c r="Z90" s="2783"/>
    </row>
    <row r="91" spans="1:26" s="2451" customFormat="1" ht="14.25">
      <c r="A91" s="2660" t="s">
        <v>906</v>
      </c>
      <c r="B91" s="2622" t="s">
        <v>922</v>
      </c>
      <c r="C91" s="2673">
        <f ca="1">C92+C96</f>
        <v>16</v>
      </c>
      <c r="D91" s="1875" t="s">
        <v>138</v>
      </c>
      <c r="E91" s="1029"/>
      <c r="F91" s="1030"/>
      <c r="G91" s="1030"/>
      <c r="H91" s="2687"/>
      <c r="I91" s="2770"/>
      <c r="J91" s="2771"/>
      <c r="K91" s="2769"/>
      <c r="L91" s="2769"/>
      <c r="M91" s="2769"/>
      <c r="N91" s="2769"/>
      <c r="O91" s="2769"/>
      <c r="P91" s="2769"/>
      <c r="Q91" s="2769"/>
      <c r="R91" s="2769"/>
      <c r="S91" s="2769"/>
      <c r="T91" s="2769"/>
      <c r="U91" s="2769"/>
      <c r="V91" s="2769"/>
      <c r="W91" s="2783"/>
      <c r="X91" s="2783"/>
      <c r="Y91" s="2783"/>
      <c r="Z91" s="2783"/>
    </row>
    <row r="92" spans="1:26" s="2451" customFormat="1" ht="24">
      <c r="A92" s="2688" t="s">
        <v>900</v>
      </c>
      <c r="B92" s="2665" t="s">
        <v>923</v>
      </c>
      <c r="C92" s="1875">
        <f>ROUND(IF(G95="2016年5月1日后购买",C93/(1+'数据-取费表'!C30)+C94+C95,C93+C94+C95),0)</f>
        <v>0</v>
      </c>
      <c r="D92" s="1875" t="s">
        <v>138</v>
      </c>
      <c r="E92" s="1029"/>
      <c r="F92" s="1030"/>
      <c r="G92" s="1030"/>
      <c r="H92" s="2687"/>
      <c r="I92" s="2770"/>
      <c r="J92" s="2771"/>
      <c r="K92" s="2769"/>
      <c r="L92" s="2769"/>
      <c r="M92" s="2769"/>
      <c r="N92" s="2769"/>
      <c r="O92" s="2769"/>
      <c r="P92" s="2769"/>
      <c r="Q92" s="2769"/>
      <c r="R92" s="2769"/>
      <c r="S92" s="2769"/>
      <c r="T92" s="2769"/>
      <c r="U92" s="2769"/>
      <c r="V92" s="2769"/>
      <c r="W92" s="2783"/>
      <c r="X92" s="2783"/>
      <c r="Y92" s="2783"/>
      <c r="Z92" s="2783"/>
    </row>
    <row r="93" spans="1:26" s="2451" customFormat="1" ht="14.25">
      <c r="A93" s="2688" t="s">
        <v>924</v>
      </c>
      <c r="B93" s="2665" t="s">
        <v>925</v>
      </c>
      <c r="C93" s="1877"/>
      <c r="D93" s="1875" t="s">
        <v>138</v>
      </c>
      <c r="E93" s="2689" t="s">
        <v>926</v>
      </c>
      <c r="F93" s="2690"/>
      <c r="G93" s="2689" t="s">
        <v>927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51" customFormat="1" ht="24.75" customHeight="1">
      <c r="A94" s="2688" t="s">
        <v>928</v>
      </c>
      <c r="B94" s="2692" t="s">
        <v>929</v>
      </c>
      <c r="C94" s="1875">
        <f>IF(F93="购房发票",ROUND(C93*H93*5%,0),0)</f>
        <v>0</v>
      </c>
      <c r="D94" s="2693">
        <v>0.05</v>
      </c>
      <c r="E94" s="3776" t="s">
        <v>930</v>
      </c>
      <c r="F94" s="3772"/>
      <c r="G94" s="3772"/>
      <c r="H94" s="3794"/>
      <c r="I94" s="2770"/>
      <c r="J94" s="2771"/>
      <c r="K94" s="2769"/>
      <c r="L94" s="2769"/>
      <c r="M94" s="2769"/>
      <c r="N94" s="2769"/>
      <c r="O94" s="2769"/>
      <c r="P94" s="2769"/>
      <c r="Q94" s="2769"/>
      <c r="R94" s="2769"/>
      <c r="S94" s="2769"/>
      <c r="T94" s="2769"/>
      <c r="U94" s="2769"/>
      <c r="V94" s="2769"/>
      <c r="W94" s="2783"/>
      <c r="X94" s="2783"/>
      <c r="Y94" s="2783"/>
      <c r="Z94" s="2783"/>
    </row>
    <row r="95" spans="1:26" s="2451" customFormat="1" ht="24.75" customHeight="1">
      <c r="A95" s="2688" t="s">
        <v>931</v>
      </c>
      <c r="B95" s="2665" t="s">
        <v>932</v>
      </c>
      <c r="C95" s="1875">
        <f>ROUND(IF(G95="个人买卖住房",0,IF(G95="2016年5月1日前购买",C93*D95,C93*D95/(1+'数据-取费表'!C42))),0)</f>
        <v>0</v>
      </c>
      <c r="D95" s="2695">
        <f>'数据-取费表'!B48+'数据-取费表'!B49</f>
        <v>3.0499999999999999E-2</v>
      </c>
      <c r="E95" s="1114" t="s">
        <v>933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51" customFormat="1" ht="24.75" customHeight="1">
      <c r="A96" s="2688" t="s">
        <v>902</v>
      </c>
      <c r="B96" s="2665" t="s">
        <v>934</v>
      </c>
      <c r="C96" s="2698">
        <f ca="1">ROUND(D63*D96/(1+'数据-取费表'!C42),0)</f>
        <v>16</v>
      </c>
      <c r="D96" s="2699">
        <f>'数据-取费表'!B43</f>
        <v>5.0000000000000001E-3</v>
      </c>
      <c r="E96" s="3795" t="s">
        <v>935</v>
      </c>
      <c r="F96" s="3796"/>
      <c r="G96" s="3796"/>
      <c r="H96" s="3797"/>
      <c r="I96" s="2774"/>
      <c r="J96" s="2775"/>
      <c r="K96" s="2769"/>
      <c r="L96" s="2769"/>
      <c r="M96" s="2769"/>
      <c r="N96" s="2769"/>
      <c r="O96" s="2769"/>
      <c r="P96" s="2769"/>
      <c r="Q96" s="2769"/>
      <c r="R96" s="2769"/>
      <c r="S96" s="2769"/>
      <c r="T96" s="2769"/>
      <c r="U96" s="2769"/>
      <c r="V96" s="2769"/>
      <c r="W96" s="2783"/>
      <c r="X96" s="2783"/>
      <c r="Y96" s="2783"/>
      <c r="Z96" s="2783"/>
    </row>
    <row r="97" spans="1:26" s="2451" customFormat="1" ht="14.25">
      <c r="A97" s="2702" t="s">
        <v>911</v>
      </c>
      <c r="B97" s="2669" t="s">
        <v>936</v>
      </c>
      <c r="C97" s="2673">
        <f ca="1">C90-C91</f>
        <v>3117</v>
      </c>
      <c r="D97" s="1875" t="s">
        <v>138</v>
      </c>
      <c r="E97" s="1029"/>
      <c r="F97" s="1030"/>
      <c r="G97" s="1030"/>
      <c r="H97" s="2687"/>
      <c r="I97" s="2770"/>
      <c r="J97" s="2771"/>
      <c r="K97" s="2769"/>
      <c r="L97" s="2769"/>
      <c r="M97" s="2769"/>
      <c r="N97" s="2769"/>
      <c r="O97" s="2769"/>
      <c r="P97" s="2769"/>
      <c r="Q97" s="2769"/>
      <c r="R97" s="2769"/>
      <c r="S97" s="2769"/>
      <c r="T97" s="2769"/>
      <c r="U97" s="2769"/>
      <c r="V97" s="2769"/>
      <c r="W97" s="2783"/>
      <c r="X97" s="2783"/>
      <c r="Y97" s="2783"/>
      <c r="Z97" s="2783"/>
    </row>
    <row r="98" spans="1:26" s="2451" customFormat="1" ht="24">
      <c r="A98" s="2702" t="s">
        <v>914</v>
      </c>
      <c r="B98" s="2669" t="s">
        <v>937</v>
      </c>
      <c r="C98" s="2703">
        <f ca="1">IF(C97&lt;=0,0,C97/C91)</f>
        <v>194.8125</v>
      </c>
      <c r="D98" s="1875" t="s">
        <v>138</v>
      </c>
      <c r="E98" s="1114" t="str">
        <f ca="1">IF(C98&gt;=200%,"增值额超过扣除项目金额200%",IF(C98&gt;=100%,"增值额超过扣除项目金额100%，未超过200%",IF(C98&gt;=50%,"增值额超过扣除项目金额50%，未超过100%",IF(C98&lt;50%,"增值额未超过扣除项目金额50%"))))</f>
        <v>增值额超过扣除项目金额200%</v>
      </c>
      <c r="F98" s="1030"/>
      <c r="G98" s="1030"/>
      <c r="H98" s="2687"/>
      <c r="I98" s="2770"/>
      <c r="J98" s="2771"/>
      <c r="K98" s="2769"/>
      <c r="L98" s="2769"/>
      <c r="M98" s="2769"/>
      <c r="N98" s="2769"/>
      <c r="O98" s="2769"/>
      <c r="P98" s="2769"/>
      <c r="Q98" s="2769"/>
      <c r="R98" s="2769"/>
      <c r="S98" s="2769"/>
      <c r="T98" s="2769"/>
      <c r="U98" s="2769"/>
      <c r="V98" s="2769"/>
      <c r="W98" s="2783"/>
      <c r="X98" s="2783"/>
      <c r="Y98" s="2783"/>
      <c r="Z98" s="2783"/>
    </row>
    <row r="99" spans="1:26" s="2451" customFormat="1" ht="24">
      <c r="A99" s="2704" t="s">
        <v>938</v>
      </c>
      <c r="B99" s="2675" t="s">
        <v>939</v>
      </c>
      <c r="C99" s="2705">
        <f ca="1">ROUND(IF(C97&lt;=0,0,IF(C98&gt;=200%,C97*60%-C91*35%,IF(C98&gt;=100%,C97*50%-C91*15%,IF(C98&gt;=50%,C97*40%-C91*5%,IF(C98&lt;50%,C97*30%,0))))),0)</f>
        <v>1865</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51"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51" customFormat="1" ht="14.25">
      <c r="A101" s="3792" t="s">
        <v>940</v>
      </c>
      <c r="B101" s="3793"/>
      <c r="C101" s="3793"/>
      <c r="D101" s="3793"/>
      <c r="E101" s="3793"/>
      <c r="F101" s="3793"/>
      <c r="G101" s="3793"/>
      <c r="H101" s="3793"/>
      <c r="I101" s="2617"/>
      <c r="J101" s="2769"/>
      <c r="K101" s="2769"/>
      <c r="L101" s="2769"/>
      <c r="M101" s="2769"/>
      <c r="N101" s="2769"/>
      <c r="O101" s="2769"/>
      <c r="P101" s="2769"/>
      <c r="Q101" s="2769"/>
      <c r="R101" s="2769"/>
      <c r="S101" s="2769"/>
      <c r="T101" s="2769"/>
      <c r="U101" s="2769"/>
      <c r="V101" s="2769"/>
      <c r="W101" s="2783"/>
      <c r="X101" s="2783"/>
      <c r="Y101" s="2783"/>
      <c r="Z101" s="2783"/>
    </row>
    <row r="102" spans="1:26" s="2451" customFormat="1" ht="14.25">
      <c r="A102" s="3788" t="s">
        <v>895</v>
      </c>
      <c r="B102" s="3789"/>
      <c r="C102" s="2658"/>
      <c r="D102" s="2658" t="s">
        <v>896</v>
      </c>
      <c r="E102" s="2684" t="s">
        <v>853</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51" customFormat="1" ht="14.25">
      <c r="A103" s="2660" t="s">
        <v>897</v>
      </c>
      <c r="B103" s="2669" t="s">
        <v>921</v>
      </c>
      <c r="C103" s="2673">
        <f ca="1">ROUND(D63/(1+'数据-取费表'!C42),0)</f>
        <v>3133</v>
      </c>
      <c r="D103" s="1875" t="s">
        <v>138</v>
      </c>
      <c r="E103" s="1029"/>
      <c r="F103" s="1030"/>
      <c r="G103" s="1030"/>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51" customFormat="1" ht="14.25">
      <c r="A104" s="2660" t="s">
        <v>906</v>
      </c>
      <c r="B104" s="2622" t="s">
        <v>922</v>
      </c>
      <c r="C104" s="2673">
        <f ca="1">IF(H106="仅含出让金",C105+C108+C109+C110+C111+C112,C105+C109+C110+C111+C112)</f>
        <v>16</v>
      </c>
      <c r="D104" s="2715"/>
      <c r="E104" s="1029"/>
      <c r="F104" s="1030"/>
      <c r="G104" s="1030"/>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51" customFormat="1" ht="14.25">
      <c r="A105" s="2688" t="s">
        <v>900</v>
      </c>
      <c r="B105" s="2665" t="s">
        <v>941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51" customFormat="1" ht="14.25">
      <c r="A106" s="2688" t="s">
        <v>924</v>
      </c>
      <c r="B106" s="2665" t="s">
        <v>942</v>
      </c>
      <c r="C106" s="2717"/>
      <c r="D106" s="2699"/>
      <c r="E106" s="2718" t="s">
        <v>943</v>
      </c>
      <c r="F106" s="2700"/>
      <c r="G106" s="2719" t="s">
        <v>944</v>
      </c>
      <c r="H106" s="2720"/>
      <c r="I106" s="2617"/>
      <c r="J106" s="2769"/>
      <c r="K106" s="2776" t="s">
        <v>945</v>
      </c>
      <c r="L106" s="2769"/>
      <c r="M106" s="2769"/>
      <c r="N106" s="2769"/>
      <c r="O106" s="2769"/>
      <c r="P106" s="2769"/>
      <c r="Q106" s="2769"/>
      <c r="R106" s="2769"/>
      <c r="S106" s="2769"/>
      <c r="T106" s="2769"/>
      <c r="U106" s="2769"/>
      <c r="V106" s="2769"/>
      <c r="W106" s="2783"/>
      <c r="X106" s="2783"/>
      <c r="Y106" s="2783"/>
      <c r="Z106" s="2783"/>
    </row>
    <row r="107" spans="1:26" s="2451" customFormat="1" ht="14.25">
      <c r="A107" s="2688" t="s">
        <v>928</v>
      </c>
      <c r="B107" s="2665" t="s">
        <v>932</v>
      </c>
      <c r="C107" s="2698">
        <f>ROUND(C106*D107,0)</f>
        <v>0</v>
      </c>
      <c r="D107" s="2699">
        <f>'数据-取费表'!B48+'数据-取费表'!B49</f>
        <v>3.0499999999999999E-2</v>
      </c>
      <c r="E107" s="2718" t="s">
        <v>946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51" customFormat="1" ht="14.25">
      <c r="A108" s="2688" t="s">
        <v>902</v>
      </c>
      <c r="B108" s="2665" t="s">
        <v>947</v>
      </c>
      <c r="C108" s="2717"/>
      <c r="D108" s="2699"/>
      <c r="E108" s="2718" t="str">
        <f>IF(H106="-","土地取得成本中已包含该笔费用"," ")</f>
        <v/>
      </c>
      <c r="F108" s="2700"/>
      <c r="G108" s="3798" t="s">
        <v>948</v>
      </c>
      <c r="H108" s="3799"/>
      <c r="I108" s="2777"/>
      <c r="J108" s="2769"/>
      <c r="K108" s="2776" t="s">
        <v>949</v>
      </c>
      <c r="L108" s="2769"/>
      <c r="M108" s="2769"/>
      <c r="N108" s="2769"/>
      <c r="O108" s="2769"/>
      <c r="P108" s="2769"/>
      <c r="Q108" s="2769"/>
      <c r="R108" s="2769"/>
      <c r="S108" s="2769"/>
      <c r="T108" s="2769"/>
      <c r="U108" s="2769"/>
      <c r="V108" s="2769"/>
      <c r="W108" s="2783"/>
      <c r="X108" s="2783"/>
      <c r="Y108" s="2783"/>
      <c r="Z108" s="2783"/>
    </row>
    <row r="109" spans="1:26" s="2451" customFormat="1" ht="24" customHeight="1">
      <c r="A109" s="2721" t="s">
        <v>950</v>
      </c>
      <c r="B109" s="2665" t="s">
        <v>951</v>
      </c>
      <c r="C109" s="2698">
        <f>IF(H109="——",IF(F1="现房",'剩余法-现房'!C18,0),I109)</f>
        <v>0</v>
      </c>
      <c r="D109" s="2699"/>
      <c r="E109" s="3800" t="s">
        <v>952</v>
      </c>
      <c r="F109" s="3796"/>
      <c r="G109" s="3796"/>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51" customFormat="1" ht="25.5" customHeight="1">
      <c r="A110" s="2721" t="s">
        <v>953</v>
      </c>
      <c r="B110" s="2665" t="s">
        <v>954</v>
      </c>
      <c r="C110" s="2698">
        <f>ROUND((C105+C108+C109)*D110,0)</f>
        <v>0</v>
      </c>
      <c r="D110" s="2723">
        <v>0</v>
      </c>
      <c r="E110" s="3800" t="s">
        <v>955</v>
      </c>
      <c r="F110" s="3796"/>
      <c r="G110" s="3796"/>
      <c r="H110" s="3797"/>
      <c r="I110" s="2617"/>
      <c r="J110" s="2769"/>
      <c r="K110" s="2779" t="s">
        <v>956</v>
      </c>
      <c r="L110" s="2769"/>
      <c r="M110" s="2769"/>
      <c r="N110" s="2769"/>
      <c r="O110" s="2769"/>
      <c r="P110" s="2769"/>
      <c r="Q110" s="2769"/>
      <c r="R110" s="2769"/>
      <c r="S110" s="2769"/>
      <c r="T110" s="2769"/>
      <c r="U110" s="2769"/>
      <c r="V110" s="2769"/>
      <c r="W110" s="2783"/>
      <c r="X110" s="2783"/>
      <c r="Y110" s="2783"/>
      <c r="Z110" s="2783"/>
    </row>
    <row r="111" spans="1:26" s="2451" customFormat="1" ht="25.5" customHeight="1">
      <c r="A111" s="2721" t="s">
        <v>957</v>
      </c>
      <c r="B111" s="2665" t="s">
        <v>934</v>
      </c>
      <c r="C111" s="2698">
        <f ca="1">ROUND(D63*D111/(1+'数据-取费表'!C42),0)</f>
        <v>16</v>
      </c>
      <c r="D111" s="2699">
        <f>'数据-取费表'!B43</f>
        <v>5.0000000000000001E-3</v>
      </c>
      <c r="E111" s="3795" t="s">
        <v>935</v>
      </c>
      <c r="F111" s="3796"/>
      <c r="G111" s="3796"/>
      <c r="H111" s="3797"/>
      <c r="I111" s="2617"/>
      <c r="J111" s="2769"/>
      <c r="K111" s="2769"/>
      <c r="L111" s="2769"/>
      <c r="M111" s="2769"/>
      <c r="N111" s="2769"/>
      <c r="O111" s="2769"/>
      <c r="P111" s="2769"/>
      <c r="Q111" s="2769"/>
      <c r="R111" s="2769"/>
      <c r="S111" s="2769"/>
      <c r="T111" s="2769"/>
      <c r="U111" s="2769"/>
      <c r="V111" s="2769"/>
      <c r="W111" s="2783"/>
      <c r="X111" s="2783"/>
      <c r="Y111" s="2783"/>
      <c r="Z111" s="2783"/>
    </row>
    <row r="112" spans="1:26" s="2451" customFormat="1" ht="25.5" customHeight="1">
      <c r="A112" s="2721" t="s">
        <v>958</v>
      </c>
      <c r="B112" s="2665" t="s">
        <v>959</v>
      </c>
      <c r="C112" s="2698">
        <f>ROUND(C108*D112,0)</f>
        <v>0</v>
      </c>
      <c r="D112" s="2699">
        <v>0.2</v>
      </c>
      <c r="E112" s="3800" t="s">
        <v>960</v>
      </c>
      <c r="F112" s="3796"/>
      <c r="G112" s="3796"/>
      <c r="H112" s="3797"/>
      <c r="I112" s="2617"/>
      <c r="J112" s="2769"/>
      <c r="K112" s="2769"/>
      <c r="L112" s="2769"/>
      <c r="M112" s="2769"/>
      <c r="N112" s="2769"/>
      <c r="O112" s="2769"/>
      <c r="P112" s="2769"/>
      <c r="Q112" s="2769"/>
      <c r="R112" s="2769"/>
      <c r="S112" s="2769"/>
      <c r="T112" s="2769"/>
      <c r="U112" s="2769"/>
      <c r="V112" s="2769"/>
      <c r="W112" s="2783"/>
      <c r="X112" s="2783"/>
      <c r="Y112" s="2783"/>
      <c r="Z112" s="2783"/>
    </row>
    <row r="113" spans="1:26" s="2451" customFormat="1" ht="14.25">
      <c r="A113" s="2702" t="s">
        <v>911</v>
      </c>
      <c r="B113" s="2669" t="s">
        <v>936</v>
      </c>
      <c r="C113" s="2673">
        <f ca="1">ROUND(C103-C104,0)</f>
        <v>3117</v>
      </c>
      <c r="D113" s="1875" t="s">
        <v>138</v>
      </c>
      <c r="E113" s="1029"/>
      <c r="F113" s="1030"/>
      <c r="G113" s="1030"/>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51" customFormat="1" ht="24">
      <c r="A114" s="2702" t="s">
        <v>914</v>
      </c>
      <c r="B114" s="2669" t="s">
        <v>937</v>
      </c>
      <c r="C114" s="2703">
        <f ca="1">IF(C113&lt;=0,0,C113/C104)</f>
        <v>194.8125</v>
      </c>
      <c r="D114" s="1875" t="s">
        <v>138</v>
      </c>
      <c r="E114" s="1114" t="str">
        <f ca="1">IF(C114&gt;=200%,"增值额超过扣除项目金额200%",IF(C114&gt;=100%,"增值额超过扣除项目金额100%，未超过200%",IF(C114&gt;=50%,"增值额超过扣除项目金额50%，未超过100%",IF(C114&lt;50%,"增值额未超过扣除项目金额50%"))))</f>
        <v>增值额超过扣除项目金额200%</v>
      </c>
      <c r="F114" s="1030"/>
      <c r="G114" s="1030"/>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51" customFormat="1" ht="24">
      <c r="A115" s="2704" t="s">
        <v>938</v>
      </c>
      <c r="B115" s="2675" t="s">
        <v>939</v>
      </c>
      <c r="C115" s="2705">
        <f ca="1">ROUND(IF(C113&lt;=0,0,IF(C114&gt;=200%,C113*60%-C104*35%,IF(C114&gt;=100%,C113*50%-C104*15%,IF(C114&gt;=50%,C113*40%-C104*5%,IF(C114&lt;50%,C113*30%,0))))),0)</f>
        <v>1865</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28" sqref="M28"/>
    </sheetView>
  </sheetViews>
  <sheetFormatPr defaultColWidth="6.625" defaultRowHeight="12.75"/>
  <cols>
    <col min="1" max="1" width="9.75" style="2256" customWidth="1"/>
    <col min="2" max="2" width="25.75" style="2257" customWidth="1"/>
    <col min="3" max="3" width="10.375" style="2258" customWidth="1"/>
    <col min="4" max="4" width="12" style="2257" customWidth="1"/>
    <col min="5" max="5" width="9.5" style="2256" customWidth="1"/>
    <col min="6" max="6" width="10.125" style="2257" customWidth="1"/>
    <col min="7" max="7" width="11.62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31" s="161" customFormat="1" ht="20.25">
      <c r="A1" s="2360"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31" s="161" customFormat="1" ht="18" customHeight="1">
      <c r="A2" s="2361" t="s">
        <v>962</v>
      </c>
      <c r="B2" s="2362">
        <f ca="1">C36</f>
        <v>3462</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31" s="161" customFormat="1" ht="18" customHeight="1">
      <c r="A3" s="2363" t="s">
        <v>963</v>
      </c>
      <c r="B3" s="2364">
        <f ca="1">ROUND(B2*10000/IF(B1="",'数据-汇总表'!E3,INDIRECT("'数据-取费表'!K"&amp;$K$1)),0)</f>
        <v>745</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31" s="161" customFormat="1" ht="18" customHeight="1">
      <c r="A4" s="723" t="s">
        <v>964</v>
      </c>
      <c r="B4" s="724">
        <f ca="1">ROUND(B2*10000/IF(B1="",'数据-汇总表'!D3,INDIRECT("'数据-取费表'!R"&amp;$K$1)),0)</f>
        <v>1299</v>
      </c>
      <c r="C4" s="1238"/>
      <c r="D4" s="2333"/>
      <c r="E4" s="2333"/>
      <c r="F4" s="2333"/>
      <c r="G4" s="2333"/>
      <c r="H4" s="2333"/>
      <c r="I4" s="2333"/>
      <c r="J4" s="2333"/>
      <c r="K4" s="2333"/>
      <c r="L4" s="2334"/>
      <c r="M4" s="2334"/>
      <c r="N4" s="2334"/>
      <c r="O4" s="2334"/>
      <c r="P4" s="2334"/>
      <c r="Q4" s="2334"/>
      <c r="R4" s="2334"/>
      <c r="S4" s="2334"/>
      <c r="T4" s="2334"/>
      <c r="U4" s="2334"/>
      <c r="V4" s="2334"/>
      <c r="W4" s="2334"/>
      <c r="X4" s="2334"/>
      <c r="Y4" s="2334"/>
      <c r="Z4" s="2334"/>
    </row>
    <row r="5" spans="1:31" s="161" customFormat="1" ht="18" customHeight="1">
      <c r="A5" s="726"/>
      <c r="B5" s="727">
        <f ca="1">ROUND(B2/(IF(B1="",'数据-汇总表'!D3,INDIRECT("'数据-取费表'!R"&amp;$K$1))/666.67),0)</f>
        <v>87</v>
      </c>
      <c r="C5" s="728" t="s">
        <v>965</v>
      </c>
      <c r="D5" s="2333"/>
      <c r="E5" s="2333"/>
      <c r="F5" s="2333"/>
      <c r="G5" s="2333"/>
      <c r="H5" s="2333"/>
      <c r="I5" s="2333"/>
      <c r="J5" s="2333"/>
      <c r="K5" s="2333"/>
      <c r="L5" s="2334"/>
      <c r="M5" s="2334"/>
      <c r="N5" s="2334"/>
      <c r="O5" s="2334"/>
      <c r="P5" s="2334"/>
      <c r="Q5" s="2334"/>
      <c r="R5" s="2334"/>
      <c r="S5" s="2334"/>
      <c r="T5" s="2334"/>
      <c r="U5" s="2334"/>
      <c r="V5" s="2334"/>
      <c r="W5" s="2334"/>
      <c r="X5" s="2334"/>
      <c r="Y5" s="2334"/>
      <c r="Z5" s="2334"/>
    </row>
    <row r="6" spans="1:31" s="2246" customFormat="1" ht="16.5" customHeight="1">
      <c r="A6" s="2365" t="s">
        <v>966</v>
      </c>
      <c r="B6" s="2366"/>
      <c r="C6" s="2367">
        <f ca="1">SUM(C10:K10)</f>
        <v>21980</v>
      </c>
      <c r="D6" s="2366"/>
      <c r="E6" s="2366"/>
      <c r="F6" s="2366"/>
      <c r="G6" s="2366"/>
      <c r="H6" s="2366"/>
      <c r="I6" s="2366"/>
      <c r="J6" s="2366"/>
      <c r="K6" s="2437"/>
      <c r="L6" s="2336"/>
      <c r="M6" s="2336"/>
      <c r="N6" s="2336"/>
      <c r="O6" s="2336"/>
      <c r="P6" s="2336"/>
      <c r="Q6" s="2336"/>
      <c r="R6" s="2336"/>
      <c r="S6" s="2336"/>
      <c r="T6" s="2336"/>
      <c r="U6" s="2336"/>
      <c r="V6" s="2336"/>
      <c r="W6" s="2336"/>
      <c r="X6" s="2336"/>
      <c r="Y6" s="2336"/>
      <c r="Z6" s="2336"/>
    </row>
    <row r="7" spans="1:31" s="2247" customFormat="1" ht="15">
      <c r="A7" s="2368" t="s">
        <v>967</v>
      </c>
      <c r="B7" s="2369" t="s">
        <v>968</v>
      </c>
      <c r="C7" s="2269" t="s">
        <v>164</v>
      </c>
      <c r="D7" s="2269"/>
      <c r="E7" s="2269"/>
      <c r="F7" s="2269"/>
      <c r="G7" s="2269"/>
      <c r="H7" s="2269"/>
      <c r="I7" s="2269"/>
      <c r="J7" s="2269"/>
      <c r="K7" s="2337"/>
      <c r="AA7" s="2356"/>
      <c r="AB7" s="2356"/>
      <c r="AC7" s="2356"/>
      <c r="AD7" s="2356"/>
      <c r="AE7" s="2356"/>
    </row>
    <row r="8" spans="1:31" s="2248" customFormat="1" ht="13.5" customHeight="1">
      <c r="A8" s="1247" t="s">
        <v>900</v>
      </c>
      <c r="B8" s="1038" t="s">
        <v>969</v>
      </c>
      <c r="C8" s="2370">
        <f ca="1">不动产收益法!B3</f>
        <v>6931</v>
      </c>
      <c r="D8" s="2370"/>
      <c r="E8" s="2370"/>
      <c r="F8" s="2370"/>
      <c r="G8" s="2370"/>
      <c r="H8" s="2370"/>
      <c r="I8" s="2370"/>
      <c r="J8" s="2370"/>
      <c r="K8" s="2438"/>
      <c r="AA8" s="2257"/>
      <c r="AB8" s="2257"/>
      <c r="AC8" s="2257"/>
      <c r="AD8" s="2257"/>
      <c r="AE8" s="2257"/>
    </row>
    <row r="9" spans="1:31" s="2248" customFormat="1" ht="13.5" customHeight="1">
      <c r="A9" s="1247" t="s">
        <v>902</v>
      </c>
      <c r="B9" s="1038" t="s">
        <v>502</v>
      </c>
      <c r="C9" s="2273">
        <f>SUMIF('数据-汇总表'!$C19:$C33,'剩余法-待开发'!C7,'数据-汇总表'!$E19:$E33)</f>
        <v>31713.88</v>
      </c>
      <c r="D9" s="2273">
        <f>SUMIF('数据-汇总表'!$C19:$C33,'剩余法-待开发'!D7,'数据-汇总表'!$E19:$E33)</f>
        <v>0</v>
      </c>
      <c r="E9" s="2273">
        <f>SUMIF('数据-汇总表'!$C19:$C33,'剩余法-待开发'!E7,'数据-汇总表'!$E19:$E33)</f>
        <v>0</v>
      </c>
      <c r="F9" s="2273">
        <f>SUMIF('数据-汇总表'!$C19:$C33,'剩余法-待开发'!F7,'数据-汇总表'!$E19:$E33)</f>
        <v>0</v>
      </c>
      <c r="G9" s="2273">
        <f>SUMIF('数据-汇总表'!$C19:$C33,'剩余法-待开发'!G7,'数据-汇总表'!$E19:$E33)</f>
        <v>0</v>
      </c>
      <c r="H9" s="2273">
        <f>SUMIF('数据-汇总表'!$C19:$C33,'剩余法-待开发'!H7,'数据-汇总表'!$E19:$E33)</f>
        <v>0</v>
      </c>
      <c r="I9" s="2273">
        <f>SUMIF('数据-汇总表'!$C19:$C33,'剩余法-待开发'!I7,'数据-汇总表'!$E19:$E33)</f>
        <v>0</v>
      </c>
      <c r="J9" s="2273">
        <f>SUMIF('数据-汇总表'!$C19:$C33,'剩余法-待开发'!J7,'数据-汇总表'!$E19:$E33)</f>
        <v>0</v>
      </c>
      <c r="K9" s="2339">
        <f>SUMIF('数据-汇总表'!$C19:$C33,'剩余法-待开发'!K7,'数据-汇总表'!$E19:$E33)</f>
        <v>0</v>
      </c>
      <c r="AA9" s="2257"/>
      <c r="AB9" s="2257"/>
      <c r="AC9" s="2257"/>
      <c r="AD9" s="2257"/>
      <c r="AE9" s="2257"/>
    </row>
    <row r="10" spans="1:31" s="2248" customFormat="1" ht="13.5" customHeight="1">
      <c r="A10" s="2371" t="s">
        <v>970</v>
      </c>
      <c r="B10" s="2372" t="s">
        <v>971</v>
      </c>
      <c r="C10" s="2373">
        <f ca="1">不动产收益法!B2</f>
        <v>21980</v>
      </c>
      <c r="D10" s="2373"/>
      <c r="E10" s="2373"/>
      <c r="F10" s="2374"/>
      <c r="G10" s="2374"/>
      <c r="H10" s="2374"/>
      <c r="I10" s="2374"/>
      <c r="J10" s="2374"/>
      <c r="K10" s="2439"/>
      <c r="AA10" s="2257"/>
      <c r="AB10" s="2257"/>
      <c r="AC10" s="2257"/>
      <c r="AD10" s="2257"/>
      <c r="AE10" s="2257"/>
    </row>
    <row r="11" spans="1:31" s="2246" customFormat="1" ht="16.5" customHeight="1">
      <c r="A11" s="2375" t="s">
        <v>972</v>
      </c>
      <c r="B11" s="2366"/>
      <c r="C11" s="2366"/>
      <c r="D11" s="2366"/>
      <c r="E11" s="2366"/>
      <c r="F11" s="2366"/>
      <c r="G11" s="2366"/>
      <c r="H11" s="2366"/>
      <c r="I11" s="2366"/>
      <c r="J11" s="2366"/>
      <c r="K11" s="2437"/>
      <c r="L11" s="2336"/>
      <c r="M11" s="2336"/>
      <c r="N11" s="2336"/>
      <c r="O11" s="2336"/>
      <c r="P11" s="2336"/>
      <c r="Q11" s="2336"/>
      <c r="R11" s="2336"/>
      <c r="S11" s="2336"/>
      <c r="T11" s="2336"/>
      <c r="U11" s="2336"/>
      <c r="V11" s="2336"/>
      <c r="W11" s="2336"/>
      <c r="X11" s="2336"/>
      <c r="Y11" s="2336"/>
      <c r="Z11" s="2336"/>
    </row>
    <row r="12" spans="1:31" s="1090" customFormat="1" ht="13.5" customHeight="1">
      <c r="A12" s="2376" t="s">
        <v>967</v>
      </c>
      <c r="B12" s="2377" t="s">
        <v>968</v>
      </c>
      <c r="C12" s="2378" t="s">
        <v>973</v>
      </c>
      <c r="D12" s="2379" t="s">
        <v>974</v>
      </c>
      <c r="E12" s="2379" t="s">
        <v>975</v>
      </c>
      <c r="F12" s="2379" t="s">
        <v>976</v>
      </c>
      <c r="G12" s="2377"/>
      <c r="H12" s="2380"/>
      <c r="I12" s="2380"/>
      <c r="J12" s="2380"/>
      <c r="K12" s="2440"/>
      <c r="L12" s="2343"/>
      <c r="M12" s="2343"/>
      <c r="N12" s="2343"/>
      <c r="O12" s="2343"/>
      <c r="P12" s="2343"/>
      <c r="Q12" s="2343"/>
      <c r="R12" s="2343"/>
      <c r="S12" s="2343"/>
      <c r="T12" s="2343"/>
      <c r="U12" s="2343"/>
      <c r="V12" s="2343"/>
      <c r="W12" s="2343"/>
      <c r="X12" s="2343"/>
      <c r="Y12" s="2343"/>
      <c r="Z12" s="2343"/>
    </row>
    <row r="13" spans="1:31" s="2249" customFormat="1" ht="13.5" customHeight="1">
      <c r="A13" s="2381" t="s">
        <v>924</v>
      </c>
      <c r="B13" s="2382" t="s">
        <v>977</v>
      </c>
      <c r="C13" s="2286">
        <f ca="1">IF(B1="",'数据-取费表'!P16,INDIRECT("'数据-取费表'!p"&amp;$K$1)+INDIRECT("'数据-取费表'!t"&amp;$K$1))</f>
        <v>12053</v>
      </c>
      <c r="D13" s="2383"/>
      <c r="E13" s="2384"/>
      <c r="F13" s="2385"/>
      <c r="G13" s="2377"/>
      <c r="H13" s="2380"/>
      <c r="I13" s="2380"/>
      <c r="J13" s="2380"/>
      <c r="K13" s="2440"/>
      <c r="L13" s="2250"/>
      <c r="M13" s="2250"/>
      <c r="N13" s="2250"/>
      <c r="O13" s="2250"/>
      <c r="P13" s="2250"/>
      <c r="Q13" s="2250"/>
      <c r="R13" s="2250"/>
      <c r="S13" s="2250"/>
      <c r="T13" s="2250"/>
      <c r="U13" s="2250"/>
      <c r="V13" s="2250"/>
      <c r="W13" s="2250"/>
      <c r="X13" s="2250"/>
      <c r="Y13" s="2250"/>
      <c r="Z13" s="2250"/>
    </row>
    <row r="14" spans="1:31" s="2249" customFormat="1" ht="13.5" customHeight="1">
      <c r="A14" s="2381" t="s">
        <v>978</v>
      </c>
      <c r="B14" s="2382" t="s">
        <v>979</v>
      </c>
      <c r="C14" s="127">
        <f ca="1">ROUND(C13*F14,0)</f>
        <v>362</v>
      </c>
      <c r="D14" s="2383"/>
      <c r="E14" s="2384"/>
      <c r="F14" s="2386">
        <f>'数据-取费表'!B33</f>
        <v>0.03</v>
      </c>
      <c r="G14" s="2377" t="s">
        <v>980</v>
      </c>
      <c r="H14" s="2380"/>
      <c r="I14" s="2380"/>
      <c r="J14" s="2380"/>
      <c r="K14" s="2440"/>
      <c r="L14" s="2250"/>
      <c r="M14" s="2250"/>
      <c r="N14" s="2250"/>
      <c r="O14" s="2250"/>
      <c r="P14" s="2250"/>
      <c r="Q14" s="2250"/>
      <c r="R14" s="2250"/>
      <c r="S14" s="2250"/>
      <c r="T14" s="2250"/>
      <c r="U14" s="2250"/>
      <c r="V14" s="2250"/>
      <c r="W14" s="2250"/>
      <c r="X14" s="2250"/>
      <c r="Y14" s="2250"/>
      <c r="Z14" s="2250"/>
    </row>
    <row r="15" spans="1:31" s="2249" customFormat="1" ht="13.5" customHeight="1">
      <c r="A15" s="2381" t="s">
        <v>981</v>
      </c>
      <c r="B15" s="2382" t="s">
        <v>982</v>
      </c>
      <c r="C15" s="127">
        <f ca="1">ROUND(IF(B1="",SUMIF('数据-取费表'!C:C,"住宅",'数据-取费表'!P:P)*F15,IF(INDIRECT("'数据-取费表'!c"&amp;$K$1)="住宅",INDIRECT("'数据-取费表'!P"&amp;$K$1)*F15,0)),0)</f>
        <v>0</v>
      </c>
      <c r="D15" s="2383"/>
      <c r="E15" s="2384"/>
      <c r="F15" s="2386">
        <f>'数据-取费表'!B34</f>
        <v>0</v>
      </c>
      <c r="G15" s="2377" t="s">
        <v>983</v>
      </c>
      <c r="H15" s="2380"/>
      <c r="I15" s="2380"/>
      <c r="J15" s="2380"/>
      <c r="K15" s="2440"/>
      <c r="L15" s="2250"/>
      <c r="M15" s="2250"/>
      <c r="N15" s="2250"/>
      <c r="O15" s="2250"/>
      <c r="P15" s="2250"/>
      <c r="Q15" s="2250"/>
      <c r="R15" s="2250"/>
      <c r="S15" s="2250"/>
      <c r="T15" s="2250"/>
      <c r="U15" s="2250"/>
      <c r="V15" s="2250"/>
      <c r="W15" s="2250"/>
      <c r="X15" s="2250"/>
      <c r="Y15" s="2250"/>
      <c r="Z15" s="2250"/>
    </row>
    <row r="16" spans="1:31" s="2250" customFormat="1" ht="13.5" customHeight="1">
      <c r="A16" s="2381" t="s">
        <v>984</v>
      </c>
      <c r="B16" s="2382" t="s">
        <v>985</v>
      </c>
      <c r="C16" s="127">
        <f ca="1">ROUND(D16*E16/10000,0)</f>
        <v>930</v>
      </c>
      <c r="D16" s="2383">
        <f ca="1">IF(B1="",'数据-汇总表'!E3,INDIRECT("'数据-取费表'!K"&amp;$K$1)+INDIRECT("'数据-取费表'!S"&amp;$K$1))</f>
        <v>46494.69</v>
      </c>
      <c r="E16" s="127">
        <f>'数据-取费表'!B35</f>
        <v>200</v>
      </c>
      <c r="F16" s="2387"/>
      <c r="G16" s="2377"/>
      <c r="H16" s="2380"/>
      <c r="I16" s="2380"/>
      <c r="J16" s="2380"/>
      <c r="K16" s="2440"/>
      <c r="AA16" s="2249"/>
      <c r="AB16" s="2249"/>
      <c r="AC16" s="2249"/>
      <c r="AD16" s="2249"/>
      <c r="AE16" s="2249"/>
    </row>
    <row r="17" spans="1:26" s="2249" customFormat="1" ht="13.5" customHeight="1">
      <c r="A17" s="2381" t="s">
        <v>986</v>
      </c>
      <c r="B17" s="2382" t="s">
        <v>987</v>
      </c>
      <c r="C17" s="2388">
        <f ca="1">ROUND(C13*F17,0)</f>
        <v>181</v>
      </c>
      <c r="D17" s="2389"/>
      <c r="E17" s="2388"/>
      <c r="F17" s="2386">
        <f>'数据-取费表'!B36</f>
        <v>1.4999999999999999E-2</v>
      </c>
      <c r="G17" s="1038" t="s">
        <v>988</v>
      </c>
      <c r="H17" s="2390"/>
      <c r="I17" s="2390"/>
      <c r="J17" s="2390"/>
      <c r="K17" s="2441"/>
      <c r="L17" s="2250"/>
      <c r="M17" s="2250"/>
      <c r="N17" s="2250"/>
      <c r="O17" s="2250"/>
      <c r="P17" s="2250"/>
      <c r="Q17" s="2250"/>
      <c r="R17" s="2250"/>
      <c r="S17" s="2250"/>
      <c r="T17" s="2250"/>
      <c r="U17" s="2250"/>
      <c r="V17" s="2250"/>
      <c r="W17" s="2250"/>
      <c r="X17" s="2250"/>
      <c r="Y17" s="2250"/>
      <c r="Z17" s="2250"/>
    </row>
    <row r="18" spans="1:26" s="2249" customFormat="1" ht="13.5" customHeight="1">
      <c r="A18" s="2391" t="s">
        <v>989</v>
      </c>
      <c r="B18" s="2392" t="s">
        <v>990</v>
      </c>
      <c r="C18" s="2393">
        <f ca="1">SUM(C13:C17)</f>
        <v>13526</v>
      </c>
      <c r="D18" s="2394"/>
      <c r="E18" s="2395"/>
      <c r="F18" s="2395"/>
      <c r="G18" s="2396" t="s">
        <v>991</v>
      </c>
      <c r="H18" s="2397"/>
      <c r="I18" s="2397"/>
      <c r="J18" s="2397"/>
      <c r="K18" s="2442"/>
      <c r="L18" s="2250"/>
      <c r="M18" s="2250"/>
      <c r="N18" s="2250"/>
      <c r="O18" s="2250"/>
      <c r="P18" s="2250"/>
      <c r="Q18" s="2250"/>
      <c r="R18" s="2250"/>
      <c r="S18" s="2250"/>
      <c r="T18" s="2250"/>
      <c r="U18" s="2250"/>
      <c r="V18" s="2250"/>
      <c r="W18" s="2250"/>
      <c r="X18" s="2250"/>
      <c r="Y18" s="2250"/>
      <c r="Z18" s="2250"/>
    </row>
    <row r="19" spans="1:26" s="2249" customFormat="1" ht="13.5" customHeight="1">
      <c r="A19" s="2391" t="s">
        <v>992</v>
      </c>
      <c r="B19" s="2392" t="s">
        <v>993</v>
      </c>
      <c r="C19" s="2379">
        <f ca="1">ROUND(D19*E19/10000,0)</f>
        <v>697</v>
      </c>
      <c r="D19" s="2398">
        <f ca="1">D16</f>
        <v>46494.69</v>
      </c>
      <c r="E19" s="2379">
        <f>'数据-取费表'!B32</f>
        <v>150</v>
      </c>
      <c r="F19" s="2395"/>
      <c r="G19" s="2377" t="s">
        <v>994</v>
      </c>
      <c r="H19" s="2380"/>
      <c r="I19" s="2397"/>
      <c r="J19" s="2397"/>
      <c r="K19" s="2442"/>
      <c r="L19" s="2250"/>
      <c r="M19" s="2250"/>
      <c r="N19" s="2250"/>
      <c r="O19" s="2250"/>
      <c r="P19" s="2250"/>
      <c r="Q19" s="2250"/>
      <c r="R19" s="2250"/>
      <c r="S19" s="2250"/>
      <c r="T19" s="2250"/>
      <c r="U19" s="2250"/>
      <c r="V19" s="2250"/>
      <c r="W19" s="2250"/>
      <c r="X19" s="2250"/>
      <c r="Y19" s="2250"/>
      <c r="Z19" s="2250"/>
    </row>
    <row r="20" spans="1:26" s="2249" customFormat="1" ht="13.5" customHeight="1">
      <c r="A20" s="2391" t="s">
        <v>995</v>
      </c>
      <c r="B20" s="2392" t="s">
        <v>996</v>
      </c>
      <c r="C20" s="2379">
        <f ca="1">C21+C22-IF(B1="",'数据-取费表'!B29,IF(G20="已全部缴纳",C21+C22,H20))</f>
        <v>930</v>
      </c>
      <c r="D20" s="2398"/>
      <c r="E20" s="2379"/>
      <c r="F20" s="2399"/>
      <c r="G20" s="2400"/>
      <c r="H20" s="2401"/>
      <c r="I20" s="2443" t="s">
        <v>997</v>
      </c>
      <c r="J20" s="2397"/>
      <c r="K20" s="2442"/>
      <c r="L20" s="2250"/>
      <c r="M20" s="2250"/>
      <c r="N20" s="2250"/>
      <c r="O20" s="2250"/>
      <c r="P20" s="2250"/>
      <c r="Q20" s="2250"/>
      <c r="R20" s="2250"/>
      <c r="S20" s="2250"/>
      <c r="T20" s="2250"/>
      <c r="U20" s="2250"/>
      <c r="V20" s="2250"/>
      <c r="W20" s="2250"/>
      <c r="X20" s="2250"/>
      <c r="Y20" s="2250"/>
      <c r="Z20" s="2250"/>
    </row>
    <row r="21" spans="1:26" s="2249" customFormat="1" ht="13.5" customHeight="1">
      <c r="A21" s="2381" t="s">
        <v>924</v>
      </c>
      <c r="B21" s="2382" t="s">
        <v>998</v>
      </c>
      <c r="C21" s="127">
        <f ca="1">ROUND(D21*E21/10000,0)</f>
        <v>0</v>
      </c>
      <c r="D21" s="2383">
        <f ca="1">IF(B1="",'数据-汇总表'!E5,IF(INDIRECT("'数据-取费表'!c"&amp;$K$1)="住宅",INDIRECT("'数据-取费表'!k"&amp;$K$1),0))</f>
        <v>0</v>
      </c>
      <c r="E21" s="127">
        <f>'数据-取费表'!B27</f>
        <v>0</v>
      </c>
      <c r="F21" s="2387"/>
      <c r="G21" s="1114"/>
      <c r="H21" s="2402"/>
      <c r="I21" s="2402"/>
      <c r="J21" s="2402"/>
      <c r="K21" s="2444"/>
      <c r="L21" s="2250"/>
      <c r="M21" s="2250"/>
      <c r="N21" s="2250"/>
      <c r="O21" s="2250"/>
      <c r="P21" s="2250"/>
      <c r="Q21" s="2250"/>
      <c r="R21" s="2250"/>
      <c r="S21" s="2250"/>
      <c r="T21" s="2250"/>
      <c r="U21" s="2250"/>
      <c r="V21" s="2250"/>
      <c r="W21" s="2250"/>
      <c r="X21" s="2250"/>
      <c r="Y21" s="2250"/>
      <c r="Z21" s="2250"/>
    </row>
    <row r="22" spans="1:26" s="2249" customFormat="1" ht="13.5" customHeight="1">
      <c r="A22" s="2381" t="s">
        <v>928</v>
      </c>
      <c r="B22" s="2382" t="s">
        <v>999</v>
      </c>
      <c r="C22" s="127">
        <f ca="1">ROUND(D22*E22/10000,0)</f>
        <v>930</v>
      </c>
      <c r="D22" s="2383">
        <f ca="1">IF(B1="",'数据-汇总表'!E6,IF(INDIRECT("'数据-取费表'!c"&amp;$K$1)="住宅",INDIRECT("'数据-取费表'!s"&amp;$K$1),INDIRECT("'数据-取费表'!k"&amp;$K$1)+INDIRECT("'数据-取费表'!s"&amp;$K$1)))</f>
        <v>46494.69</v>
      </c>
      <c r="E22" s="127">
        <f>'数据-取费表'!B28</f>
        <v>200</v>
      </c>
      <c r="F22" s="2387"/>
      <c r="G22" s="1114"/>
      <c r="H22" s="2402"/>
      <c r="I22" s="2402"/>
      <c r="J22" s="2402"/>
      <c r="K22" s="2444"/>
      <c r="L22" s="2250"/>
      <c r="M22" s="2250"/>
      <c r="N22" s="2250"/>
      <c r="O22" s="2250"/>
      <c r="P22" s="2250"/>
      <c r="Q22" s="2250"/>
      <c r="R22" s="2250"/>
      <c r="S22" s="2250"/>
      <c r="T22" s="2250"/>
      <c r="U22" s="2250"/>
      <c r="V22" s="2250"/>
      <c r="W22" s="2250"/>
      <c r="X22" s="2250"/>
      <c r="Y22" s="2250"/>
      <c r="Z22" s="2250"/>
    </row>
    <row r="23" spans="1:26" s="2249" customFormat="1" ht="13.5" customHeight="1">
      <c r="A23" s="2391" t="s">
        <v>1000</v>
      </c>
      <c r="B23" s="2403" t="s">
        <v>1001</v>
      </c>
      <c r="C23" s="2393">
        <f ca="1">ROUND((C18+C19+C20)*F23,0)</f>
        <v>303</v>
      </c>
      <c r="D23" s="2395"/>
      <c r="E23" s="2395"/>
      <c r="F23" s="2404">
        <f>'数据-取费表'!B37</f>
        <v>0.02</v>
      </c>
      <c r="G23" s="2377" t="s">
        <v>1002</v>
      </c>
      <c r="H23" s="2380"/>
      <c r="I23" s="2380"/>
      <c r="J23" s="2380"/>
      <c r="K23" s="2440"/>
      <c r="L23" s="2445"/>
      <c r="M23" s="2445"/>
      <c r="N23" s="2445"/>
      <c r="O23" s="2250"/>
      <c r="P23" s="2250"/>
      <c r="Q23" s="2250"/>
      <c r="R23" s="2250"/>
      <c r="S23" s="2250"/>
      <c r="T23" s="2250"/>
      <c r="U23" s="2250"/>
      <c r="V23" s="2250"/>
      <c r="W23" s="2250"/>
      <c r="X23" s="2250"/>
      <c r="Y23" s="2250"/>
      <c r="Z23" s="2250"/>
    </row>
    <row r="24" spans="1:26" s="2249" customFormat="1" ht="13.5" customHeight="1">
      <c r="A24" s="2391" t="s">
        <v>1003</v>
      </c>
      <c r="B24" s="2403" t="s">
        <v>1004</v>
      </c>
      <c r="C24" s="2393">
        <f ca="1">ROUND(C6*F24,0)</f>
        <v>440</v>
      </c>
      <c r="D24" s="2389"/>
      <c r="E24" s="2405"/>
      <c r="F24" s="2404">
        <f>'数据-取费表'!B38</f>
        <v>0.02</v>
      </c>
      <c r="G24" s="2406" t="s">
        <v>1005</v>
      </c>
      <c r="H24" s="2390"/>
      <c r="I24" s="2390"/>
      <c r="J24" s="2390"/>
      <c r="K24" s="2441"/>
      <c r="L24" s="2445"/>
      <c r="M24" s="2445"/>
      <c r="N24" s="2445"/>
      <c r="O24" s="2250"/>
      <c r="P24" s="2250"/>
      <c r="Q24" s="2250"/>
      <c r="R24" s="2250"/>
      <c r="S24" s="2250"/>
      <c r="T24" s="2250"/>
      <c r="U24" s="2250"/>
      <c r="V24" s="2250"/>
      <c r="W24" s="2250"/>
      <c r="X24" s="2250"/>
      <c r="Y24" s="2250"/>
      <c r="Z24" s="2250"/>
    </row>
    <row r="25" spans="1:26" s="2251" customFormat="1" ht="13.5" customHeight="1">
      <c r="A25" s="2391" t="s">
        <v>1006</v>
      </c>
      <c r="B25" s="2403" t="s">
        <v>1007</v>
      </c>
      <c r="C25" s="2407">
        <f>ROUND(F25/(1+'数据-取费表'!C42),4)</f>
        <v>2.9000000000000001E-2</v>
      </c>
      <c r="D25" s="2298" t="s">
        <v>1008</v>
      </c>
      <c r="E25" s="2408"/>
      <c r="F25" s="2404">
        <f>IF(项目基本情况!B8="出让",0,'数据-取费表'!B48+'数据-取费表'!B49)</f>
        <v>3.0499999999999999E-2</v>
      </c>
      <c r="G25" s="2409" t="s">
        <v>1009</v>
      </c>
      <c r="H25" s="2380"/>
      <c r="I25" s="2380"/>
      <c r="J25" s="2380"/>
      <c r="K25" s="2440"/>
      <c r="L25" s="2345"/>
      <c r="M25" s="2345"/>
      <c r="N25" s="2345"/>
      <c r="O25" s="2345"/>
      <c r="P25" s="2345"/>
      <c r="Q25" s="2345"/>
      <c r="R25" s="2345"/>
      <c r="S25" s="2345"/>
      <c r="T25" s="2345"/>
      <c r="U25" s="2345"/>
      <c r="V25" s="2345"/>
      <c r="W25" s="2345"/>
      <c r="X25" s="2345"/>
      <c r="Y25" s="2345"/>
      <c r="Z25" s="2345"/>
    </row>
    <row r="26" spans="1:26" s="2357" customFormat="1" ht="13.5" customHeight="1">
      <c r="A26" s="2391" t="s">
        <v>1010</v>
      </c>
      <c r="B26" s="2410" t="s">
        <v>1011</v>
      </c>
      <c r="C26" s="2411">
        <f ca="1">C28</f>
        <v>274</v>
      </c>
      <c r="D26" s="2407">
        <f ca="1">C27</f>
        <v>3.5499999999999997E-2</v>
      </c>
      <c r="E26" s="2408" t="s">
        <v>1008</v>
      </c>
      <c r="F26" s="2302">
        <f ca="1">'数据-取费表'!B40</f>
        <v>3.4500000000000003E-2</v>
      </c>
      <c r="G26" s="1042" t="str">
        <f>IF('数据-取费表'!B22&lt;=1,"单利计息。","复利计息。")&amp;"后续开发成本、管理费用及销售费用产生的利息。"</f>
        <v>单利计息。后续开发成本、管理费用及销售费用产生的利息。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3" customFormat="1" ht="13.5" customHeight="1">
      <c r="A27" s="1247" t="s">
        <v>924</v>
      </c>
      <c r="B27" s="2412" t="s">
        <v>1012</v>
      </c>
      <c r="C27" s="2413">
        <f ca="1">ROUND(IF('数据-取费表'!B22&lt;=1,(1+C25)*F26*'数据-取费表'!B24,(1+C25)*(POWER((1+F26),'数据-取费表'!B24)-1)),4)</f>
        <v>3.5499999999999997E-2</v>
      </c>
      <c r="D27" s="2414"/>
      <c r="E27" s="2405"/>
      <c r="F27" s="2415"/>
      <c r="G27" s="1042" t="str">
        <f>IF('数据-取费表'!B22&lt;=1,"（1+取得税费率/(1+5%)）×年利率×建设期","（1+取得税费率）/(1+5%)×((1+年利率)^建设期-1)")</f>
        <v>（1+取得税费率/(1+5%)）×年利率×建设期</v>
      </c>
      <c r="H27" s="2390"/>
      <c r="I27" s="2390"/>
      <c r="J27" s="2390"/>
      <c r="K27" s="2441"/>
      <c r="L27" s="2349"/>
      <c r="M27" s="2349"/>
      <c r="N27" s="2349"/>
      <c r="O27" s="2349"/>
      <c r="P27" s="2349"/>
      <c r="Q27" s="2349"/>
      <c r="R27" s="2349"/>
      <c r="S27" s="2349"/>
      <c r="T27" s="2349"/>
      <c r="U27" s="2349"/>
      <c r="V27" s="2349"/>
      <c r="W27" s="2349"/>
      <c r="X27" s="2349"/>
      <c r="Y27" s="2349"/>
      <c r="Z27" s="2349"/>
    </row>
    <row r="28" spans="1:26" s="2253" customFormat="1" ht="13.5" customHeight="1">
      <c r="A28" s="1247" t="s">
        <v>928</v>
      </c>
      <c r="B28" s="2412" t="s">
        <v>1013</v>
      </c>
      <c r="C28" s="2416">
        <f ca="1">ROUND(IF('数据-取费表'!B22&lt;=1,(C18+C19+C20+C23+C24)*F26*'数据-取费表'!B24/2,(C18+C19+C20+C23+C24)*(POWER((1+F26),'数据-取费表'!B24/2)-1)),0)</f>
        <v>274</v>
      </c>
      <c r="D28" s="2414"/>
      <c r="E28" s="2405"/>
      <c r="F28" s="2415"/>
      <c r="G28" s="1042" t="str">
        <f>IF('数据-取费表'!B22&lt;=1,"（1）-（4）项×年利率×建设期÷2","（1）-（4）项×((1+年利率)^(建设期÷2)-1)")</f>
        <v>（1）-（4）项×年利率×建设期÷2</v>
      </c>
      <c r="H28" s="2390"/>
      <c r="I28" s="2390"/>
      <c r="J28" s="2390"/>
      <c r="K28" s="2441"/>
      <c r="L28" s="2349"/>
      <c r="M28" s="2349"/>
      <c r="N28" s="2349"/>
      <c r="O28" s="2349"/>
      <c r="P28" s="2349"/>
      <c r="Q28" s="2349"/>
      <c r="R28" s="2349"/>
      <c r="S28" s="2349"/>
      <c r="T28" s="2349"/>
      <c r="U28" s="2349"/>
      <c r="V28" s="2349"/>
      <c r="W28" s="2349"/>
      <c r="X28" s="2349"/>
      <c r="Y28" s="2349"/>
      <c r="Z28" s="2349"/>
    </row>
    <row r="29" spans="1:26" s="2253" customFormat="1" ht="13.5" customHeight="1">
      <c r="A29" s="2417" t="s">
        <v>1014</v>
      </c>
      <c r="B29" s="2392" t="s">
        <v>1015</v>
      </c>
      <c r="C29" s="2393">
        <f ca="1">ROUND(C6*F29/(1+'数据-取费表'!C42),0)</f>
        <v>1151</v>
      </c>
      <c r="D29" s="2395"/>
      <c r="E29" s="2395"/>
      <c r="F29" s="2418">
        <f>'数据-取费表'!B41</f>
        <v>5.5E-2</v>
      </c>
      <c r="G29" s="2406" t="s">
        <v>1016</v>
      </c>
      <c r="H29" s="2380"/>
      <c r="I29" s="2380"/>
      <c r="J29" s="2380"/>
      <c r="K29" s="2440"/>
      <c r="L29" s="2349"/>
      <c r="M29" s="2349"/>
      <c r="N29" s="2349"/>
      <c r="O29" s="2349"/>
      <c r="P29" s="2349"/>
      <c r="Q29" s="2349"/>
      <c r="R29" s="2349"/>
      <c r="S29" s="2349"/>
      <c r="T29" s="2349"/>
      <c r="U29" s="2349"/>
      <c r="V29" s="2349"/>
      <c r="W29" s="2349"/>
      <c r="X29" s="2349"/>
      <c r="Y29" s="2349"/>
      <c r="Z29" s="2349"/>
    </row>
    <row r="30" spans="1:26" s="2252" customFormat="1" ht="13.5" customHeight="1">
      <c r="A30" s="2419" t="s">
        <v>1017</v>
      </c>
      <c r="B30" s="2420" t="s">
        <v>1018</v>
      </c>
      <c r="C30" s="2411">
        <f ca="1">C31</f>
        <v>17321</v>
      </c>
      <c r="D30" s="2421">
        <f ca="1">C32</f>
        <v>6.4500000000000002E-2</v>
      </c>
      <c r="E30" s="2408" t="s">
        <v>1008</v>
      </c>
      <c r="F30" s="2302"/>
      <c r="G30" s="2409" t="s">
        <v>1019</v>
      </c>
      <c r="H30" s="2380"/>
      <c r="I30" s="2380"/>
      <c r="J30" s="2380"/>
      <c r="K30" s="2440"/>
      <c r="L30" s="2346"/>
      <c r="M30" s="2346"/>
      <c r="N30" s="2346"/>
      <c r="O30" s="2346"/>
      <c r="P30" s="2346"/>
      <c r="Q30" s="2346"/>
      <c r="R30" s="2346"/>
      <c r="S30" s="2346"/>
      <c r="T30" s="2346"/>
      <c r="U30" s="2346"/>
      <c r="V30" s="2346"/>
      <c r="W30" s="2346"/>
      <c r="X30" s="2346"/>
      <c r="Y30" s="2346"/>
      <c r="Z30" s="2346"/>
    </row>
    <row r="31" spans="1:26" s="2253" customFormat="1" ht="13.5" customHeight="1">
      <c r="A31" s="1247" t="s">
        <v>924</v>
      </c>
      <c r="B31" s="2412"/>
      <c r="C31" s="2286">
        <f ca="1">C18+C19+C20+C23+C24+C26+C29</f>
        <v>17321</v>
      </c>
      <c r="D31" s="2414"/>
      <c r="E31" s="2405"/>
      <c r="F31" s="2415"/>
      <c r="G31" s="1038"/>
      <c r="H31" s="2390"/>
      <c r="I31" s="2390"/>
      <c r="J31" s="2390"/>
      <c r="K31" s="2441"/>
      <c r="L31" s="2349"/>
      <c r="M31" s="2349"/>
      <c r="N31" s="2349"/>
      <c r="O31" s="2349"/>
      <c r="P31" s="2349"/>
      <c r="Q31" s="2349"/>
      <c r="R31" s="2349"/>
      <c r="S31" s="2349"/>
      <c r="T31" s="2349"/>
      <c r="U31" s="2349"/>
      <c r="V31" s="2349"/>
      <c r="W31" s="2349"/>
      <c r="X31" s="2349"/>
      <c r="Y31" s="2349"/>
      <c r="Z31" s="2349"/>
    </row>
    <row r="32" spans="1:26" s="2253" customFormat="1" ht="13.5" customHeight="1">
      <c r="A32" s="1247" t="s">
        <v>928</v>
      </c>
      <c r="B32" s="2412"/>
      <c r="C32" s="127">
        <f ca="1">ROUND(C25+D26,4)</f>
        <v>6.4500000000000002E-2</v>
      </c>
      <c r="D32" s="2414"/>
      <c r="E32" s="2405"/>
      <c r="F32" s="2415"/>
      <c r="G32" s="1038"/>
      <c r="H32" s="2390"/>
      <c r="I32" s="2390"/>
      <c r="J32" s="2390"/>
      <c r="K32" s="2441"/>
      <c r="L32" s="2349"/>
      <c r="M32" s="2349"/>
      <c r="N32" s="2349"/>
      <c r="O32" s="2349"/>
      <c r="P32" s="2349"/>
      <c r="Q32" s="2349"/>
      <c r="R32" s="2349"/>
      <c r="S32" s="2349"/>
      <c r="T32" s="2349"/>
      <c r="U32" s="2349"/>
      <c r="V32" s="2349"/>
      <c r="W32" s="2349"/>
      <c r="X32" s="2349"/>
      <c r="Y32" s="2349"/>
      <c r="Z32" s="2349"/>
    </row>
    <row r="33" spans="1:26" s="2358" customFormat="1" ht="13.5" customHeight="1">
      <c r="A33" s="2422" t="s">
        <v>1020</v>
      </c>
      <c r="B33" s="2303" t="s">
        <v>1021</v>
      </c>
      <c r="C33" s="2304">
        <f ca="1">C35</f>
        <v>795</v>
      </c>
      <c r="D33" s="2407">
        <f ca="1">C34</f>
        <v>5.1499999999999997E-2</v>
      </c>
      <c r="E33" s="2408" t="s">
        <v>1008</v>
      </c>
      <c r="F33" s="2184">
        <f ca="1">IF(B1="",'数据-取费表'!Q16,INDIRECT("'数据-取费表'!q"&amp;$K$1))</f>
        <v>0.05</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9" customFormat="1" ht="13.5" customHeight="1">
      <c r="A34" s="2423" t="s">
        <v>924</v>
      </c>
      <c r="B34" s="2424" t="s">
        <v>1022</v>
      </c>
      <c r="C34" s="2414">
        <f ca="1">ROUND((1+C25)*F33,4)</f>
        <v>5.1499999999999997E-2</v>
      </c>
      <c r="D34" s="2414"/>
      <c r="E34" s="2405"/>
      <c r="F34" s="2425"/>
      <c r="G34" s="1038" t="s">
        <v>1023</v>
      </c>
      <c r="H34" s="2390"/>
      <c r="I34" s="2390"/>
      <c r="J34" s="2390"/>
      <c r="K34" s="2441"/>
      <c r="L34" s="2447"/>
      <c r="M34" s="2447"/>
      <c r="N34" s="2447"/>
      <c r="O34" s="2447"/>
      <c r="P34" s="2447"/>
      <c r="Q34" s="2447"/>
      <c r="R34" s="2447"/>
      <c r="S34" s="2447"/>
      <c r="T34" s="2447"/>
      <c r="U34" s="2447"/>
      <c r="V34" s="2447"/>
      <c r="W34" s="2447"/>
      <c r="X34" s="2447"/>
      <c r="Y34" s="2447"/>
      <c r="Z34" s="2447"/>
    </row>
    <row r="35" spans="1:26" s="2359" customFormat="1" ht="13.5" customHeight="1">
      <c r="A35" s="2426" t="s">
        <v>928</v>
      </c>
      <c r="B35" s="2427" t="s">
        <v>1024</v>
      </c>
      <c r="C35" s="2428">
        <f ca="1">ROUND((C18+C19+C20+C23+C24)*F33,0)</f>
        <v>795</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0" customFormat="1" ht="13.5" customHeight="1">
      <c r="A36" s="2433" t="s">
        <v>1025</v>
      </c>
      <c r="B36" s="2434"/>
      <c r="C36" s="2435">
        <f ca="1">ROUND((C6-C30-C33)/(1+D30+D33),0)</f>
        <v>3462</v>
      </c>
      <c r="D36" s="2434"/>
      <c r="E36" s="2434"/>
      <c r="F36" s="2434"/>
      <c r="G36" s="2436" t="s">
        <v>1026</v>
      </c>
      <c r="H36" s="2434"/>
      <c r="I36" s="2434"/>
      <c r="J36" s="2434"/>
      <c r="K36" s="2449"/>
      <c r="L36" s="2343"/>
      <c r="M36" s="2343"/>
      <c r="N36" s="2343"/>
      <c r="O36" s="2343"/>
      <c r="P36" s="2343"/>
      <c r="Q36" s="2343"/>
      <c r="R36" s="2343"/>
      <c r="S36" s="2343"/>
      <c r="T36" s="2343"/>
      <c r="U36" s="2343"/>
      <c r="V36" s="2343"/>
      <c r="W36" s="2343"/>
      <c r="X36" s="2343"/>
      <c r="Y36" s="2343"/>
      <c r="Z36" s="2343"/>
    </row>
    <row r="37" spans="1:26" s="2248" customFormat="1">
      <c r="A37" s="2331"/>
      <c r="C37" s="2332"/>
      <c r="E37" s="2331"/>
    </row>
    <row r="38" spans="1:26" s="2248" customFormat="1" ht="12.75" customHeight="1">
      <c r="A38" s="2331"/>
      <c r="C38" s="2332"/>
      <c r="E38" s="2331"/>
    </row>
    <row r="39" spans="1:26" s="2248" customFormat="1">
      <c r="A39" s="2331"/>
      <c r="C39" s="2332"/>
      <c r="E39" s="2331"/>
    </row>
    <row r="40" spans="1:26" s="2248" customFormat="1">
      <c r="A40" s="2331"/>
      <c r="C40" s="2332"/>
      <c r="E40" s="2331"/>
    </row>
    <row r="41" spans="1:26" s="2248" customFormat="1">
      <c r="A41" s="2331"/>
      <c r="C41" s="2332"/>
      <c r="E41" s="2331"/>
    </row>
    <row r="42" spans="1:26" s="2248" customFormat="1">
      <c r="A42" s="2331"/>
      <c r="C42" s="2332"/>
      <c r="E42" s="2331"/>
    </row>
    <row r="43" spans="1:26" s="2248" customFormat="1">
      <c r="A43" s="2331"/>
      <c r="C43" s="2332"/>
      <c r="E43" s="2331"/>
    </row>
    <row r="44" spans="1:26" s="2248" customFormat="1">
      <c r="A44" s="2331"/>
      <c r="C44" s="2332"/>
      <c r="E44" s="2331"/>
    </row>
    <row r="45" spans="1:26" s="2248" customFormat="1">
      <c r="A45" s="2331"/>
      <c r="C45" s="2332"/>
      <c r="E45" s="2331"/>
    </row>
    <row r="46" spans="1:26" s="2248" customFormat="1">
      <c r="A46" s="2331"/>
      <c r="C46" s="2332"/>
      <c r="E46" s="2331"/>
    </row>
    <row r="47" spans="1:26" s="2248" customFormat="1">
      <c r="A47" s="2331"/>
      <c r="C47" s="2332"/>
      <c r="E47" s="2331"/>
    </row>
    <row r="48" spans="1:26"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row r="212" spans="1:5" s="2248" customFormat="1">
      <c r="A212" s="2331"/>
      <c r="C212" s="2332"/>
      <c r="E212" s="2331"/>
    </row>
    <row r="213" spans="1:5" s="2248" customFormat="1">
      <c r="A213" s="2331"/>
      <c r="C213" s="2332"/>
      <c r="E213" s="2331"/>
    </row>
    <row r="214" spans="1:5" s="2248" customFormat="1">
      <c r="A214" s="2331"/>
      <c r="C214" s="2332"/>
      <c r="E214" s="2331"/>
    </row>
    <row r="215" spans="1:5" s="2248" customFormat="1">
      <c r="A215" s="2331"/>
      <c r="C215" s="2332"/>
      <c r="E215" s="2331"/>
    </row>
    <row r="216" spans="1:5" s="2248" customFormat="1">
      <c r="A216" s="2331"/>
      <c r="C216" s="2332"/>
      <c r="E216" s="2331"/>
    </row>
    <row r="217" spans="1:5" s="2248" customFormat="1">
      <c r="A217" s="2331"/>
      <c r="C217" s="2332"/>
      <c r="E217" s="2331"/>
    </row>
    <row r="218" spans="1:5" s="2248" customFormat="1">
      <c r="A218" s="2331"/>
      <c r="C218" s="2332"/>
      <c r="E218" s="2331"/>
    </row>
    <row r="219" spans="1:5" s="2248" customFormat="1">
      <c r="A219" s="2331"/>
      <c r="C219" s="2332"/>
      <c r="E219" s="2331"/>
    </row>
    <row r="220" spans="1:5" s="2248" customFormat="1">
      <c r="A220" s="2331"/>
      <c r="C220" s="2332"/>
      <c r="E220" s="2331"/>
    </row>
    <row r="221" spans="1:5" s="2248" customFormat="1">
      <c r="A221" s="2331"/>
      <c r="C221" s="2332"/>
      <c r="E221" s="2331"/>
    </row>
    <row r="222" spans="1:5" s="2248" customFormat="1">
      <c r="A222" s="2331"/>
      <c r="C222" s="2332"/>
      <c r="E222" s="2331"/>
    </row>
    <row r="223" spans="1:5" s="2248" customFormat="1">
      <c r="A223" s="2331"/>
      <c r="C223" s="2332"/>
      <c r="E223" s="2331"/>
    </row>
    <row r="224" spans="1:5" s="2248" customFormat="1">
      <c r="A224" s="2331"/>
      <c r="C224" s="2332"/>
      <c r="E224" s="2331"/>
    </row>
    <row r="225" spans="1:5" s="2248" customFormat="1">
      <c r="A225" s="2331"/>
      <c r="C225" s="2332"/>
      <c r="E225" s="2331"/>
    </row>
    <row r="226" spans="1:5" s="2248" customFormat="1">
      <c r="A226" s="2331"/>
      <c r="C226" s="2332"/>
      <c r="E226" s="2331"/>
    </row>
    <row r="227" spans="1:5" s="2248" customFormat="1">
      <c r="A227" s="2331"/>
      <c r="C227" s="2332"/>
      <c r="E227" s="2331"/>
    </row>
    <row r="228" spans="1:5" s="2248" customFormat="1">
      <c r="A228" s="2331"/>
      <c r="C228" s="2332"/>
      <c r="E228" s="2331"/>
    </row>
    <row r="229" spans="1:5" s="2248" customFormat="1">
      <c r="A229" s="2331"/>
      <c r="C229" s="2332"/>
      <c r="E229" s="2331"/>
    </row>
    <row r="230" spans="1:5" s="2248" customFormat="1">
      <c r="A230" s="2331"/>
      <c r="C230" s="2332"/>
      <c r="E230" s="2331"/>
    </row>
    <row r="231" spans="1:5" s="2248" customFormat="1">
      <c r="A231" s="2331"/>
      <c r="C231" s="2332"/>
      <c r="E231" s="2331"/>
    </row>
    <row r="232" spans="1:5" s="2248" customFormat="1">
      <c r="A232" s="2331"/>
      <c r="C232" s="2332"/>
      <c r="E232" s="2331"/>
    </row>
    <row r="233" spans="1:5" s="2248" customFormat="1">
      <c r="A233" s="2331"/>
      <c r="C233" s="2332"/>
      <c r="E233" s="2331"/>
    </row>
    <row r="234" spans="1:5" s="2248" customFormat="1">
      <c r="A234" s="2331"/>
      <c r="C234" s="2332"/>
      <c r="E234" s="2331"/>
    </row>
    <row r="235" spans="1:5" s="2248" customFormat="1">
      <c r="A235" s="2331"/>
      <c r="C235" s="2332"/>
      <c r="E235" s="2331"/>
    </row>
    <row r="236" spans="1:5" s="2248" customFormat="1">
      <c r="A236" s="2331"/>
      <c r="C236" s="2332"/>
      <c r="E236" s="2331"/>
    </row>
    <row r="237" spans="1:5" s="2248" customFormat="1">
      <c r="A237" s="2331"/>
      <c r="C237" s="2332"/>
      <c r="E237" s="2331"/>
    </row>
    <row r="238" spans="1:5" s="2248" customFormat="1">
      <c r="A238" s="2331"/>
      <c r="C238" s="2332"/>
      <c r="E238" s="2331"/>
    </row>
    <row r="239" spans="1:5" s="2248" customFormat="1">
      <c r="A239" s="2331"/>
      <c r="C239" s="2332"/>
      <c r="E239" s="2331"/>
    </row>
    <row r="240" spans="1:5" s="2248" customFormat="1">
      <c r="A240" s="2331"/>
      <c r="C240" s="2332"/>
      <c r="E240" s="2331"/>
    </row>
    <row r="241" spans="1:5" s="2248" customFormat="1">
      <c r="A241" s="2331"/>
      <c r="C241" s="2332"/>
      <c r="E241" s="2331"/>
    </row>
    <row r="242" spans="1:5" s="2248" customFormat="1">
      <c r="A242" s="2331"/>
      <c r="C242" s="2332"/>
      <c r="E242" s="2331"/>
    </row>
    <row r="243" spans="1:5" s="2248" customFormat="1">
      <c r="A243" s="2331"/>
      <c r="C243" s="2332"/>
      <c r="E243" s="2331"/>
    </row>
    <row r="244" spans="1:5" s="2248" customFormat="1">
      <c r="A244" s="2331"/>
      <c r="C244" s="2332"/>
      <c r="E244" s="2331"/>
    </row>
    <row r="245" spans="1:5" s="2248" customFormat="1">
      <c r="A245" s="2331"/>
      <c r="C245" s="2332"/>
      <c r="E245" s="2331"/>
    </row>
    <row r="246" spans="1:5" s="2248" customFormat="1">
      <c r="A246" s="2331"/>
      <c r="C246" s="2332"/>
      <c r="E246" s="2331"/>
    </row>
    <row r="247" spans="1:5" s="2248" customFormat="1">
      <c r="A247" s="2331"/>
      <c r="C247" s="2332"/>
      <c r="E247" s="2331"/>
    </row>
    <row r="248" spans="1:5" s="2248" customFormat="1">
      <c r="A248" s="2331"/>
      <c r="C248" s="2332"/>
      <c r="E248" s="2331"/>
    </row>
    <row r="249" spans="1:5" s="2248" customFormat="1">
      <c r="A249" s="2331"/>
      <c r="C249" s="2332"/>
      <c r="E249" s="2331"/>
    </row>
    <row r="250" spans="1:5" s="2248" customFormat="1">
      <c r="A250" s="2331"/>
      <c r="C250" s="2332"/>
      <c r="E250" s="2331"/>
    </row>
    <row r="251" spans="1:5" s="2248" customFormat="1">
      <c r="A251" s="2331"/>
      <c r="C251" s="2332"/>
      <c r="E251" s="2331"/>
    </row>
    <row r="252" spans="1:5" s="2248" customFormat="1">
      <c r="A252" s="2331"/>
      <c r="C252" s="2332"/>
      <c r="E252" s="2331"/>
    </row>
    <row r="253" spans="1:5" s="2248" customFormat="1">
      <c r="A253" s="2331"/>
      <c r="C253" s="2332"/>
      <c r="E253" s="2331"/>
    </row>
    <row r="254" spans="1:5" s="2248" customFormat="1">
      <c r="A254" s="2331"/>
      <c r="C254" s="2332"/>
      <c r="E254" s="2331"/>
    </row>
    <row r="255" spans="1:5" s="2248" customFormat="1">
      <c r="A255" s="2331"/>
      <c r="C255" s="2332"/>
      <c r="E255" s="2331"/>
    </row>
    <row r="256" spans="1:5" s="2248" customFormat="1">
      <c r="A256" s="2331"/>
      <c r="C256" s="2332"/>
      <c r="E256" s="2331"/>
    </row>
    <row r="257" spans="1:5" s="2248" customFormat="1">
      <c r="A257" s="2331"/>
      <c r="C257" s="2332"/>
      <c r="E257" s="2331"/>
    </row>
    <row r="258" spans="1:5" s="2248" customFormat="1">
      <c r="A258" s="2331"/>
      <c r="C258" s="2332"/>
      <c r="E258" s="2331"/>
    </row>
    <row r="259" spans="1:5" s="2248" customFormat="1">
      <c r="A259" s="2331"/>
      <c r="C259" s="2332"/>
      <c r="E259" s="2331"/>
    </row>
    <row r="260" spans="1:5" s="2248" customFormat="1">
      <c r="A260" s="2331"/>
      <c r="C260" s="2332"/>
      <c r="E260" s="2331"/>
    </row>
    <row r="261" spans="1:5" s="2248" customFormat="1">
      <c r="A261" s="2331"/>
      <c r="C261" s="2332"/>
      <c r="E261" s="2331"/>
    </row>
    <row r="262" spans="1:5" s="2248" customFormat="1">
      <c r="A262" s="2331"/>
      <c r="C262" s="2332"/>
      <c r="E262" s="2331"/>
    </row>
    <row r="263" spans="1:5" s="2248" customFormat="1">
      <c r="A263" s="2331"/>
      <c r="C263" s="2332"/>
      <c r="E263" s="2331"/>
    </row>
    <row r="264" spans="1:5" s="2248" customFormat="1">
      <c r="A264" s="2331"/>
      <c r="C264" s="2332"/>
      <c r="E264" s="2331"/>
    </row>
    <row r="265" spans="1:5" s="2248" customFormat="1">
      <c r="A265" s="2331"/>
      <c r="C265" s="2332"/>
      <c r="E265" s="2331"/>
    </row>
    <row r="266" spans="1:5" s="2248" customFormat="1">
      <c r="A266" s="2331"/>
      <c r="C266" s="2332"/>
      <c r="E266" s="2331"/>
    </row>
    <row r="267" spans="1:5" s="2248" customFormat="1">
      <c r="A267" s="2331"/>
      <c r="C267" s="2332"/>
      <c r="E267" s="2331"/>
    </row>
    <row r="268" spans="1:5" s="2248" customFormat="1">
      <c r="A268" s="2331"/>
      <c r="C268" s="2332"/>
      <c r="E268" s="2331"/>
    </row>
    <row r="269" spans="1:5" s="2248" customFormat="1">
      <c r="A269" s="2331"/>
      <c r="C269" s="2332"/>
      <c r="E269" s="2331"/>
    </row>
    <row r="270" spans="1:5" s="2248" customFormat="1">
      <c r="A270" s="2331"/>
      <c r="C270" s="2332"/>
      <c r="E270" s="2331"/>
    </row>
    <row r="271" spans="1:5" s="2248" customFormat="1">
      <c r="A271" s="2331"/>
      <c r="C271" s="2332"/>
      <c r="E271" s="2331"/>
    </row>
    <row r="272" spans="1:5" s="2248" customFormat="1">
      <c r="A272" s="2331"/>
      <c r="C272" s="2332"/>
      <c r="E272" s="2331"/>
    </row>
    <row r="273" spans="1:5" s="2248" customFormat="1">
      <c r="A273" s="2331"/>
      <c r="C273" s="2332"/>
      <c r="E273" s="2331"/>
    </row>
    <row r="274" spans="1:5" s="2248" customFormat="1">
      <c r="A274" s="2331"/>
      <c r="C274" s="2332"/>
      <c r="E274" s="2331"/>
    </row>
    <row r="275" spans="1:5" s="2248" customFormat="1">
      <c r="A275" s="2331"/>
      <c r="C275" s="2332"/>
      <c r="E275" s="2331"/>
    </row>
    <row r="276" spans="1:5" s="2248" customFormat="1">
      <c r="A276" s="2331"/>
      <c r="C276" s="2332"/>
      <c r="E276" s="2331"/>
    </row>
    <row r="277" spans="1:5" s="2248" customFormat="1">
      <c r="A277" s="2331"/>
      <c r="C277" s="2332"/>
      <c r="E277" s="2331"/>
    </row>
    <row r="278" spans="1:5" s="2248" customFormat="1">
      <c r="A278" s="2331"/>
      <c r="C278" s="2332"/>
      <c r="E278" s="2331"/>
    </row>
    <row r="279" spans="1:5" s="2248" customFormat="1">
      <c r="A279" s="2331"/>
      <c r="C279" s="2332"/>
      <c r="E279" s="2331"/>
    </row>
    <row r="280" spans="1:5" s="2248" customFormat="1">
      <c r="A280" s="2331"/>
      <c r="C280" s="2332"/>
      <c r="E280" s="2331"/>
    </row>
    <row r="281" spans="1:5" s="2248" customFormat="1">
      <c r="A281" s="2331"/>
      <c r="C281" s="2332"/>
      <c r="E281" s="2331"/>
    </row>
    <row r="282" spans="1:5" s="2248" customFormat="1">
      <c r="A282" s="2331"/>
      <c r="C282" s="2332"/>
      <c r="E282" s="2331"/>
    </row>
    <row r="283" spans="1:5" s="2248" customFormat="1">
      <c r="A283" s="2331"/>
      <c r="C283" s="2332"/>
      <c r="E283" s="2331"/>
    </row>
    <row r="284" spans="1:5" s="2248" customFormat="1">
      <c r="A284" s="2331"/>
      <c r="C284" s="2332"/>
      <c r="E284" s="2331"/>
    </row>
    <row r="285" spans="1:5" s="2248" customFormat="1">
      <c r="A285" s="2331"/>
      <c r="C285" s="2332"/>
      <c r="E285" s="2331"/>
    </row>
    <row r="286" spans="1:5" s="2248" customFormat="1">
      <c r="A286" s="2331"/>
      <c r="C286" s="2332"/>
      <c r="E286" s="2331"/>
    </row>
    <row r="287" spans="1:5" s="2248" customFormat="1">
      <c r="A287" s="2331"/>
      <c r="C287" s="2332"/>
      <c r="E287" s="2331"/>
    </row>
    <row r="288" spans="1:5" s="2248" customFormat="1">
      <c r="A288" s="2331"/>
      <c r="C288" s="2332"/>
      <c r="E288" s="2331"/>
    </row>
    <row r="289" spans="1:5" s="2248" customFormat="1">
      <c r="A289" s="2331"/>
      <c r="C289" s="2332"/>
      <c r="E289" s="2331"/>
    </row>
    <row r="290" spans="1:5" s="2248" customFormat="1">
      <c r="A290" s="2331"/>
      <c r="C290" s="2332"/>
      <c r="E290" s="2331"/>
    </row>
    <row r="291" spans="1:5" s="2248" customFormat="1">
      <c r="A291" s="2331"/>
      <c r="C291" s="2332"/>
      <c r="E291" s="2331"/>
    </row>
    <row r="292" spans="1:5" s="2248" customFormat="1">
      <c r="A292" s="2331"/>
      <c r="C292" s="2332"/>
      <c r="E292" s="2331"/>
    </row>
    <row r="293" spans="1:5" s="2248" customFormat="1">
      <c r="A293" s="2331"/>
      <c r="C293" s="2332"/>
      <c r="E293" s="2331"/>
    </row>
    <row r="294" spans="1:5" s="2248" customFormat="1">
      <c r="A294" s="2331"/>
      <c r="C294" s="2332"/>
      <c r="E294" s="2331"/>
    </row>
    <row r="295" spans="1:5" s="2248" customFormat="1">
      <c r="A295" s="2331"/>
      <c r="C295" s="2332"/>
      <c r="E295" s="2331"/>
    </row>
    <row r="296" spans="1:5" s="2248" customFormat="1">
      <c r="A296" s="2331"/>
      <c r="C296" s="2332"/>
      <c r="E296" s="2331"/>
    </row>
    <row r="297" spans="1:5" s="2248" customFormat="1">
      <c r="A297" s="2331"/>
      <c r="C297" s="2332"/>
      <c r="E297" s="2331"/>
    </row>
    <row r="298" spans="1:5" s="2248" customFormat="1">
      <c r="A298" s="2331"/>
      <c r="C298" s="2332"/>
      <c r="E298" s="2331"/>
    </row>
    <row r="299" spans="1:5" s="2248" customFormat="1">
      <c r="A299" s="2331"/>
      <c r="C299" s="2332"/>
      <c r="E299" s="2331"/>
    </row>
    <row r="300" spans="1:5" s="2248" customFormat="1">
      <c r="A300" s="2331"/>
      <c r="C300" s="2332"/>
      <c r="E300" s="2331"/>
    </row>
    <row r="301" spans="1:5" s="2248" customFormat="1">
      <c r="A301" s="2331"/>
      <c r="C301" s="2332"/>
      <c r="E301" s="2331"/>
    </row>
    <row r="302" spans="1:5" s="2248" customFormat="1">
      <c r="A302" s="2331"/>
      <c r="C302" s="2332"/>
      <c r="E302" s="2331"/>
    </row>
    <row r="303" spans="1:5" s="2248" customFormat="1">
      <c r="A303" s="2331"/>
      <c r="C303" s="2332"/>
      <c r="E303" s="2331"/>
    </row>
    <row r="304" spans="1:5" s="2248" customFormat="1">
      <c r="A304" s="2331"/>
      <c r="C304" s="2332"/>
      <c r="E304" s="2331"/>
    </row>
    <row r="305" spans="1:5" s="2248" customFormat="1">
      <c r="A305" s="2331"/>
      <c r="C305" s="2332"/>
      <c r="E305" s="2331"/>
    </row>
    <row r="306" spans="1:5" s="2248" customFormat="1">
      <c r="A306" s="2331"/>
      <c r="C306" s="2332"/>
      <c r="E306" s="2331"/>
    </row>
    <row r="307" spans="1:5" s="2248" customFormat="1">
      <c r="A307" s="2331"/>
      <c r="C307" s="2332"/>
      <c r="E307" s="2331"/>
    </row>
    <row r="308" spans="1:5" s="2248" customFormat="1">
      <c r="A308" s="2331"/>
      <c r="C308" s="2332"/>
      <c r="E308" s="2331"/>
    </row>
    <row r="309" spans="1:5" s="2248" customFormat="1">
      <c r="A309" s="2331"/>
      <c r="C309" s="2332"/>
      <c r="E309" s="2331"/>
    </row>
    <row r="310" spans="1:5" s="2248" customFormat="1">
      <c r="A310" s="2331"/>
      <c r="C310" s="2332"/>
      <c r="E310" s="2331"/>
    </row>
    <row r="311" spans="1:5" s="2248" customFormat="1">
      <c r="A311" s="2331"/>
      <c r="C311" s="2332"/>
      <c r="E311" s="2331"/>
    </row>
    <row r="312" spans="1:5" s="2248" customFormat="1">
      <c r="A312" s="2331"/>
      <c r="C312" s="2332"/>
      <c r="E312" s="2331"/>
    </row>
    <row r="313" spans="1:5" s="2248" customFormat="1">
      <c r="A313" s="2331"/>
      <c r="C313" s="2332"/>
      <c r="E313" s="2331"/>
    </row>
    <row r="314" spans="1:5" s="2248" customFormat="1">
      <c r="A314" s="2331"/>
      <c r="C314" s="2332"/>
      <c r="E314" s="2331"/>
    </row>
    <row r="315" spans="1:5" s="2248" customFormat="1">
      <c r="A315" s="2331"/>
      <c r="C315" s="2332"/>
      <c r="E315" s="2331"/>
    </row>
    <row r="316" spans="1:5" s="2248" customFormat="1">
      <c r="A316" s="2331"/>
      <c r="C316" s="2332"/>
      <c r="E316" s="2331"/>
    </row>
    <row r="317" spans="1:5" s="2248" customFormat="1">
      <c r="A317" s="2331"/>
      <c r="C317" s="2332"/>
      <c r="E317" s="2331"/>
    </row>
    <row r="318" spans="1:5" s="2248" customFormat="1">
      <c r="A318" s="2331"/>
      <c r="C318" s="2332"/>
      <c r="E318" s="2331"/>
    </row>
    <row r="319" spans="1:5" s="2248" customFormat="1">
      <c r="A319" s="2331"/>
      <c r="C319" s="2332"/>
      <c r="E319" s="2331"/>
    </row>
    <row r="320" spans="1:5" s="2248" customFormat="1">
      <c r="A320" s="2331"/>
      <c r="C320" s="2332"/>
      <c r="E320" s="2331"/>
    </row>
    <row r="321" spans="1:5" s="2248" customFormat="1">
      <c r="A321" s="2331"/>
      <c r="C321" s="2332"/>
      <c r="E321" s="2331"/>
    </row>
    <row r="322" spans="1:5" s="2248" customFormat="1">
      <c r="A322" s="2331"/>
      <c r="C322" s="2332"/>
      <c r="E322" s="2331"/>
    </row>
    <row r="323" spans="1:5" s="2248" customFormat="1">
      <c r="A323" s="2331"/>
      <c r="C323" s="2332"/>
      <c r="E323" s="2331"/>
    </row>
    <row r="324" spans="1:5" s="2248" customFormat="1">
      <c r="A324" s="2331"/>
      <c r="C324" s="2332"/>
      <c r="E324" s="2331"/>
    </row>
    <row r="325" spans="1:5" s="2248" customFormat="1">
      <c r="A325" s="2331"/>
      <c r="C325" s="2332"/>
      <c r="E325" s="2331"/>
    </row>
    <row r="326" spans="1:5" s="2248" customFormat="1">
      <c r="A326" s="2331"/>
      <c r="C326" s="2332"/>
      <c r="E326" s="2331"/>
    </row>
    <row r="327" spans="1:5" s="2248" customFormat="1">
      <c r="A327" s="2331"/>
      <c r="C327" s="2332"/>
      <c r="E327" s="2331"/>
    </row>
    <row r="328" spans="1:5" s="2248" customFormat="1">
      <c r="A328" s="2331"/>
      <c r="C328" s="2332"/>
      <c r="E328" s="2331"/>
    </row>
    <row r="329" spans="1:5" s="2248" customFormat="1">
      <c r="A329" s="2331"/>
      <c r="C329" s="2332"/>
      <c r="E329" s="2331"/>
    </row>
    <row r="330" spans="1:5" s="2248" customFormat="1">
      <c r="A330" s="2331"/>
      <c r="C330" s="2332"/>
      <c r="E330" s="2331"/>
    </row>
    <row r="331" spans="1:5" s="2248" customFormat="1">
      <c r="A331" s="2331"/>
      <c r="C331" s="2332"/>
      <c r="E331" s="2331"/>
    </row>
    <row r="332" spans="1:5" s="2248" customFormat="1">
      <c r="A332" s="2331"/>
      <c r="C332" s="2332"/>
      <c r="E332" s="2331"/>
    </row>
    <row r="333" spans="1:5" s="2248" customFormat="1">
      <c r="A333" s="2331"/>
      <c r="C333" s="2332"/>
      <c r="E333" s="2331"/>
    </row>
    <row r="334" spans="1:5" s="2248" customFormat="1">
      <c r="A334" s="2331"/>
      <c r="C334" s="2332"/>
      <c r="E334" s="2331"/>
    </row>
    <row r="335" spans="1:5" s="2248" customFormat="1">
      <c r="A335" s="2331"/>
      <c r="C335" s="2332"/>
      <c r="E335" s="2331"/>
    </row>
    <row r="336" spans="1:5" s="2248" customFormat="1">
      <c r="A336" s="2331"/>
      <c r="C336" s="2332"/>
      <c r="E336" s="2331"/>
    </row>
    <row r="337" spans="1:5" s="2248" customFormat="1">
      <c r="A337" s="2331"/>
      <c r="C337" s="2332"/>
      <c r="E337" s="2331"/>
    </row>
    <row r="338" spans="1:5" s="2248" customFormat="1">
      <c r="A338" s="2331"/>
      <c r="C338" s="2332"/>
      <c r="E338" s="2331"/>
    </row>
    <row r="339" spans="1:5" s="2248" customFormat="1">
      <c r="A339" s="2331"/>
      <c r="C339" s="2332"/>
      <c r="E339" s="2331"/>
    </row>
    <row r="340" spans="1:5" s="2248" customFormat="1">
      <c r="A340" s="2331"/>
      <c r="C340" s="2332"/>
      <c r="E340" s="2331"/>
    </row>
    <row r="341" spans="1:5" s="2248" customFormat="1">
      <c r="A341" s="2331"/>
      <c r="C341" s="2332"/>
      <c r="E341" s="2331"/>
    </row>
    <row r="342" spans="1:5" s="2248" customFormat="1">
      <c r="A342" s="2331"/>
      <c r="C342" s="2332"/>
      <c r="E342" s="2331"/>
    </row>
    <row r="343" spans="1:5" s="2248" customFormat="1">
      <c r="A343" s="2331"/>
      <c r="C343" s="2332"/>
      <c r="E343" s="2331"/>
    </row>
    <row r="344" spans="1:5" s="2248" customFormat="1">
      <c r="A344" s="2331"/>
      <c r="C344" s="2332"/>
      <c r="E344" s="2331"/>
    </row>
    <row r="345" spans="1:5" s="2248" customFormat="1">
      <c r="A345" s="2331"/>
      <c r="C345" s="2332"/>
      <c r="E345" s="2331"/>
    </row>
    <row r="346" spans="1:5" s="2248" customFormat="1">
      <c r="A346" s="2331"/>
      <c r="C346" s="2332"/>
      <c r="E346" s="2331"/>
    </row>
    <row r="347" spans="1:5" s="2248" customFormat="1">
      <c r="A347" s="2331"/>
      <c r="C347" s="2332"/>
      <c r="E347" s="2331"/>
    </row>
    <row r="348" spans="1:5" s="2248" customFormat="1">
      <c r="A348" s="2331"/>
      <c r="C348" s="2332"/>
      <c r="E348" s="2331"/>
    </row>
    <row r="349" spans="1:5" s="2248" customFormat="1">
      <c r="A349" s="2331"/>
      <c r="C349" s="2332"/>
      <c r="E349" s="2331"/>
    </row>
    <row r="350" spans="1:5" s="2248" customFormat="1">
      <c r="A350" s="2331"/>
      <c r="C350" s="2332"/>
      <c r="E350" s="2331"/>
    </row>
    <row r="351" spans="1:5" s="2248" customFormat="1">
      <c r="A351" s="2331"/>
      <c r="C351" s="2332"/>
      <c r="E351" s="2331"/>
    </row>
    <row r="352" spans="1:5" s="2248" customFormat="1">
      <c r="A352" s="2331"/>
      <c r="C352" s="2332"/>
      <c r="E352" s="2331"/>
    </row>
    <row r="353" spans="1:5" s="2248" customFormat="1">
      <c r="A353" s="2331"/>
      <c r="C353" s="2332"/>
      <c r="E353" s="2331"/>
    </row>
    <row r="354" spans="1:5" s="2248" customFormat="1">
      <c r="A354" s="2331"/>
      <c r="C354" s="2332"/>
      <c r="E354" s="2331"/>
    </row>
    <row r="355" spans="1:5" s="2248" customFormat="1">
      <c r="A355" s="2331"/>
      <c r="C355" s="2332"/>
      <c r="E355" s="2331"/>
    </row>
    <row r="356" spans="1:5" s="2248" customFormat="1">
      <c r="A356" s="2331"/>
      <c r="C356" s="2332"/>
      <c r="E356" s="2331"/>
    </row>
    <row r="357" spans="1:5" s="2248" customFormat="1">
      <c r="A357" s="2331"/>
      <c r="C357" s="2332"/>
      <c r="E357" s="2331"/>
    </row>
    <row r="358" spans="1:5" s="2248" customFormat="1">
      <c r="A358" s="2331"/>
      <c r="C358" s="2332"/>
      <c r="E358" s="2331"/>
    </row>
    <row r="359" spans="1:5" s="2248" customFormat="1">
      <c r="A359" s="2331"/>
      <c r="C359" s="2332"/>
      <c r="E359" s="2331"/>
    </row>
    <row r="360" spans="1:5" s="2248" customFormat="1">
      <c r="A360" s="2331"/>
      <c r="C360" s="2332"/>
      <c r="E360" s="2331"/>
    </row>
    <row r="361" spans="1:5" s="2248" customFormat="1">
      <c r="A361" s="2331"/>
      <c r="C361" s="2332"/>
      <c r="E361" s="2331"/>
    </row>
    <row r="362" spans="1:5" s="2248" customFormat="1">
      <c r="A362" s="2331"/>
      <c r="C362" s="2332"/>
      <c r="E362" s="2331"/>
    </row>
    <row r="363" spans="1:5" s="2248" customFormat="1">
      <c r="A363" s="2331"/>
      <c r="C363" s="2332"/>
      <c r="E363" s="2331"/>
    </row>
    <row r="364" spans="1:5" s="2248" customFormat="1">
      <c r="A364" s="2331"/>
      <c r="C364" s="2332"/>
      <c r="E364" s="2331"/>
    </row>
    <row r="365" spans="1:5" s="2248" customFormat="1">
      <c r="A365" s="2331"/>
      <c r="C365" s="2332"/>
      <c r="E365" s="2331"/>
    </row>
    <row r="366" spans="1:5" s="2248" customFormat="1">
      <c r="A366" s="2331"/>
      <c r="C366" s="2332"/>
      <c r="E366" s="2331"/>
    </row>
    <row r="367" spans="1:5" s="2248" customFormat="1">
      <c r="A367" s="2331"/>
      <c r="C367" s="2332"/>
      <c r="E367" s="2331"/>
    </row>
    <row r="368" spans="1:5" s="2248" customFormat="1">
      <c r="A368" s="2331"/>
      <c r="C368" s="2332"/>
      <c r="E368" s="2331"/>
    </row>
    <row r="369" spans="1:5" s="2248" customFormat="1">
      <c r="A369" s="2331"/>
      <c r="C369" s="2332"/>
      <c r="E369" s="2331"/>
    </row>
    <row r="370" spans="1:5" s="2248" customFormat="1">
      <c r="A370" s="2331"/>
      <c r="C370" s="2332"/>
      <c r="E370" s="2331"/>
    </row>
    <row r="371" spans="1:5" s="2248" customFormat="1">
      <c r="A371" s="2331"/>
      <c r="C371" s="2332"/>
      <c r="E371" s="2331"/>
    </row>
    <row r="372" spans="1:5" s="2248" customFormat="1">
      <c r="A372" s="2331"/>
      <c r="C372" s="2332"/>
      <c r="E372" s="2331"/>
    </row>
    <row r="373" spans="1:5" s="2248" customFormat="1">
      <c r="A373" s="2331"/>
      <c r="C373" s="2332"/>
      <c r="E373" s="2331"/>
    </row>
    <row r="374" spans="1:5" s="2248" customFormat="1">
      <c r="A374" s="2331"/>
      <c r="C374" s="2332"/>
      <c r="E374" s="2331"/>
    </row>
    <row r="375" spans="1:5" s="2248" customFormat="1">
      <c r="A375" s="2331"/>
      <c r="C375" s="2332"/>
      <c r="E375" s="2331"/>
    </row>
    <row r="376" spans="1:5" s="2248" customFormat="1">
      <c r="A376" s="2331"/>
      <c r="C376" s="2332"/>
      <c r="E376" s="2331"/>
    </row>
    <row r="377" spans="1:5" s="2248" customFormat="1">
      <c r="A377" s="2331"/>
      <c r="C377" s="2332"/>
      <c r="E377" s="2331"/>
    </row>
    <row r="378" spans="1:5" s="2248" customFormat="1">
      <c r="A378" s="2331"/>
      <c r="C378" s="2332"/>
      <c r="E378" s="2331"/>
    </row>
    <row r="379" spans="1:5" s="2248" customFormat="1">
      <c r="A379" s="2331"/>
      <c r="C379" s="2332"/>
      <c r="E379" s="2331"/>
    </row>
    <row r="380" spans="1:5" s="2248" customFormat="1">
      <c r="A380" s="2331"/>
      <c r="C380" s="2332"/>
      <c r="E380" s="2331"/>
    </row>
    <row r="381" spans="1:5" s="2248" customFormat="1">
      <c r="A381" s="2331"/>
      <c r="C381" s="2332"/>
      <c r="E381" s="2331"/>
    </row>
    <row r="382" spans="1:5" s="2248" customFormat="1">
      <c r="A382" s="2331"/>
      <c r="C382" s="2332"/>
      <c r="E382" s="2331"/>
    </row>
    <row r="383" spans="1:5" s="2248" customFormat="1">
      <c r="A383" s="2331"/>
      <c r="C383" s="2332"/>
      <c r="E383" s="2331"/>
    </row>
    <row r="384" spans="1:5" s="2248" customFormat="1">
      <c r="A384" s="2331"/>
      <c r="C384" s="2332"/>
      <c r="E384" s="2331"/>
    </row>
    <row r="385" spans="1:5" s="2248" customFormat="1">
      <c r="A385" s="2331"/>
      <c r="C385" s="2332"/>
      <c r="E385" s="2331"/>
    </row>
    <row r="386" spans="1:5" s="2248" customFormat="1">
      <c r="A386" s="2331"/>
      <c r="C386" s="2332"/>
      <c r="E386" s="2331"/>
    </row>
    <row r="387" spans="1:5" s="2248" customFormat="1">
      <c r="A387" s="2331"/>
      <c r="C387" s="2332"/>
      <c r="E387" s="2331"/>
    </row>
    <row r="388" spans="1:5" s="2248" customFormat="1">
      <c r="A388" s="2331"/>
      <c r="C388" s="2332"/>
      <c r="E388" s="2331"/>
    </row>
    <row r="389" spans="1:5" s="2248" customFormat="1">
      <c r="A389" s="2331"/>
      <c r="C389" s="2332"/>
      <c r="E389" s="2331"/>
    </row>
    <row r="390" spans="1:5" s="2248" customFormat="1">
      <c r="A390" s="2331"/>
      <c r="C390" s="2332"/>
      <c r="E390" s="2331"/>
    </row>
    <row r="391" spans="1:5" s="2248" customFormat="1">
      <c r="A391" s="2331"/>
      <c r="C391" s="2332"/>
      <c r="E391" s="2331"/>
    </row>
    <row r="392" spans="1:5" s="2248" customFormat="1">
      <c r="A392" s="2331"/>
      <c r="C392" s="2332"/>
      <c r="E392" s="2331"/>
    </row>
    <row r="393" spans="1:5" s="2248" customFormat="1">
      <c r="A393" s="2331"/>
      <c r="C393" s="2332"/>
      <c r="E393" s="2331"/>
    </row>
    <row r="394" spans="1:5" s="2248" customFormat="1">
      <c r="A394" s="2331"/>
      <c r="C394" s="2332"/>
      <c r="E394" s="2331"/>
    </row>
    <row r="395" spans="1:5" s="2248" customFormat="1">
      <c r="A395" s="2331"/>
      <c r="C395" s="2332"/>
      <c r="E395" s="2331"/>
    </row>
    <row r="396" spans="1:5" s="2248" customFormat="1">
      <c r="A396" s="2331"/>
      <c r="C396" s="2332"/>
      <c r="E396" s="2331"/>
    </row>
    <row r="397" spans="1:5" s="2248" customFormat="1">
      <c r="A397" s="2331"/>
      <c r="C397" s="2332"/>
      <c r="E397" s="2331"/>
    </row>
    <row r="398" spans="1:5" s="2248" customFormat="1">
      <c r="A398" s="2331"/>
      <c r="C398" s="2332"/>
      <c r="E398" s="2331"/>
    </row>
    <row r="399" spans="1:5" s="2248" customFormat="1">
      <c r="A399" s="2331"/>
      <c r="C399" s="2332"/>
      <c r="E399" s="2331"/>
    </row>
    <row r="400" spans="1:5" s="2248" customFormat="1">
      <c r="A400" s="2331"/>
      <c r="C400" s="2332"/>
      <c r="E400" s="2331"/>
    </row>
    <row r="401" spans="1:5" s="2248" customFormat="1">
      <c r="A401" s="2331"/>
      <c r="C401" s="2332"/>
      <c r="E401" s="2331"/>
    </row>
    <row r="402" spans="1:5" s="2248" customFormat="1">
      <c r="A402" s="2331"/>
      <c r="C402" s="2332"/>
      <c r="E402" s="2331"/>
    </row>
    <row r="403" spans="1:5" s="2248" customFormat="1">
      <c r="A403" s="2331"/>
      <c r="C403" s="2332"/>
      <c r="E403" s="2331"/>
    </row>
    <row r="404" spans="1:5" s="2248" customFormat="1">
      <c r="A404" s="2331"/>
      <c r="C404" s="2332"/>
      <c r="E404" s="2331"/>
    </row>
    <row r="405" spans="1:5" s="2248" customFormat="1">
      <c r="A405" s="2331"/>
      <c r="C405" s="2332"/>
      <c r="E405" s="2331"/>
    </row>
    <row r="406" spans="1:5" s="2248" customFormat="1">
      <c r="A406" s="2331"/>
      <c r="C406" s="2332"/>
      <c r="E406" s="2331"/>
    </row>
    <row r="407" spans="1:5" s="2248" customFormat="1">
      <c r="A407" s="2331"/>
      <c r="C407" s="2332"/>
      <c r="E407" s="2331"/>
    </row>
    <row r="408" spans="1:5" s="2248" customFormat="1">
      <c r="A408" s="2331"/>
      <c r="C408" s="2332"/>
      <c r="E408" s="2331"/>
    </row>
    <row r="409" spans="1:5" s="2248" customFormat="1">
      <c r="A409" s="2331"/>
      <c r="C409" s="2332"/>
      <c r="E409" s="2331"/>
    </row>
    <row r="410" spans="1:5" s="2248" customFormat="1">
      <c r="A410" s="2331"/>
      <c r="C410" s="2332"/>
      <c r="E410" s="2331"/>
    </row>
    <row r="411" spans="1:5" s="2248" customFormat="1">
      <c r="A411" s="2331"/>
      <c r="C411" s="2332"/>
      <c r="E411" s="2331"/>
    </row>
    <row r="412" spans="1:5" s="2248" customFormat="1">
      <c r="A412" s="2331"/>
      <c r="C412" s="2332"/>
      <c r="E412" s="2331"/>
    </row>
    <row r="413" spans="1:5" s="2248" customFormat="1">
      <c r="A413" s="2331"/>
      <c r="C413" s="2332"/>
      <c r="E413" s="2331"/>
    </row>
    <row r="414" spans="1:5" s="2248" customFormat="1">
      <c r="A414" s="2331"/>
      <c r="C414" s="2332"/>
      <c r="E414" s="2331"/>
    </row>
    <row r="415" spans="1:5" s="2248" customFormat="1">
      <c r="A415" s="2331"/>
      <c r="C415" s="2332"/>
      <c r="E415" s="2331"/>
    </row>
    <row r="416" spans="1:5" s="2248" customFormat="1">
      <c r="A416" s="2331"/>
      <c r="C416" s="2332"/>
      <c r="E416" s="2331"/>
    </row>
    <row r="417" spans="1:5" s="2248" customFormat="1">
      <c r="A417" s="2331"/>
      <c r="C417" s="2332"/>
      <c r="E417" s="2331"/>
    </row>
    <row r="418" spans="1:5" s="2248" customFormat="1">
      <c r="A418" s="2331"/>
      <c r="C418" s="2332"/>
      <c r="E418" s="2331"/>
    </row>
    <row r="419" spans="1:5" s="2248" customFormat="1">
      <c r="A419" s="2331"/>
      <c r="C419" s="2332"/>
      <c r="E419" s="2331"/>
    </row>
    <row r="420" spans="1:5" s="2248" customFormat="1">
      <c r="A420" s="2331"/>
      <c r="C420" s="2332"/>
      <c r="E420" s="2331"/>
    </row>
    <row r="421" spans="1:5" s="2248" customFormat="1">
      <c r="A421" s="2331"/>
      <c r="C421" s="2332"/>
      <c r="E421" s="2331"/>
    </row>
    <row r="422" spans="1:5" s="2248" customFormat="1">
      <c r="A422" s="2331"/>
      <c r="C422" s="2332"/>
      <c r="E422" s="2331"/>
    </row>
    <row r="423" spans="1:5" s="2248" customFormat="1">
      <c r="A423" s="2331"/>
      <c r="C423" s="2332"/>
      <c r="E423" s="2331"/>
    </row>
    <row r="424" spans="1:5" s="2248" customFormat="1">
      <c r="A424" s="2331"/>
      <c r="C424" s="2332"/>
      <c r="E424" s="2331"/>
    </row>
    <row r="425" spans="1:5" s="2248" customFormat="1">
      <c r="A425" s="2331"/>
      <c r="C425" s="2332"/>
      <c r="E425" s="2331"/>
    </row>
    <row r="426" spans="1:5" s="2248" customFormat="1">
      <c r="A426" s="2331"/>
      <c r="C426" s="2332"/>
      <c r="E426" s="2331"/>
    </row>
    <row r="427" spans="1:5" s="2248" customFormat="1">
      <c r="A427" s="2331"/>
      <c r="C427" s="2332"/>
      <c r="E427" s="2331"/>
    </row>
    <row r="428" spans="1:5" s="2248" customFormat="1">
      <c r="A428" s="2331"/>
      <c r="C428" s="2332"/>
      <c r="E428" s="2331"/>
    </row>
    <row r="429" spans="1:5" s="2248" customFormat="1">
      <c r="A429" s="2331"/>
      <c r="C429" s="2332"/>
      <c r="E429" s="2331"/>
    </row>
    <row r="430" spans="1:5" s="2248" customFormat="1">
      <c r="A430" s="2331"/>
      <c r="C430" s="2332"/>
      <c r="E430" s="2331"/>
    </row>
    <row r="431" spans="1:5" s="2248" customFormat="1">
      <c r="A431" s="2331"/>
      <c r="C431" s="2332"/>
      <c r="E431" s="2331"/>
    </row>
    <row r="432" spans="1:5" s="2248" customFormat="1">
      <c r="A432" s="2331"/>
      <c r="C432" s="2332"/>
      <c r="E432" s="2331"/>
    </row>
    <row r="433" spans="1:5" s="2248" customFormat="1">
      <c r="A433" s="2331"/>
      <c r="C433" s="2332"/>
      <c r="E433" s="2331"/>
    </row>
    <row r="434" spans="1:5" s="2248" customFormat="1">
      <c r="A434" s="2331"/>
      <c r="C434" s="2332"/>
      <c r="E434" s="2331"/>
    </row>
    <row r="435" spans="1:5" s="2248" customFormat="1">
      <c r="A435" s="2331"/>
      <c r="C435" s="2332"/>
      <c r="E435" s="2331"/>
    </row>
    <row r="436" spans="1:5" s="2248" customFormat="1">
      <c r="A436" s="2331"/>
      <c r="C436" s="2332"/>
      <c r="E436" s="2331"/>
    </row>
    <row r="437" spans="1:5" s="2248" customFormat="1">
      <c r="A437" s="2331"/>
      <c r="C437" s="2332"/>
      <c r="E437" s="2331"/>
    </row>
    <row r="438" spans="1:5" s="2248" customFormat="1">
      <c r="A438" s="2331"/>
      <c r="C438" s="2332"/>
      <c r="E438" s="2331"/>
    </row>
    <row r="439" spans="1:5" s="2248" customFormat="1">
      <c r="A439" s="2331"/>
      <c r="C439" s="2332"/>
      <c r="E439" s="2331"/>
    </row>
    <row r="440" spans="1:5" s="2248" customFormat="1">
      <c r="A440" s="2331"/>
      <c r="C440" s="2332"/>
      <c r="E440" s="2331"/>
    </row>
    <row r="441" spans="1:5" s="2248" customFormat="1">
      <c r="A441" s="2331"/>
      <c r="C441" s="2332"/>
      <c r="E441" s="2331"/>
    </row>
    <row r="442" spans="1:5" s="2248" customFormat="1">
      <c r="A442" s="2331"/>
      <c r="C442" s="2332"/>
      <c r="E442" s="2331"/>
    </row>
    <row r="443" spans="1:5" s="2248" customFormat="1">
      <c r="A443" s="2331"/>
      <c r="C443" s="2332"/>
      <c r="E443" s="2331"/>
    </row>
    <row r="444" spans="1:5" s="2248" customFormat="1">
      <c r="A444" s="2331"/>
      <c r="C444" s="2332"/>
      <c r="E444" s="2331"/>
    </row>
    <row r="445" spans="1:5" s="2248" customFormat="1">
      <c r="A445" s="2331"/>
      <c r="C445" s="2332"/>
      <c r="E445" s="2331"/>
    </row>
    <row r="446" spans="1:5" s="2248" customFormat="1">
      <c r="A446" s="2331"/>
      <c r="C446" s="2332"/>
      <c r="E446" s="2331"/>
    </row>
    <row r="447" spans="1:5" s="2248" customFormat="1">
      <c r="A447" s="2331"/>
      <c r="C447" s="2332"/>
      <c r="E447" s="2331"/>
    </row>
    <row r="448" spans="1:5" s="2248" customFormat="1">
      <c r="A448" s="2331"/>
      <c r="C448" s="2332"/>
      <c r="E448" s="2331"/>
    </row>
    <row r="449" spans="1:5" s="2248" customFormat="1">
      <c r="A449" s="2331"/>
      <c r="C449" s="2332"/>
      <c r="E449" s="2331"/>
    </row>
    <row r="450" spans="1:5" s="2248" customFormat="1">
      <c r="A450" s="2331"/>
      <c r="C450" s="2332"/>
      <c r="E450" s="2331"/>
    </row>
    <row r="451" spans="1:5" s="2248" customFormat="1">
      <c r="A451" s="2331"/>
      <c r="C451" s="2332"/>
      <c r="E451" s="2331"/>
    </row>
    <row r="452" spans="1:5" s="2248" customFormat="1">
      <c r="A452" s="2331"/>
      <c r="C452" s="2332"/>
      <c r="E452" s="2331"/>
    </row>
    <row r="453" spans="1:5" s="2248" customFormat="1">
      <c r="A453" s="2331"/>
      <c r="C453" s="2332"/>
      <c r="E453" s="2331"/>
    </row>
    <row r="454" spans="1:5" s="2248" customFormat="1">
      <c r="A454" s="2331"/>
      <c r="C454" s="2332"/>
      <c r="E454" s="2331"/>
    </row>
    <row r="455" spans="1:5" s="2248" customFormat="1">
      <c r="A455" s="2331"/>
      <c r="C455" s="2332"/>
      <c r="E455" s="2331"/>
    </row>
    <row r="456" spans="1:5" s="2248" customFormat="1">
      <c r="A456" s="2331"/>
      <c r="C456" s="2332"/>
      <c r="E456" s="2331"/>
    </row>
    <row r="457" spans="1:5" s="2248" customFormat="1">
      <c r="A457" s="2331"/>
      <c r="C457" s="2332"/>
      <c r="E457" s="2331"/>
    </row>
    <row r="458" spans="1:5" s="2248" customFormat="1">
      <c r="A458" s="2331"/>
      <c r="C458" s="2332"/>
      <c r="E458" s="2331"/>
    </row>
    <row r="459" spans="1:5" s="2248" customFormat="1">
      <c r="A459" s="2331"/>
      <c r="C459" s="2332"/>
      <c r="E459" s="2331"/>
    </row>
    <row r="460" spans="1:5" s="2248" customFormat="1">
      <c r="A460" s="2331"/>
      <c r="C460" s="2332"/>
      <c r="E460" s="2331"/>
    </row>
    <row r="461" spans="1:5" s="2248" customFormat="1">
      <c r="A461" s="2331"/>
      <c r="C461" s="2332"/>
      <c r="E461" s="2331"/>
    </row>
    <row r="462" spans="1:5" s="2248" customFormat="1">
      <c r="A462" s="2331"/>
      <c r="C462" s="2332"/>
      <c r="E462" s="2331"/>
    </row>
    <row r="463" spans="1:5" s="2248" customFormat="1">
      <c r="A463" s="2331"/>
      <c r="C463" s="2332"/>
      <c r="E463" s="2331"/>
    </row>
    <row r="464" spans="1:5" s="2248" customFormat="1">
      <c r="A464" s="2331"/>
      <c r="C464" s="2332"/>
      <c r="E464" s="2331"/>
    </row>
    <row r="465" spans="1:5" s="2248" customFormat="1">
      <c r="A465" s="2331"/>
      <c r="C465" s="2332"/>
      <c r="E465" s="2331"/>
    </row>
    <row r="466" spans="1:5" s="2248" customFormat="1">
      <c r="A466" s="2331"/>
      <c r="C466" s="2332"/>
      <c r="E466" s="2331"/>
    </row>
    <row r="467" spans="1:5" s="2248" customFormat="1">
      <c r="A467" s="2331"/>
      <c r="C467" s="2332"/>
      <c r="E467" s="2331"/>
    </row>
    <row r="468" spans="1:5" s="2248" customFormat="1">
      <c r="A468" s="2331"/>
      <c r="C468" s="2332"/>
      <c r="E468" s="2331"/>
    </row>
    <row r="469" spans="1:5" s="2248" customFormat="1">
      <c r="A469" s="2331"/>
      <c r="C469" s="2332"/>
      <c r="E469" s="2331"/>
    </row>
    <row r="470" spans="1:5" s="2248" customFormat="1">
      <c r="A470" s="2331"/>
      <c r="C470" s="2332"/>
      <c r="E470" s="2331"/>
    </row>
    <row r="471" spans="1:5" s="2248" customFormat="1">
      <c r="A471" s="2331"/>
      <c r="C471" s="2332"/>
      <c r="E471" s="2331"/>
    </row>
    <row r="472" spans="1:5" s="2248" customFormat="1">
      <c r="A472" s="2331"/>
      <c r="C472" s="2332"/>
      <c r="E472" s="2331"/>
    </row>
    <row r="473" spans="1:5" s="2248" customFormat="1">
      <c r="A473" s="2331"/>
      <c r="C473" s="2332"/>
      <c r="E473" s="2331"/>
    </row>
    <row r="474" spans="1:5" s="2248" customFormat="1">
      <c r="A474" s="2331"/>
      <c r="C474" s="2332"/>
      <c r="E474" s="2331"/>
    </row>
    <row r="475" spans="1:5" s="2248" customFormat="1">
      <c r="A475" s="2331"/>
      <c r="C475" s="2332"/>
      <c r="E475" s="2331"/>
    </row>
    <row r="476" spans="1:5" s="2248" customFormat="1">
      <c r="A476" s="2331"/>
      <c r="C476" s="2332"/>
      <c r="E476" s="2331"/>
    </row>
    <row r="477" spans="1:5" s="2248" customFormat="1">
      <c r="A477" s="2331"/>
      <c r="C477" s="2332"/>
      <c r="E477" s="2331"/>
    </row>
    <row r="478" spans="1:5" s="2248" customFormat="1">
      <c r="A478" s="2331"/>
      <c r="C478" s="2332"/>
      <c r="E478" s="2331"/>
    </row>
    <row r="479" spans="1:5" s="2248" customFormat="1">
      <c r="A479" s="2331"/>
      <c r="C479" s="2332"/>
      <c r="E479" s="2331"/>
    </row>
    <row r="480" spans="1:5" s="2248" customFormat="1">
      <c r="A480" s="2331"/>
      <c r="C480" s="2332"/>
      <c r="E480" s="2331"/>
    </row>
    <row r="481" spans="1:5" s="2248" customFormat="1">
      <c r="A481" s="2331"/>
      <c r="C481" s="2332"/>
      <c r="E481" s="2331"/>
    </row>
    <row r="482" spans="1:5" s="2248" customFormat="1">
      <c r="A482" s="2331"/>
      <c r="C482" s="2332"/>
      <c r="E482" s="2331"/>
    </row>
    <row r="483" spans="1:5" s="2248" customFormat="1">
      <c r="A483" s="2331"/>
      <c r="C483" s="2332"/>
      <c r="E483" s="2331"/>
    </row>
    <row r="484" spans="1:5" s="2248" customFormat="1">
      <c r="A484" s="2331"/>
      <c r="C484" s="2332"/>
      <c r="E484" s="2331"/>
    </row>
    <row r="485" spans="1:5" s="2248" customFormat="1">
      <c r="A485" s="2331"/>
      <c r="C485" s="2332"/>
      <c r="E485" s="2331"/>
    </row>
    <row r="486" spans="1:5" s="2248" customFormat="1">
      <c r="A486" s="2331"/>
      <c r="C486" s="2332"/>
      <c r="E486" s="2331"/>
    </row>
    <row r="487" spans="1:5" s="2248" customFormat="1">
      <c r="A487" s="2331"/>
      <c r="C487" s="2332"/>
      <c r="E487" s="2331"/>
    </row>
    <row r="488" spans="1:5" s="2248" customFormat="1">
      <c r="A488" s="2331"/>
      <c r="C488" s="2332"/>
      <c r="E488" s="2331"/>
    </row>
    <row r="489" spans="1:5" s="2248" customFormat="1">
      <c r="A489" s="2331"/>
      <c r="C489" s="2332"/>
      <c r="E489" s="2331"/>
    </row>
    <row r="490" spans="1:5" s="2248" customFormat="1">
      <c r="A490" s="2331"/>
      <c r="C490" s="2332"/>
      <c r="E490" s="2331"/>
    </row>
  </sheetData>
  <sheetProtection password="CEE9" sheet="1" objects="1" scenarios="1" formatCells="0" formatColumns="0" formatRows="0"/>
  <phoneticPr fontId="25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49" t="str">
        <f>项目基本情况!B1</f>
        <v>北京市出让国有建设用地使用权抵押价格预评估</v>
      </c>
      <c r="C37" s="3649"/>
      <c r="D37" s="3649"/>
      <c r="E37" s="3649"/>
      <c r="F37" s="3649"/>
      <c r="G37" s="3649"/>
      <c r="H37" s="3649"/>
      <c r="I37" s="3649"/>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崔锴、赵雯</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6" customWidth="1"/>
    <col min="2" max="2" width="25.75" style="2257" customWidth="1"/>
    <col min="3" max="3" width="11.5" style="2258" customWidth="1"/>
    <col min="4" max="4" width="12"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41" s="161" customFormat="1" ht="20.25">
      <c r="A1" s="716"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41" s="161" customFormat="1" ht="18" customHeight="1">
      <c r="A2" s="214" t="s">
        <v>962</v>
      </c>
      <c r="B2" s="2261">
        <f ca="1">C27</f>
        <v>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41" s="161" customFormat="1" ht="18" customHeight="1">
      <c r="A3" s="722" t="s">
        <v>963</v>
      </c>
      <c r="B3" s="720">
        <f ca="1">ROUND(B2*10000/IF(B1="",'数据-汇总表'!E3,INDIRECT("'数据-取费表'!K"&amp;$K$1)),0)</f>
        <v>0</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41" s="161" customFormat="1" ht="18" customHeight="1">
      <c r="A4" s="723" t="s">
        <v>964</v>
      </c>
      <c r="B4" s="724">
        <f ca="1">ROUND(B2*10000/IF(B1="",'数据-汇总表'!D3,INDIRECT("'数据-取费表'!R"&amp;$K$1)),0)</f>
        <v>0</v>
      </c>
      <c r="C4" s="479"/>
      <c r="D4" s="2260"/>
      <c r="E4" s="2260"/>
      <c r="F4" s="2260"/>
      <c r="G4" s="2260"/>
      <c r="H4" s="2260"/>
      <c r="I4" s="2260"/>
      <c r="J4" s="2260"/>
      <c r="K4" s="2260"/>
      <c r="L4" s="2334"/>
      <c r="M4" s="2334"/>
      <c r="N4" s="2334"/>
      <c r="O4" s="2334"/>
      <c r="P4" s="2334"/>
      <c r="Q4" s="2334"/>
      <c r="R4" s="2334"/>
      <c r="S4" s="2334"/>
      <c r="T4" s="2334"/>
      <c r="U4" s="2334"/>
      <c r="V4" s="2334"/>
      <c r="W4" s="2334"/>
      <c r="X4" s="2334"/>
      <c r="Y4" s="2334"/>
      <c r="Z4" s="2334"/>
    </row>
    <row r="5" spans="1:41" s="161" customFormat="1" ht="18" customHeight="1">
      <c r="A5" s="726"/>
      <c r="B5" s="727">
        <f ca="1">ROUND(B2/(IF(B1="",'数据-汇总表'!D3,INDIRECT("'数据-取费表'!R"&amp;$K$1))/666.67),0)</f>
        <v>0</v>
      </c>
      <c r="C5" s="728" t="s">
        <v>965</v>
      </c>
      <c r="D5" s="2260"/>
      <c r="E5" s="2260"/>
      <c r="F5" s="2260"/>
      <c r="G5" s="2260"/>
      <c r="H5" s="2260"/>
      <c r="I5" s="2260"/>
      <c r="J5" s="2260"/>
      <c r="K5" s="2260"/>
      <c r="L5" s="2334"/>
      <c r="M5" s="2334"/>
      <c r="N5" s="2334"/>
      <c r="O5" s="2334"/>
      <c r="P5" s="2334"/>
      <c r="Q5" s="2334"/>
      <c r="R5" s="2334"/>
      <c r="S5" s="2334"/>
      <c r="T5" s="2334"/>
      <c r="U5" s="2334"/>
      <c r="V5" s="2334"/>
      <c r="W5" s="2334"/>
      <c r="X5" s="2334"/>
      <c r="Y5" s="2334"/>
      <c r="Z5" s="2334"/>
    </row>
    <row r="6" spans="1:41" s="2246" customFormat="1" ht="16.5" customHeight="1">
      <c r="A6" s="2262" t="s">
        <v>1027</v>
      </c>
      <c r="B6" s="2263"/>
      <c r="C6" s="2264">
        <f>SUM(C10:K10)</f>
        <v>0</v>
      </c>
      <c r="D6" s="2265"/>
      <c r="E6" s="2265"/>
      <c r="F6" s="2265"/>
      <c r="G6" s="2265"/>
      <c r="H6" s="2265"/>
      <c r="I6" s="2265"/>
      <c r="J6" s="2265"/>
      <c r="K6" s="2335"/>
      <c r="L6" s="2336"/>
      <c r="M6" s="2336"/>
      <c r="N6" s="2336"/>
      <c r="O6" s="2336"/>
      <c r="P6" s="2336"/>
      <c r="Q6" s="2336"/>
      <c r="R6" s="2336"/>
      <c r="S6" s="2336"/>
      <c r="T6" s="2336"/>
      <c r="U6" s="2336"/>
      <c r="V6" s="2336"/>
      <c r="W6" s="2336"/>
      <c r="X6" s="2336"/>
      <c r="Y6" s="2336"/>
      <c r="Z6" s="2336"/>
    </row>
    <row r="7" spans="1:41" s="2247" customFormat="1" ht="15">
      <c r="A7" s="2266" t="s">
        <v>967</v>
      </c>
      <c r="B7" s="2267" t="s">
        <v>968</v>
      </c>
      <c r="C7" s="2268"/>
      <c r="D7" s="2269"/>
      <c r="E7" s="2269"/>
      <c r="F7" s="2269"/>
      <c r="G7" s="2269"/>
      <c r="H7" s="2269"/>
      <c r="I7" s="2269"/>
      <c r="J7" s="2269"/>
      <c r="K7" s="2337"/>
      <c r="AA7" s="2356"/>
      <c r="AB7" s="2356"/>
      <c r="AC7" s="2356"/>
      <c r="AD7" s="2356"/>
      <c r="AE7" s="2356"/>
      <c r="AF7" s="2356"/>
      <c r="AG7" s="2356"/>
      <c r="AH7" s="2356"/>
      <c r="AI7" s="2356"/>
      <c r="AJ7" s="2356"/>
      <c r="AK7" s="2356"/>
      <c r="AL7" s="2356"/>
      <c r="AM7" s="2356"/>
      <c r="AN7" s="2356"/>
      <c r="AO7" s="2356"/>
    </row>
    <row r="8" spans="1:41" s="2248" customFormat="1" ht="13.5" customHeight="1">
      <c r="A8" s="2270" t="s">
        <v>900</v>
      </c>
      <c r="B8" s="2271" t="s">
        <v>969</v>
      </c>
      <c r="C8" s="2272"/>
      <c r="D8" s="2272"/>
      <c r="E8" s="2272"/>
      <c r="F8" s="2272"/>
      <c r="G8" s="2272"/>
      <c r="H8" s="2272"/>
      <c r="I8" s="2272"/>
      <c r="J8" s="2272"/>
      <c r="K8" s="2338"/>
      <c r="AA8" s="2257"/>
      <c r="AB8" s="2257"/>
      <c r="AC8" s="2257"/>
      <c r="AD8" s="2257"/>
      <c r="AE8" s="2257"/>
      <c r="AF8" s="2257"/>
      <c r="AG8" s="2257"/>
      <c r="AH8" s="2257"/>
      <c r="AI8" s="2257"/>
      <c r="AJ8" s="2257"/>
      <c r="AK8" s="2257"/>
      <c r="AL8" s="2257"/>
      <c r="AM8" s="2257"/>
      <c r="AN8" s="2257"/>
      <c r="AO8" s="2257"/>
    </row>
    <row r="9" spans="1:41" s="2248" customFormat="1" ht="13.5" customHeight="1">
      <c r="A9" s="2270" t="s">
        <v>902</v>
      </c>
      <c r="B9" s="2271" t="s">
        <v>502</v>
      </c>
      <c r="C9" s="2273">
        <f>SUMIF('数据-汇总表'!$C19:$C33,'剩余法-现房'!C7,'数据-汇总表'!$E19:$E33)</f>
        <v>0</v>
      </c>
      <c r="D9" s="2273">
        <f>SUMIF('数据-汇总表'!$C19:$C33,'剩余法-现房'!D7,'数据-汇总表'!$E19:$E33)</f>
        <v>0</v>
      </c>
      <c r="E9" s="2273">
        <f>SUMIF('数据-汇总表'!$C19:$C33,'剩余法-现房'!E7,'数据-汇总表'!$E19:$E33)</f>
        <v>0</v>
      </c>
      <c r="F9" s="2273">
        <f>SUMIF('数据-汇总表'!$C19:$C33,'剩余法-现房'!F7,'数据-汇总表'!$E19:$E33)</f>
        <v>0</v>
      </c>
      <c r="G9" s="2273">
        <f>SUMIF('数据-汇总表'!$C19:$C33,'剩余法-现房'!G7,'数据-汇总表'!$E19:$E33)</f>
        <v>0</v>
      </c>
      <c r="H9" s="2273">
        <f>SUMIF('数据-汇总表'!$C19:$C33,'剩余法-现房'!H7,'数据-汇总表'!$E19:$E33)</f>
        <v>0</v>
      </c>
      <c r="I9" s="2273">
        <f>SUMIF('数据-汇总表'!$C19:$C33,'剩余法-现房'!I7,'数据-汇总表'!$E19:$E33)</f>
        <v>0</v>
      </c>
      <c r="J9" s="2273">
        <f>SUMIF('数据-汇总表'!$C19:$C33,'剩余法-现房'!J7,'数据-汇总表'!$E19:$E33)</f>
        <v>0</v>
      </c>
      <c r="K9" s="2339">
        <f>SUMIF('数据-汇总表'!$C19:$C33,'剩余法-现房'!K7,'数据-汇总表'!$E19:$E33)</f>
        <v>0</v>
      </c>
      <c r="AA9" s="2257"/>
      <c r="AB9" s="2257"/>
      <c r="AC9" s="2257"/>
      <c r="AD9" s="2257"/>
      <c r="AE9" s="2257"/>
      <c r="AF9" s="2257"/>
      <c r="AG9" s="2257"/>
      <c r="AH9" s="2257"/>
      <c r="AI9" s="2257"/>
      <c r="AJ9" s="2257"/>
      <c r="AK9" s="2257"/>
      <c r="AL9" s="2257"/>
      <c r="AM9" s="2257"/>
      <c r="AN9" s="2257"/>
      <c r="AO9" s="2257"/>
    </row>
    <row r="10" spans="1:41" s="2248" customFormat="1" ht="13.5" customHeight="1">
      <c r="A10" s="2274" t="s">
        <v>970</v>
      </c>
      <c r="B10" s="2275" t="s">
        <v>971</v>
      </c>
      <c r="C10" s="2276"/>
      <c r="D10" s="2276"/>
      <c r="E10" s="2276"/>
      <c r="F10" s="2277"/>
      <c r="G10" s="2277"/>
      <c r="H10" s="2277"/>
      <c r="I10" s="2277"/>
      <c r="J10" s="2277"/>
      <c r="K10" s="2340"/>
      <c r="AA10" s="2257"/>
      <c r="AB10" s="2257"/>
      <c r="AC10" s="2257"/>
      <c r="AD10" s="2257"/>
      <c r="AE10" s="2257"/>
      <c r="AF10" s="2257"/>
      <c r="AG10" s="2257"/>
      <c r="AH10" s="2257"/>
      <c r="AI10" s="2257"/>
      <c r="AJ10" s="2257"/>
      <c r="AK10" s="2257"/>
      <c r="AL10" s="2257"/>
      <c r="AM10" s="2257"/>
      <c r="AN10" s="2257"/>
      <c r="AO10" s="2257"/>
    </row>
    <row r="11" spans="1:41" s="2246" customFormat="1" ht="16.5" customHeight="1">
      <c r="A11" s="2278" t="s">
        <v>1028</v>
      </c>
      <c r="B11" s="2279"/>
      <c r="C11" s="2279"/>
      <c r="D11" s="2279"/>
      <c r="E11" s="2279"/>
      <c r="F11" s="2279"/>
      <c r="G11" s="2279"/>
      <c r="H11" s="2279"/>
      <c r="I11" s="2279"/>
      <c r="J11" s="2279"/>
      <c r="K11" s="2341"/>
      <c r="L11" s="2336"/>
      <c r="M11" s="2336"/>
      <c r="N11" s="2336"/>
      <c r="O11" s="2336"/>
      <c r="P11" s="2336"/>
      <c r="Q11" s="2336"/>
      <c r="R11" s="2336"/>
      <c r="S11" s="2336"/>
      <c r="T11" s="2336"/>
      <c r="U11" s="2336"/>
      <c r="V11" s="2336"/>
      <c r="W11" s="2336"/>
      <c r="X11" s="2336"/>
      <c r="Y11" s="2336"/>
      <c r="Z11" s="2336"/>
    </row>
    <row r="12" spans="1:41" s="1090" customFormat="1" ht="13.5" customHeight="1">
      <c r="A12" s="2266" t="s">
        <v>967</v>
      </c>
      <c r="B12" s="2280" t="s">
        <v>968</v>
      </c>
      <c r="C12" s="2281" t="s">
        <v>973</v>
      </c>
      <c r="D12" s="2282" t="s">
        <v>974</v>
      </c>
      <c r="E12" s="2282" t="s">
        <v>975</v>
      </c>
      <c r="F12" s="2282" t="s">
        <v>976</v>
      </c>
      <c r="G12" s="2280"/>
      <c r="H12" s="2283"/>
      <c r="I12" s="2283"/>
      <c r="J12" s="2283"/>
      <c r="K12" s="2342"/>
      <c r="L12" s="2343"/>
      <c r="M12" s="2343"/>
      <c r="N12" s="2343"/>
      <c r="O12" s="2343"/>
      <c r="P12" s="2343"/>
      <c r="Q12" s="2343"/>
      <c r="R12" s="2343"/>
      <c r="S12" s="2343"/>
      <c r="T12" s="2343"/>
      <c r="U12" s="2343"/>
      <c r="V12" s="2343"/>
      <c r="W12" s="2343"/>
      <c r="X12" s="2343"/>
      <c r="Y12" s="2343"/>
      <c r="Z12" s="2343"/>
    </row>
    <row r="13" spans="1:41" s="2249" customFormat="1" ht="13.5" customHeight="1">
      <c r="A13" s="2284" t="s">
        <v>924</v>
      </c>
      <c r="B13" s="2285" t="s">
        <v>977</v>
      </c>
      <c r="C13" s="2286">
        <f ca="1">IF(B1="",'数据-取费表'!M16,INDIRECT("'数据-取费表'!M"&amp;$K$1)+INDIRECT("'数据-取费表'!t"&amp;$K$1))</f>
        <v>12053</v>
      </c>
      <c r="D13" s="2287"/>
      <c r="E13" s="84"/>
      <c r="F13" s="2288"/>
      <c r="G13" s="2280"/>
      <c r="H13" s="2283"/>
      <c r="I13" s="2283"/>
      <c r="J13" s="2283"/>
      <c r="K13" s="2342"/>
      <c r="L13" s="2250"/>
      <c r="M13" s="2250"/>
      <c r="N13" s="2250"/>
      <c r="O13" s="2250"/>
      <c r="P13" s="2250"/>
      <c r="Q13" s="2250"/>
      <c r="R13" s="2250"/>
      <c r="S13" s="2250"/>
      <c r="T13" s="2250"/>
      <c r="U13" s="2250"/>
      <c r="V13" s="2250"/>
      <c r="W13" s="2250"/>
      <c r="X13" s="2250"/>
      <c r="Y13" s="2250"/>
      <c r="Z13" s="2250"/>
    </row>
    <row r="14" spans="1:41" s="2249" customFormat="1" ht="13.5" customHeight="1">
      <c r="A14" s="2284" t="s">
        <v>978</v>
      </c>
      <c r="B14" s="2285" t="s">
        <v>979</v>
      </c>
      <c r="C14" s="127">
        <f ca="1">ROUND(C13*F14,0)</f>
        <v>362</v>
      </c>
      <c r="D14" s="2287"/>
      <c r="E14" s="84"/>
      <c r="F14" s="2289">
        <f>'数据-取费表'!B33</f>
        <v>0.03</v>
      </c>
      <c r="G14" s="2280" t="s">
        <v>980</v>
      </c>
      <c r="H14" s="2283"/>
      <c r="I14" s="2283"/>
      <c r="J14" s="2283"/>
      <c r="K14" s="2342"/>
      <c r="L14" s="2250"/>
      <c r="M14" s="2250"/>
      <c r="N14" s="2250"/>
      <c r="O14" s="2250"/>
      <c r="P14" s="2250"/>
      <c r="Q14" s="2250"/>
      <c r="R14" s="2250"/>
      <c r="S14" s="2250"/>
      <c r="T14" s="2250"/>
      <c r="U14" s="2250"/>
      <c r="V14" s="2250"/>
      <c r="W14" s="2250"/>
      <c r="X14" s="2250"/>
      <c r="Y14" s="2250"/>
      <c r="Z14" s="2250"/>
    </row>
    <row r="15" spans="1:41" s="2249" customFormat="1" ht="13.5" customHeight="1">
      <c r="A15" s="2284" t="s">
        <v>981</v>
      </c>
      <c r="B15" s="2285" t="s">
        <v>982</v>
      </c>
      <c r="C15" s="127">
        <f ca="1">ROUND(IF(B1="",SUMIF('数据-取费表'!C:C,"住宅",'数据-取费表'!M:M)*F15,IF(INDIRECT("'数据-取费表'!c"&amp;$K$1)="住宅",INDIRECT("'数据-取费表'!M"&amp;$K$1)*F15,0)),0)</f>
        <v>0</v>
      </c>
      <c r="D15" s="2287"/>
      <c r="E15" s="84"/>
      <c r="F15" s="2289">
        <f>'数据-取费表'!B34</f>
        <v>0</v>
      </c>
      <c r="G15" s="2280" t="s">
        <v>980</v>
      </c>
      <c r="H15" s="2283"/>
      <c r="I15" s="2283"/>
      <c r="J15" s="2283"/>
      <c r="K15" s="2342"/>
      <c r="L15" s="2250"/>
      <c r="M15" s="2250"/>
      <c r="N15" s="2250"/>
      <c r="O15" s="2250"/>
      <c r="P15" s="2250"/>
      <c r="Q15" s="2250"/>
      <c r="R15" s="2250"/>
      <c r="S15" s="2250"/>
      <c r="T15" s="2250"/>
      <c r="U15" s="2250"/>
      <c r="V15" s="2250"/>
      <c r="W15" s="2250"/>
      <c r="X15" s="2250"/>
      <c r="Y15" s="2250"/>
      <c r="Z15" s="2250"/>
    </row>
    <row r="16" spans="1:41" s="2250" customFormat="1" ht="13.5" customHeight="1">
      <c r="A16" s="2284" t="s">
        <v>984</v>
      </c>
      <c r="B16" s="2285" t="s">
        <v>985</v>
      </c>
      <c r="C16" s="127">
        <f ca="1">ROUND(D16*E16/10000,0)</f>
        <v>930</v>
      </c>
      <c r="D16" s="2287">
        <f ca="1">IF(B1="",'数据-汇总表'!E3,INDIRECT("'数据-取费表'!K"&amp;$K$1)+INDIRECT("'数据-取费表'!S"&amp;$K$1))</f>
        <v>46494.69</v>
      </c>
      <c r="E16" s="127">
        <f>'数据-取费表'!B35</f>
        <v>200</v>
      </c>
      <c r="F16" s="2290"/>
      <c r="G16" s="2280"/>
      <c r="H16" s="2283"/>
      <c r="I16" s="2283"/>
      <c r="J16" s="2283"/>
      <c r="K16" s="2342"/>
      <c r="AA16" s="2249"/>
      <c r="AB16" s="2249"/>
      <c r="AC16" s="2249"/>
      <c r="AD16" s="2249"/>
      <c r="AE16" s="2249"/>
      <c r="AF16" s="2249"/>
      <c r="AG16" s="2249"/>
      <c r="AH16" s="2249"/>
      <c r="AI16" s="2249"/>
      <c r="AJ16" s="2249"/>
      <c r="AK16" s="2249"/>
      <c r="AL16" s="2249"/>
      <c r="AM16" s="2249"/>
      <c r="AN16" s="2249"/>
      <c r="AO16" s="2249"/>
    </row>
    <row r="17" spans="1:26" s="2249" customFormat="1" ht="13.5" customHeight="1">
      <c r="A17" s="2284" t="s">
        <v>986</v>
      </c>
      <c r="B17" s="2285" t="s">
        <v>987</v>
      </c>
      <c r="C17" s="2291">
        <f ca="1">ROUND(C13*F17,0)</f>
        <v>181</v>
      </c>
      <c r="D17" s="2292"/>
      <c r="E17" s="2291"/>
      <c r="F17" s="2289">
        <f>'数据-取费表'!B36</f>
        <v>1.4999999999999999E-2</v>
      </c>
      <c r="G17" s="2280" t="s">
        <v>980</v>
      </c>
      <c r="H17" s="2293"/>
      <c r="I17" s="2293"/>
      <c r="J17" s="2293"/>
      <c r="K17" s="2344"/>
      <c r="L17" s="2250"/>
      <c r="M17" s="2250"/>
      <c r="N17" s="2250"/>
      <c r="O17" s="2250"/>
      <c r="P17" s="2250"/>
      <c r="Q17" s="2250"/>
      <c r="R17" s="2250"/>
      <c r="S17" s="2250"/>
      <c r="T17" s="2250"/>
      <c r="U17" s="2250"/>
      <c r="V17" s="2250"/>
      <c r="W17" s="2250"/>
      <c r="X17" s="2250"/>
      <c r="Y17" s="2250"/>
      <c r="Z17" s="2250"/>
    </row>
    <row r="18" spans="1:26" s="2251" customFormat="1" ht="13.5" customHeight="1">
      <c r="A18" s="2294" t="s">
        <v>989</v>
      </c>
      <c r="B18" s="2295" t="s">
        <v>990</v>
      </c>
      <c r="C18" s="2296">
        <f ca="1">SUM(C13:C17)</f>
        <v>13526</v>
      </c>
      <c r="D18" s="2297"/>
      <c r="E18" s="2298"/>
      <c r="F18" s="2298"/>
      <c r="G18" s="2299" t="s">
        <v>1029</v>
      </c>
      <c r="H18" s="2283"/>
      <c r="I18" s="2283"/>
      <c r="J18" s="2283"/>
      <c r="K18" s="2342"/>
      <c r="L18" s="2345"/>
      <c r="M18" s="2345"/>
      <c r="N18" s="2345"/>
      <c r="O18" s="2345"/>
      <c r="P18" s="2345"/>
      <c r="Q18" s="2345"/>
      <c r="R18" s="2345"/>
      <c r="S18" s="2345"/>
      <c r="T18" s="2345"/>
      <c r="U18" s="2345"/>
      <c r="V18" s="2345"/>
      <c r="W18" s="2345"/>
      <c r="X18" s="2345"/>
      <c r="Y18" s="2345"/>
      <c r="Z18" s="2345"/>
    </row>
    <row r="19" spans="1:26" s="2251" customFormat="1" ht="13.5" customHeight="1">
      <c r="A19" s="2294" t="s">
        <v>992</v>
      </c>
      <c r="B19" s="2295" t="s">
        <v>1030</v>
      </c>
      <c r="C19" s="2296">
        <f ca="1">ROUND(C18*F19,0)</f>
        <v>271</v>
      </c>
      <c r="D19" s="2297"/>
      <c r="E19" s="2298"/>
      <c r="F19" s="2300">
        <f>'数据-取费表'!B37</f>
        <v>0.02</v>
      </c>
      <c r="G19" s="2280" t="s">
        <v>1031</v>
      </c>
      <c r="H19" s="2283"/>
      <c r="I19" s="2283"/>
      <c r="J19" s="2283"/>
      <c r="K19" s="2342"/>
      <c r="L19" s="2346"/>
      <c r="M19" s="2346"/>
      <c r="N19" s="2346"/>
      <c r="O19" s="2345"/>
      <c r="P19" s="2345"/>
      <c r="Q19" s="2345"/>
      <c r="R19" s="2345"/>
      <c r="S19" s="2345"/>
      <c r="T19" s="2345"/>
      <c r="U19" s="2345"/>
      <c r="V19" s="2345"/>
      <c r="W19" s="2345"/>
      <c r="X19" s="2345"/>
      <c r="Y19" s="2345"/>
      <c r="Z19" s="2345"/>
    </row>
    <row r="20" spans="1:26" s="2252" customFormat="1" ht="13.5" customHeight="1">
      <c r="A20" s="2294" t="s">
        <v>995</v>
      </c>
      <c r="B20" s="2297" t="s">
        <v>1032</v>
      </c>
      <c r="C20" s="2301">
        <f ca="1">ROUND(IF('数据-取费表'!B22&lt;=1,(C18+C19)*F20*'数据-取费表'!B20/2,(C18+C19)*(POWER((1+F20),'数据-取费表'!B20/2)-1)),0)</f>
        <v>238</v>
      </c>
      <c r="D20" s="2298">
        <f ca="1">ROUND(((1+F20)^'数据-取费表'!B20)-1,4)</f>
        <v>3.4500000000000003E-2</v>
      </c>
      <c r="E20" s="2298"/>
      <c r="F20" s="2302">
        <f ca="1">'数据-取费表'!B40</f>
        <v>3.4500000000000003E-2</v>
      </c>
      <c r="G20" s="2299" t="str">
        <f>IF('数据-取费表'!B22&lt;=1,"单利计息。","复利计息。")&amp;"建造成本、管理费用产生的利息 / 地价及税费产生的利息。"</f>
        <v>单利计息。建造成本、管理费用产生的利息 / 地价及税费产生的利息。</v>
      </c>
      <c r="H20" s="2283"/>
      <c r="I20" s="2283"/>
      <c r="J20" s="2283"/>
      <c r="K20" s="2342"/>
      <c r="L20" s="2347" t="s">
        <v>1033</v>
      </c>
      <c r="M20" s="2348"/>
      <c r="N20" s="2348"/>
      <c r="O20" s="2348"/>
      <c r="P20" s="2348"/>
      <c r="Q20" s="2346"/>
      <c r="R20" s="2346"/>
      <c r="S20" s="2346"/>
      <c r="T20" s="2346"/>
      <c r="U20" s="2346"/>
      <c r="V20" s="2346"/>
      <c r="W20" s="2346"/>
      <c r="X20" s="2346"/>
      <c r="Y20" s="2346"/>
      <c r="Z20" s="2346"/>
    </row>
    <row r="21" spans="1:26" s="2253" customFormat="1" ht="13.5" customHeight="1">
      <c r="A21" s="2294" t="s">
        <v>1034</v>
      </c>
      <c r="B21" s="2303" t="s">
        <v>1021</v>
      </c>
      <c r="C21" s="2304">
        <f ca="1">ROUND((C18+C19)*F21,0)</f>
        <v>690</v>
      </c>
      <c r="D21" s="2305"/>
      <c r="E21" s="2298"/>
      <c r="F21" s="2184">
        <f ca="1">IF(B1="",'数据-取费表'!Q16,INDIRECT("'数据-取费表'!q"&amp;$K$1))</f>
        <v>0.05</v>
      </c>
      <c r="G21" s="2280"/>
      <c r="H21" s="2283"/>
      <c r="I21" s="2283"/>
      <c r="J21" s="2283"/>
      <c r="K21" s="2342"/>
      <c r="L21" s="2349"/>
      <c r="M21" s="2349"/>
      <c r="N21" s="2349"/>
      <c r="O21" s="2349"/>
      <c r="P21" s="2349"/>
      <c r="Q21" s="2349"/>
      <c r="R21" s="2349"/>
      <c r="S21" s="2349"/>
      <c r="T21" s="2349"/>
      <c r="U21" s="2349"/>
      <c r="V21" s="2349"/>
      <c r="W21" s="2349"/>
      <c r="X21" s="2349"/>
      <c r="Y21" s="2349"/>
      <c r="Z21" s="2349"/>
    </row>
    <row r="22" spans="1:26" s="2252" customFormat="1" ht="13.5" customHeight="1">
      <c r="A22" s="2294" t="s">
        <v>1003</v>
      </c>
      <c r="B22" s="2306" t="s">
        <v>1035</v>
      </c>
      <c r="C22" s="2307"/>
      <c r="D22" s="2307"/>
      <c r="E22" s="2308"/>
      <c r="F22" s="2309">
        <f ca="1">IF(B1="",'数据-取费表'!N16,INDIRECT("'数据-取费表'!N"&amp;$K$1))</f>
        <v>0</v>
      </c>
      <c r="G22" s="2280"/>
      <c r="H22" s="2283"/>
      <c r="I22" s="2283"/>
      <c r="J22" s="2283"/>
      <c r="K22" s="2342"/>
      <c r="L22" s="2346"/>
      <c r="M22" s="2346"/>
      <c r="N22" s="2346"/>
      <c r="O22" s="2346"/>
      <c r="P22" s="2346"/>
      <c r="Q22" s="2346"/>
      <c r="R22" s="2346"/>
      <c r="S22" s="2346"/>
      <c r="T22" s="2346"/>
      <c r="U22" s="2346"/>
      <c r="V22" s="2346"/>
      <c r="W22" s="2346"/>
      <c r="X22" s="2346"/>
      <c r="Y22" s="2346"/>
      <c r="Z22" s="2346"/>
    </row>
    <row r="23" spans="1:26" s="2252" customFormat="1" ht="13.5" customHeight="1">
      <c r="A23" s="2310" t="s">
        <v>1006</v>
      </c>
      <c r="B23" s="2311" t="s">
        <v>1036</v>
      </c>
      <c r="C23" s="2312">
        <f ca="1">ROUND((C18+C19+C20+C21)*F22,0)</f>
        <v>0</v>
      </c>
      <c r="D23" s="2313"/>
      <c r="E23" s="2314"/>
      <c r="F23" s="2315"/>
      <c r="G23" s="2267"/>
      <c r="H23" s="2316"/>
      <c r="I23" s="2316"/>
      <c r="J23" s="2316"/>
      <c r="K23" s="2350"/>
      <c r="L23" s="2346"/>
      <c r="M23" s="2346"/>
      <c r="N23" s="2346"/>
      <c r="O23" s="2346"/>
      <c r="P23" s="2346"/>
      <c r="Q23" s="2346"/>
      <c r="R23" s="2346"/>
      <c r="S23" s="2346"/>
      <c r="T23" s="2346"/>
      <c r="U23" s="2346"/>
      <c r="V23" s="2346"/>
      <c r="W23" s="2346"/>
      <c r="X23" s="2346"/>
      <c r="Y23" s="2346"/>
      <c r="Z23" s="2346"/>
    </row>
    <row r="24" spans="1:26" s="2252" customFormat="1" ht="13.5" customHeight="1">
      <c r="A24" s="3821" t="s">
        <v>1037</v>
      </c>
      <c r="B24" s="3822"/>
      <c r="C24" s="2317">
        <f>ROUND(C6*F24/(1+'数据-取费表'!B42),0)</f>
        <v>0</v>
      </c>
      <c r="D24" s="2318"/>
      <c r="E24" s="2319"/>
      <c r="F24" s="2320">
        <f>'数据-取费表'!B41</f>
        <v>5.5E-2</v>
      </c>
      <c r="G24" s="2321"/>
      <c r="H24" s="2321"/>
      <c r="I24" s="2321"/>
      <c r="J24" s="2321"/>
      <c r="K24" s="2351"/>
      <c r="L24" s="2346"/>
      <c r="M24" s="2346"/>
      <c r="N24" s="2346"/>
      <c r="O24" s="2346"/>
      <c r="P24" s="2346"/>
      <c r="Q24" s="2346"/>
      <c r="R24" s="2346"/>
      <c r="S24" s="2346"/>
      <c r="T24" s="2346"/>
      <c r="U24" s="2346"/>
      <c r="V24" s="2346"/>
      <c r="W24" s="2346"/>
      <c r="X24" s="2346"/>
      <c r="Y24" s="2346"/>
      <c r="Z24" s="2346"/>
    </row>
    <row r="25" spans="1:26" s="2252" customFormat="1" ht="13.5" customHeight="1">
      <c r="A25" s="3821" t="s">
        <v>1038</v>
      </c>
      <c r="B25" s="3822"/>
      <c r="C25" s="2317">
        <f>ROUND(C6*F25,0)</f>
        <v>0</v>
      </c>
      <c r="D25" s="2318"/>
      <c r="E25" s="2319"/>
      <c r="F25" s="2322">
        <f>'数据-取费表'!B38</f>
        <v>0.02</v>
      </c>
      <c r="G25" s="2323"/>
      <c r="H25" s="2321"/>
      <c r="I25" s="2321"/>
      <c r="J25" s="2321"/>
      <c r="K25" s="2351"/>
      <c r="L25" s="2346"/>
      <c r="M25" s="2346"/>
      <c r="N25" s="2346"/>
      <c r="O25" s="2346"/>
      <c r="P25" s="2346"/>
      <c r="Q25" s="2346"/>
      <c r="R25" s="2346"/>
      <c r="S25" s="2346"/>
      <c r="T25" s="2346"/>
      <c r="U25" s="2346"/>
      <c r="V25" s="2346"/>
      <c r="W25" s="2346"/>
      <c r="X25" s="2346"/>
      <c r="Y25" s="2346"/>
      <c r="Z25" s="2346"/>
    </row>
    <row r="26" spans="1:26" s="2254" customFormat="1" ht="13.5" customHeight="1">
      <c r="A26" s="3821" t="s">
        <v>1039</v>
      </c>
      <c r="B26" s="3822"/>
      <c r="C26" s="2324"/>
      <c r="D26" s="2325"/>
      <c r="E26" s="2325"/>
      <c r="F26" s="2326">
        <f>'数据-取费表'!B48+'数据-取费表'!B49</f>
        <v>3.0499999999999999E-2</v>
      </c>
      <c r="G26" s="2327"/>
      <c r="H26" s="2327"/>
      <c r="I26" s="2327"/>
      <c r="J26" s="2352"/>
      <c r="K26" s="2353"/>
      <c r="L26" s="2354"/>
      <c r="M26" s="2354"/>
      <c r="N26" s="2354"/>
      <c r="O26" s="2354"/>
      <c r="P26" s="2354"/>
      <c r="Q26" s="2354"/>
      <c r="R26" s="2354"/>
      <c r="S26" s="2354"/>
      <c r="T26" s="2354"/>
      <c r="U26" s="2354"/>
      <c r="V26" s="2354"/>
      <c r="W26" s="2354"/>
      <c r="X26" s="2354"/>
      <c r="Y26" s="2354"/>
      <c r="Z26" s="2354"/>
    </row>
    <row r="27" spans="1:26" s="2255" customFormat="1" ht="13.5" customHeight="1">
      <c r="A27" s="3823" t="s">
        <v>1040</v>
      </c>
      <c r="B27" s="3824"/>
      <c r="C27" s="2328">
        <f ca="1">(C6-C23-C24-C25)/((1+F26)*(1+D20+F21))</f>
        <v>0</v>
      </c>
      <c r="D27" s="2329"/>
      <c r="E27" s="2329"/>
      <c r="F27" s="2329"/>
      <c r="G27" s="2330" t="s">
        <v>1041</v>
      </c>
      <c r="H27" s="2329"/>
      <c r="I27" s="2329"/>
      <c r="J27" s="2329"/>
      <c r="K27" s="2355"/>
    </row>
    <row r="28" spans="1:26" s="2248" customFormat="1">
      <c r="A28" s="2331"/>
      <c r="C28" s="2332"/>
      <c r="E28" s="2331"/>
    </row>
    <row r="29" spans="1:26" s="2248" customFormat="1" ht="12.75" customHeight="1">
      <c r="A29" s="2331"/>
      <c r="C29" s="2332"/>
      <c r="E29" s="2331"/>
    </row>
    <row r="30" spans="1:26" s="2248" customFormat="1">
      <c r="A30" s="2331"/>
      <c r="C30" s="2332"/>
      <c r="E30" s="2331"/>
    </row>
    <row r="31" spans="1:26" s="2248" customFormat="1">
      <c r="A31" s="2331"/>
      <c r="C31" s="2332"/>
      <c r="E31" s="2331"/>
    </row>
    <row r="32" spans="1:26" s="2248" customFormat="1">
      <c r="A32" s="2331"/>
      <c r="C32" s="2332"/>
      <c r="E32" s="2331"/>
    </row>
    <row r="33" spans="1:5" s="2248" customFormat="1">
      <c r="A33" s="2331"/>
      <c r="C33" s="2332"/>
      <c r="E33" s="2331"/>
    </row>
    <row r="34" spans="1:5" s="2248" customFormat="1">
      <c r="A34" s="2331"/>
      <c r="C34" s="2332"/>
      <c r="E34" s="2331"/>
    </row>
    <row r="35" spans="1:5" s="2248" customFormat="1">
      <c r="A35" s="2331"/>
      <c r="C35" s="2332"/>
      <c r="E35" s="2331"/>
    </row>
    <row r="36" spans="1:5" s="2248" customFormat="1">
      <c r="A36" s="2331"/>
      <c r="C36" s="2332"/>
      <c r="E36" s="2331"/>
    </row>
    <row r="37" spans="1:5" s="2248" customFormat="1">
      <c r="A37" s="2331"/>
      <c r="C37" s="2332"/>
      <c r="E37" s="2331"/>
    </row>
    <row r="38" spans="1:5" s="2248" customFormat="1">
      <c r="A38" s="2331"/>
      <c r="C38" s="2332"/>
      <c r="E38" s="2331"/>
    </row>
    <row r="39" spans="1:5" s="2248" customFormat="1">
      <c r="A39" s="2331"/>
      <c r="C39" s="2332"/>
      <c r="E39" s="2331"/>
    </row>
    <row r="40" spans="1:5" s="2248" customFormat="1">
      <c r="A40" s="2331"/>
      <c r="C40" s="2332"/>
      <c r="E40" s="2331"/>
    </row>
    <row r="41" spans="1:5" s="2248" customFormat="1">
      <c r="A41" s="2331"/>
      <c r="C41" s="2332"/>
      <c r="E41" s="2331"/>
    </row>
    <row r="42" spans="1:5" s="2248" customFormat="1">
      <c r="A42" s="2331"/>
      <c r="C42" s="2332"/>
      <c r="E42" s="2331"/>
    </row>
    <row r="43" spans="1:5" s="2248" customFormat="1">
      <c r="A43" s="2331"/>
      <c r="C43" s="2332"/>
      <c r="E43" s="2331"/>
    </row>
    <row r="44" spans="1:5" s="2248" customFormat="1">
      <c r="A44" s="2331"/>
      <c r="C44" s="2332"/>
      <c r="E44" s="2331"/>
    </row>
    <row r="45" spans="1:5" s="2248" customFormat="1">
      <c r="A45" s="2331"/>
      <c r="C45" s="2332"/>
      <c r="E45" s="2331"/>
    </row>
    <row r="46" spans="1:5" s="2248" customFormat="1">
      <c r="A46" s="2331"/>
      <c r="C46" s="2332"/>
      <c r="E46" s="2331"/>
    </row>
    <row r="47" spans="1:5" s="2248" customFormat="1">
      <c r="A47" s="2331"/>
      <c r="C47" s="2332"/>
      <c r="E47" s="2331"/>
    </row>
    <row r="48" spans="1:5"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sheetData>
  <sheetProtection password="CEE9" sheet="1" objects="1" scenarios="1" formatCells="0" formatColumns="0" formatRows="0"/>
  <mergeCells count="4">
    <mergeCell ref="A24:B24"/>
    <mergeCell ref="A25:B25"/>
    <mergeCell ref="A26:B26"/>
    <mergeCell ref="A27:B27"/>
  </mergeCells>
  <phoneticPr fontId="25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1042</v>
      </c>
      <c r="B1" s="542"/>
      <c r="C1" s="209" t="s">
        <v>1043</v>
      </c>
      <c r="D1" s="2096" t="s">
        <v>1044</v>
      </c>
      <c r="E1" s="211"/>
      <c r="F1" s="1238"/>
      <c r="G1" s="211"/>
      <c r="H1" s="211"/>
      <c r="I1" s="211"/>
      <c r="J1" s="211"/>
      <c r="K1" s="382"/>
      <c r="L1" s="383"/>
      <c r="M1" s="384"/>
      <c r="N1" s="384"/>
      <c r="O1" s="384"/>
      <c r="P1" s="385"/>
      <c r="Q1" s="385"/>
      <c r="R1" s="385"/>
      <c r="S1" s="385"/>
      <c r="T1" s="385"/>
      <c r="U1" s="385"/>
      <c r="V1" s="385"/>
      <c r="W1" s="385"/>
      <c r="X1" s="385"/>
      <c r="Y1" s="385"/>
      <c r="Z1" s="385"/>
      <c r="AA1" s="385"/>
      <c r="AB1" s="385"/>
      <c r="AC1" s="477"/>
      <c r="AD1" s="2230"/>
    </row>
    <row r="2" spans="1:30" s="198" customFormat="1" ht="28.5" customHeight="1">
      <c r="A2" s="214" t="s">
        <v>962</v>
      </c>
      <c r="B2" s="2098" t="e">
        <f>F67</f>
        <v>#DIV/0!</v>
      </c>
      <c r="C2" s="2207"/>
      <c r="D2" s="2207"/>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c r="AD2" s="2230"/>
    </row>
    <row r="3" spans="1:30" s="198" customFormat="1" ht="28.5" customHeight="1">
      <c r="A3" s="722" t="s">
        <v>963</v>
      </c>
      <c r="B3" s="220" t="e">
        <f>ROUND(B2*10000/'数据-汇总表'!E3,0)</f>
        <v>#DIV/0!</v>
      </c>
      <c r="C3" s="725"/>
      <c r="D3" s="2208"/>
      <c r="E3" s="725"/>
      <c r="F3" s="725"/>
      <c r="G3" s="2099"/>
      <c r="H3" s="2099"/>
      <c r="I3" s="2099"/>
      <c r="J3" s="2099"/>
      <c r="K3" s="2163"/>
      <c r="L3" s="387"/>
      <c r="M3" s="385"/>
      <c r="N3" s="385"/>
      <c r="O3" s="385"/>
      <c r="P3" s="385"/>
      <c r="Q3" s="385"/>
      <c r="R3" s="385"/>
      <c r="S3" s="385"/>
      <c r="T3" s="385"/>
      <c r="U3" s="385"/>
      <c r="V3" s="385"/>
      <c r="W3" s="385"/>
      <c r="X3" s="385"/>
      <c r="Y3" s="385"/>
      <c r="Z3" s="385"/>
      <c r="AA3" s="385"/>
      <c r="AB3" s="478"/>
      <c r="AC3" s="479"/>
    </row>
    <row r="4" spans="1:30" s="198" customFormat="1" ht="28.5" customHeight="1">
      <c r="A4" s="2102" t="s">
        <v>1045</v>
      </c>
      <c r="B4" s="724" t="e">
        <f>IF(B48="单位面积地价",C50,ROUND(B2*10000/'数据-汇总表'!D3,0))</f>
        <v>#DIV/0!</v>
      </c>
      <c r="C4" s="725"/>
      <c r="D4" s="2208"/>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385"/>
      <c r="AC5" s="479"/>
    </row>
    <row r="6" spans="1:30" ht="20.25">
      <c r="A6" s="223" t="s">
        <v>1046</v>
      </c>
      <c r="B6" s="224"/>
      <c r="C6" s="3825" t="s">
        <v>1047</v>
      </c>
      <c r="D6" s="3826"/>
      <c r="E6" s="3825" t="s">
        <v>1048</v>
      </c>
      <c r="F6" s="3826"/>
      <c r="G6" s="3825" t="s">
        <v>1049</v>
      </c>
      <c r="H6" s="3826"/>
      <c r="I6" s="3825" t="s">
        <v>1050</v>
      </c>
      <c r="J6" s="3826"/>
      <c r="K6" s="388" t="s">
        <v>1051</v>
      </c>
      <c r="L6" s="389"/>
      <c r="M6" s="385"/>
      <c r="N6" s="385"/>
      <c r="O6" s="390"/>
      <c r="P6" s="3849" t="s">
        <v>1052</v>
      </c>
      <c r="Q6" s="3850"/>
      <c r="R6" s="3855" t="s">
        <v>1048</v>
      </c>
      <c r="S6" s="3856"/>
      <c r="T6" s="3855" t="s">
        <v>1049</v>
      </c>
      <c r="U6" s="3856"/>
      <c r="V6" s="3837" t="s">
        <v>1050</v>
      </c>
      <c r="W6" s="3837"/>
      <c r="X6" s="460"/>
      <c r="Y6" s="3855" t="s">
        <v>1052</v>
      </c>
      <c r="Z6" s="3856"/>
      <c r="AA6" s="3846" t="s">
        <v>1048</v>
      </c>
      <c r="AB6" s="3847" t="s">
        <v>1049</v>
      </c>
      <c r="AC6" s="3846" t="s">
        <v>1050</v>
      </c>
    </row>
    <row r="7" spans="1:30" ht="20.25">
      <c r="A7" s="225"/>
      <c r="B7" s="226"/>
      <c r="C7" s="3827" t="s">
        <v>1053</v>
      </c>
      <c r="D7" s="3828"/>
      <c r="E7" s="3827" t="s">
        <v>1054</v>
      </c>
      <c r="F7" s="3828"/>
      <c r="G7" s="3827" t="s">
        <v>1055</v>
      </c>
      <c r="H7" s="3828"/>
      <c r="I7" s="3827" t="s">
        <v>1056</v>
      </c>
      <c r="J7" s="3828"/>
      <c r="K7" s="388"/>
      <c r="L7" s="389"/>
      <c r="M7" s="385"/>
      <c r="N7" s="385"/>
      <c r="O7" s="390"/>
      <c r="P7" s="3851"/>
      <c r="Q7" s="3852"/>
      <c r="R7" s="3857"/>
      <c r="S7" s="3858"/>
      <c r="T7" s="3857"/>
      <c r="U7" s="3858"/>
      <c r="V7" s="3837"/>
      <c r="W7" s="3837"/>
      <c r="X7" s="460"/>
      <c r="Y7" s="3857"/>
      <c r="Z7" s="3858"/>
      <c r="AA7" s="3847"/>
      <c r="AB7" s="3847"/>
      <c r="AC7" s="3847"/>
    </row>
    <row r="8" spans="1:30" ht="20.25">
      <c r="A8" s="225"/>
      <c r="B8" s="226"/>
      <c r="C8" s="3829" t="s">
        <v>1057</v>
      </c>
      <c r="D8" s="3830"/>
      <c r="E8" s="3829" t="s">
        <v>1057</v>
      </c>
      <c r="F8" s="3830"/>
      <c r="G8" s="3831" t="s">
        <v>1057</v>
      </c>
      <c r="H8" s="3832"/>
      <c r="I8" s="3831" t="s">
        <v>1057</v>
      </c>
      <c r="J8" s="3832"/>
      <c r="K8" s="388" t="s">
        <v>1058</v>
      </c>
      <c r="L8" s="389"/>
      <c r="M8" s="385"/>
      <c r="N8" s="385"/>
      <c r="O8" s="390"/>
      <c r="P8" s="3853"/>
      <c r="Q8" s="3854"/>
      <c r="R8" s="3857"/>
      <c r="S8" s="3858"/>
      <c r="T8" s="3859"/>
      <c r="U8" s="3860"/>
      <c r="V8" s="3837"/>
      <c r="W8" s="3837"/>
      <c r="X8" s="460"/>
      <c r="Y8" s="3859"/>
      <c r="Z8" s="3860"/>
      <c r="AA8" s="3848"/>
      <c r="AB8" s="3848"/>
      <c r="AC8" s="3848"/>
    </row>
    <row r="9" spans="1:30" s="199" customFormat="1" ht="20.25">
      <c r="A9" s="229"/>
      <c r="B9" s="230" t="s">
        <v>1059</v>
      </c>
      <c r="C9" s="2209">
        <f>'数据-取费表'!B2</f>
        <v>45257</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33" t="s">
        <v>1060</v>
      </c>
      <c r="Q9" s="3834"/>
      <c r="R9" s="461" t="s">
        <v>1061</v>
      </c>
      <c r="S9" s="462">
        <f t="shared" ref="S9:S17" si="0">F9</f>
        <v>0</v>
      </c>
      <c r="T9" s="461" t="s">
        <v>1061</v>
      </c>
      <c r="U9" s="462">
        <f t="shared" ref="U9:U17" si="1">H9</f>
        <v>0</v>
      </c>
      <c r="V9" s="461" t="s">
        <v>1061</v>
      </c>
      <c r="W9" s="462">
        <f t="shared" ref="W9:W17" si="2">J9</f>
        <v>0</v>
      </c>
      <c r="X9" s="463"/>
      <c r="Y9" s="3833" t="s">
        <v>1060</v>
      </c>
      <c r="Z9" s="3835"/>
      <c r="AA9" s="480" t="e">
        <f>D9/F9</f>
        <v>#DIV/0!</v>
      </c>
      <c r="AB9" s="480" t="e">
        <f>D9/H9</f>
        <v>#DIV/0!</v>
      </c>
      <c r="AC9" s="480" t="e">
        <f>D9/J9</f>
        <v>#DIV/0!</v>
      </c>
    </row>
    <row r="10" spans="1:30" s="199" customFormat="1" ht="20.25">
      <c r="A10" s="236"/>
      <c r="B10" s="237" t="s">
        <v>1062</v>
      </c>
      <c r="C10" s="627" t="s">
        <v>1063</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33" t="s">
        <v>1064</v>
      </c>
      <c r="Q10" s="3835"/>
      <c r="R10" s="461" t="s">
        <v>1061</v>
      </c>
      <c r="S10" s="462">
        <f t="shared" si="0"/>
        <v>0</v>
      </c>
      <c r="T10" s="461" t="s">
        <v>1061</v>
      </c>
      <c r="U10" s="462">
        <f t="shared" si="1"/>
        <v>0</v>
      </c>
      <c r="V10" s="461" t="s">
        <v>1061</v>
      </c>
      <c r="W10" s="462">
        <f t="shared" si="2"/>
        <v>0</v>
      </c>
      <c r="X10" s="463"/>
      <c r="Y10" s="3833" t="s">
        <v>1064</v>
      </c>
      <c r="Z10" s="3835"/>
      <c r="AA10" s="480" t="e">
        <f t="shared" ref="AA10:AA47" si="3">D10/F10</f>
        <v>#DIV/0!</v>
      </c>
      <c r="AB10" s="480" t="e">
        <f t="shared" ref="AB10:AB47" si="4">D10/H10</f>
        <v>#DIV/0!</v>
      </c>
      <c r="AC10" s="480" t="e">
        <f t="shared" ref="AC10:AC47" si="5">D10/J10</f>
        <v>#DIV/0!</v>
      </c>
    </row>
    <row r="11" spans="1:30" s="199" customFormat="1" ht="20.25">
      <c r="A11" s="239"/>
      <c r="B11" s="240" t="s">
        <v>1065</v>
      </c>
      <c r="C11" s="2210"/>
      <c r="D11" s="242">
        <v>100</v>
      </c>
      <c r="E11" s="2103"/>
      <c r="F11" s="242">
        <f>SUMIF(76:76,E11,77:77)-SUMIF(76:76,C11,77:77)+100</f>
        <v>100</v>
      </c>
      <c r="G11" s="2103"/>
      <c r="H11" s="242">
        <f>SUMIF(76:76,G11,77:77)-SUMIF(76:76,C11,77:77)+100</f>
        <v>100</v>
      </c>
      <c r="I11" s="2103"/>
      <c r="J11" s="242">
        <f>SUMIF(76:76,I11,77:77)-SUMIF(76:76,C11,77:77)+100</f>
        <v>100</v>
      </c>
      <c r="K11" s="391"/>
      <c r="L11" s="392"/>
      <c r="M11" s="385"/>
      <c r="N11" s="385"/>
      <c r="O11" s="394"/>
      <c r="P11" s="3836" t="s">
        <v>1066</v>
      </c>
      <c r="Q11" s="464" t="str">
        <f t="shared" ref="Q11:Q17" si="6">B11</f>
        <v>用途</v>
      </c>
      <c r="R11" s="461" t="s">
        <v>1061</v>
      </c>
      <c r="S11" s="462">
        <f t="shared" si="0"/>
        <v>100</v>
      </c>
      <c r="T11" s="461" t="s">
        <v>1061</v>
      </c>
      <c r="U11" s="462">
        <f t="shared" si="1"/>
        <v>100</v>
      </c>
      <c r="V11" s="461" t="s">
        <v>1061</v>
      </c>
      <c r="W11" s="462">
        <f t="shared" si="2"/>
        <v>100</v>
      </c>
      <c r="X11" s="463"/>
      <c r="Y11" s="3804" t="s">
        <v>1067</v>
      </c>
      <c r="Z11" s="481" t="str">
        <f t="shared" ref="Z11:Z17" si="7">Q11</f>
        <v>用途</v>
      </c>
      <c r="AA11" s="480">
        <f t="shared" si="3"/>
        <v>1</v>
      </c>
      <c r="AB11" s="480">
        <f t="shared" si="4"/>
        <v>1</v>
      </c>
      <c r="AC11" s="480">
        <f t="shared" si="5"/>
        <v>1</v>
      </c>
    </row>
    <row r="12" spans="1:30" s="200" customFormat="1" ht="27">
      <c r="A12" s="244"/>
      <c r="B12" s="237" t="s">
        <v>1068</v>
      </c>
      <c r="C12" s="578"/>
      <c r="D12" s="246">
        <v>100</v>
      </c>
      <c r="E12" s="631"/>
      <c r="F12" s="246">
        <f>ROUND(100/'数据-取费表'!G16,0)</f>
        <v>104</v>
      </c>
      <c r="G12" s="630"/>
      <c r="H12" s="246">
        <f>ROUND(100/'数据-取费表'!G16,0)</f>
        <v>104</v>
      </c>
      <c r="I12" s="630"/>
      <c r="J12" s="246">
        <f>ROUND(100/'数据-取费表'!G16,0)</f>
        <v>104</v>
      </c>
      <c r="K12" s="2164"/>
      <c r="L12" s="396"/>
      <c r="M12" s="385"/>
      <c r="N12" s="385"/>
      <c r="O12" s="398"/>
      <c r="P12" s="3836"/>
      <c r="Q12" s="464" t="str">
        <f t="shared" si="6"/>
        <v>土地使用年限（年）</v>
      </c>
      <c r="R12" s="461" t="s">
        <v>1061</v>
      </c>
      <c r="S12" s="462">
        <f t="shared" si="0"/>
        <v>104</v>
      </c>
      <c r="T12" s="461" t="s">
        <v>1061</v>
      </c>
      <c r="U12" s="462">
        <f t="shared" si="1"/>
        <v>104</v>
      </c>
      <c r="V12" s="461" t="s">
        <v>1061</v>
      </c>
      <c r="W12" s="462">
        <f t="shared" si="2"/>
        <v>104</v>
      </c>
      <c r="X12" s="463"/>
      <c r="Y12" s="3804"/>
      <c r="Z12" s="481" t="str">
        <f t="shared" si="7"/>
        <v>土地使用年限（年）</v>
      </c>
      <c r="AA12" s="480">
        <f t="shared" si="3"/>
        <v>0.96153846153846201</v>
      </c>
      <c r="AB12" s="480">
        <f t="shared" si="4"/>
        <v>0.96153846153846201</v>
      </c>
      <c r="AC12" s="480">
        <f t="shared" si="5"/>
        <v>0.96153846153846201</v>
      </c>
    </row>
    <row r="13" spans="1:30" ht="20.25">
      <c r="A13" s="543"/>
      <c r="B13" s="237" t="s">
        <v>1069</v>
      </c>
      <c r="C13" s="545"/>
      <c r="D13" s="246">
        <v>100</v>
      </c>
      <c r="E13" s="544"/>
      <c r="F13" s="246" t="e">
        <f>LOOKUP(E13,81:81,82:82)-LOOKUP(C13,81:81,82:82)+100</f>
        <v>#N/A</v>
      </c>
      <c r="G13" s="545"/>
      <c r="H13" s="246" t="e">
        <f>LOOKUP(G13,81:81,82:82)-LOOKUP(C13,81:81,82:82)+100</f>
        <v>#N/A</v>
      </c>
      <c r="I13" s="544"/>
      <c r="J13" s="246" t="e">
        <f>LOOKUP(I13,81:81,82:82)-LOOKUP(C13,81:81,82:82)+100</f>
        <v>#N/A</v>
      </c>
      <c r="K13" s="2165"/>
      <c r="L13" s="400"/>
      <c r="M13" s="385"/>
      <c r="N13" s="385"/>
      <c r="O13" s="401"/>
      <c r="P13" s="3836"/>
      <c r="Q13" s="464" t="str">
        <f t="shared" si="6"/>
        <v>容积率</v>
      </c>
      <c r="R13" s="461" t="s">
        <v>1061</v>
      </c>
      <c r="S13" s="462" t="e">
        <f t="shared" si="0"/>
        <v>#N/A</v>
      </c>
      <c r="T13" s="461" t="s">
        <v>1061</v>
      </c>
      <c r="U13" s="462" t="e">
        <f t="shared" si="1"/>
        <v>#N/A</v>
      </c>
      <c r="V13" s="461" t="s">
        <v>1061</v>
      </c>
      <c r="W13" s="462" t="e">
        <f t="shared" si="2"/>
        <v>#N/A</v>
      </c>
      <c r="X13" s="463"/>
      <c r="Y13" s="3804"/>
      <c r="Z13" s="481" t="str">
        <f t="shared" si="7"/>
        <v>容积率</v>
      </c>
      <c r="AA13" s="480" t="e">
        <f t="shared" si="3"/>
        <v>#N/A</v>
      </c>
      <c r="AB13" s="480" t="e">
        <f t="shared" si="4"/>
        <v>#N/A</v>
      </c>
      <c r="AC13" s="480" t="e">
        <f t="shared" si="5"/>
        <v>#N/A</v>
      </c>
    </row>
    <row r="14" spans="1:30" s="199" customFormat="1" ht="20.25">
      <c r="A14" s="236"/>
      <c r="B14" s="2211" t="s">
        <v>1070</v>
      </c>
      <c r="C14" s="2212"/>
      <c r="D14" s="252">
        <v>100</v>
      </c>
      <c r="E14" s="2213"/>
      <c r="F14" s="246">
        <f>SUMIF(83:83,E14,84:84)-SUMIF(83:83,C14,84:84)+100</f>
        <v>100</v>
      </c>
      <c r="G14" s="630"/>
      <c r="H14" s="246">
        <f>SUMIF(83:83,G14,84:84)-SUMIF(83:83,C14,84:84)+100</f>
        <v>100</v>
      </c>
      <c r="I14" s="631"/>
      <c r="J14" s="246">
        <f>SUMIF(83:83,I14,84:84)-SUMIF(83:83,C14,84:84)+100</f>
        <v>100</v>
      </c>
      <c r="K14" s="2164"/>
      <c r="L14" s="392"/>
      <c r="M14" s="385"/>
      <c r="N14" s="385"/>
      <c r="O14" s="394"/>
      <c r="P14" s="3836"/>
      <c r="Q14" s="464" t="str">
        <f t="shared" si="6"/>
        <v>配建</v>
      </c>
      <c r="R14" s="461" t="s">
        <v>1061</v>
      </c>
      <c r="S14" s="462">
        <f t="shared" si="0"/>
        <v>100</v>
      </c>
      <c r="T14" s="461" t="s">
        <v>1061</v>
      </c>
      <c r="U14" s="462">
        <f t="shared" si="1"/>
        <v>100</v>
      </c>
      <c r="V14" s="461" t="s">
        <v>1061</v>
      </c>
      <c r="W14" s="462">
        <f t="shared" si="2"/>
        <v>100</v>
      </c>
      <c r="X14" s="463"/>
      <c r="Y14" s="3804"/>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104"/>
      <c r="H15" s="256">
        <f>SUMIF(85:85,G15,86:86)-SUMIF(85:85,C15,86:86)+100</f>
        <v>100</v>
      </c>
      <c r="I15" s="2104"/>
      <c r="J15" s="256">
        <f>SUMIF(85:85,I15,86:86)-SUMIF(85:85,C15,86:86)+100</f>
        <v>100</v>
      </c>
      <c r="K15" s="2164"/>
      <c r="L15" s="402"/>
      <c r="M15" s="385"/>
      <c r="N15" s="385"/>
      <c r="O15" s="401"/>
      <c r="P15" s="3836"/>
      <c r="Q15" s="464">
        <f t="shared" si="6"/>
        <v>111</v>
      </c>
      <c r="R15" s="461" t="s">
        <v>1061</v>
      </c>
      <c r="S15" s="462">
        <f t="shared" si="0"/>
        <v>100</v>
      </c>
      <c r="T15" s="461" t="s">
        <v>1061</v>
      </c>
      <c r="U15" s="462">
        <f t="shared" si="1"/>
        <v>100</v>
      </c>
      <c r="V15" s="461" t="s">
        <v>1061</v>
      </c>
      <c r="W15" s="462">
        <f t="shared" si="2"/>
        <v>100</v>
      </c>
      <c r="X15" s="463"/>
      <c r="Y15" s="3804"/>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104"/>
      <c r="H16" s="309">
        <f>SUMIF(87:87,G16,88:88)-SUMIF(87:87,C16,88:88)+100</f>
        <v>100</v>
      </c>
      <c r="I16" s="2104"/>
      <c r="J16" s="309">
        <f>SUMIF(87:87,I16,88:88)-SUMIF(87:87,C16,88:88)+100</f>
        <v>100</v>
      </c>
      <c r="K16" s="2164"/>
      <c r="L16" s="402"/>
      <c r="M16" s="385"/>
      <c r="N16" s="385"/>
      <c r="O16" s="401"/>
      <c r="P16" s="3836"/>
      <c r="Q16" s="464">
        <f t="shared" si="6"/>
        <v>111</v>
      </c>
      <c r="R16" s="461" t="s">
        <v>1061</v>
      </c>
      <c r="S16" s="462">
        <f t="shared" si="0"/>
        <v>100</v>
      </c>
      <c r="T16" s="461" t="s">
        <v>1061</v>
      </c>
      <c r="U16" s="462">
        <f t="shared" si="1"/>
        <v>100</v>
      </c>
      <c r="V16" s="461" t="s">
        <v>1061</v>
      </c>
      <c r="W16" s="462">
        <f t="shared" si="2"/>
        <v>100</v>
      </c>
      <c r="X16" s="463"/>
      <c r="Y16" s="3804"/>
      <c r="Z16" s="481">
        <f t="shared" si="7"/>
        <v>111</v>
      </c>
      <c r="AA16" s="480">
        <f t="shared" si="3"/>
        <v>1</v>
      </c>
      <c r="AB16" s="480">
        <f t="shared" si="4"/>
        <v>1</v>
      </c>
      <c r="AC16" s="480">
        <f t="shared" si="5"/>
        <v>1</v>
      </c>
    </row>
    <row r="17" spans="1:29" ht="99.75">
      <c r="A17" s="257" t="s">
        <v>1071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5"/>
      <c r="L17" s="402"/>
      <c r="M17" s="385"/>
      <c r="N17" s="385"/>
      <c r="O17" s="401"/>
      <c r="P17" s="3842" t="s">
        <v>1072</v>
      </c>
      <c r="Q17" s="395" t="str">
        <f t="shared" si="6"/>
        <v>居住社区成熟度</v>
      </c>
      <c r="R17" s="465" t="s">
        <v>1061</v>
      </c>
      <c r="S17" s="466">
        <f t="shared" si="0"/>
        <v>100</v>
      </c>
      <c r="T17" s="465" t="s">
        <v>1061</v>
      </c>
      <c r="U17" s="466">
        <f t="shared" si="1"/>
        <v>100</v>
      </c>
      <c r="V17" s="465" t="s">
        <v>1061</v>
      </c>
      <c r="W17" s="466">
        <f t="shared" si="2"/>
        <v>100</v>
      </c>
      <c r="X17" s="460"/>
      <c r="Y17" s="3842" t="s">
        <v>1072</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64"/>
      <c r="L18" s="402"/>
      <c r="M18" s="385"/>
      <c r="N18" s="385"/>
      <c r="O18" s="401"/>
      <c r="P18" s="3843"/>
      <c r="Q18" s="395"/>
      <c r="R18" s="465"/>
      <c r="S18" s="466"/>
      <c r="T18" s="465"/>
      <c r="U18" s="466"/>
      <c r="V18" s="465"/>
      <c r="W18" s="466"/>
      <c r="X18" s="460"/>
      <c r="Y18" s="3843"/>
      <c r="Z18" s="459"/>
      <c r="AA18" s="471">
        <v>1</v>
      </c>
      <c r="AB18" s="471">
        <v>1</v>
      </c>
      <c r="AC18" s="471">
        <v>1</v>
      </c>
    </row>
    <row r="19" spans="1:29" ht="71.25">
      <c r="A19" s="264"/>
      <c r="B19" s="513" t="s">
        <v>224</v>
      </c>
      <c r="C19" s="221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5"/>
      <c r="L19" s="402"/>
      <c r="M19" s="385"/>
      <c r="N19" s="385"/>
      <c r="O19" s="401"/>
      <c r="P19" s="3843"/>
      <c r="Q19" s="395" t="str">
        <f>B19</f>
        <v>商业繁华度</v>
      </c>
      <c r="R19" s="465" t="s">
        <v>1061</v>
      </c>
      <c r="S19" s="466">
        <f>F19</f>
        <v>100</v>
      </c>
      <c r="T19" s="465" t="s">
        <v>1061</v>
      </c>
      <c r="U19" s="466">
        <f>H19</f>
        <v>100</v>
      </c>
      <c r="V19" s="465" t="s">
        <v>1061</v>
      </c>
      <c r="W19" s="466">
        <f>J19</f>
        <v>100</v>
      </c>
      <c r="X19" s="460"/>
      <c r="Y19" s="3843"/>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64"/>
      <c r="L20" s="402"/>
      <c r="M20" s="385"/>
      <c r="N20" s="385"/>
      <c r="O20" s="401"/>
      <c r="P20" s="3843"/>
      <c r="Q20" s="395"/>
      <c r="R20" s="465"/>
      <c r="S20" s="466"/>
      <c r="T20" s="465"/>
      <c r="U20" s="466"/>
      <c r="V20" s="465"/>
      <c r="W20" s="466"/>
      <c r="X20" s="460"/>
      <c r="Y20" s="3843"/>
      <c r="Z20" s="459"/>
      <c r="AA20" s="471">
        <v>1</v>
      </c>
      <c r="AB20" s="471">
        <v>1</v>
      </c>
      <c r="AC20" s="471">
        <v>1</v>
      </c>
    </row>
    <row r="21" spans="1:29" ht="71.25">
      <c r="A21" s="264"/>
      <c r="B21" s="513" t="s">
        <v>225</v>
      </c>
      <c r="C21" s="221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5"/>
      <c r="L21" s="402"/>
      <c r="M21" s="385"/>
      <c r="N21" s="385"/>
      <c r="O21" s="401"/>
      <c r="P21" s="3843"/>
      <c r="Q21" s="395" t="str">
        <f>B21</f>
        <v>办公集聚程度</v>
      </c>
      <c r="R21" s="465" t="s">
        <v>1061</v>
      </c>
      <c r="S21" s="466">
        <f>F21</f>
        <v>100</v>
      </c>
      <c r="T21" s="465" t="s">
        <v>1061</v>
      </c>
      <c r="U21" s="466">
        <f>H21</f>
        <v>100</v>
      </c>
      <c r="V21" s="465" t="s">
        <v>1061</v>
      </c>
      <c r="W21" s="466">
        <f>J21</f>
        <v>100</v>
      </c>
      <c r="X21" s="460"/>
      <c r="Y21" s="3843"/>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64"/>
      <c r="L22" s="402"/>
      <c r="M22" s="385"/>
      <c r="N22" s="385"/>
      <c r="O22" s="401"/>
      <c r="P22" s="3843"/>
      <c r="Q22" s="395"/>
      <c r="R22" s="465"/>
      <c r="S22" s="466"/>
      <c r="T22" s="465"/>
      <c r="U22" s="466"/>
      <c r="V22" s="465"/>
      <c r="W22" s="466"/>
      <c r="X22" s="460"/>
      <c r="Y22" s="3843"/>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5"/>
      <c r="L23" s="402"/>
      <c r="M23" s="385"/>
      <c r="N23" s="385"/>
      <c r="O23" s="401"/>
      <c r="P23" s="3843"/>
      <c r="Q23" s="395" t="str">
        <f>B23</f>
        <v>交通便捷度</v>
      </c>
      <c r="R23" s="465" t="s">
        <v>1061</v>
      </c>
      <c r="S23" s="466">
        <f>F23</f>
        <v>100</v>
      </c>
      <c r="T23" s="465" t="s">
        <v>1061</v>
      </c>
      <c r="U23" s="466">
        <f>H23</f>
        <v>100</v>
      </c>
      <c r="V23" s="465" t="s">
        <v>1061</v>
      </c>
      <c r="W23" s="466">
        <f>J23</f>
        <v>100</v>
      </c>
      <c r="X23" s="460"/>
      <c r="Y23" s="3843"/>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64"/>
      <c r="L24" s="402"/>
      <c r="M24" s="385"/>
      <c r="N24" s="385"/>
      <c r="O24" s="401"/>
      <c r="P24" s="3843"/>
      <c r="Q24" s="395"/>
      <c r="R24" s="465"/>
      <c r="S24" s="466"/>
      <c r="T24" s="465"/>
      <c r="U24" s="466"/>
      <c r="V24" s="465"/>
      <c r="W24" s="466"/>
      <c r="X24" s="460"/>
      <c r="Y24" s="3843"/>
      <c r="Z24" s="459"/>
      <c r="AA24" s="471">
        <v>1</v>
      </c>
      <c r="AB24" s="471">
        <v>1</v>
      </c>
      <c r="AC24" s="471">
        <v>1</v>
      </c>
    </row>
    <row r="25" spans="1:29" ht="20.25">
      <c r="A25" s="225"/>
      <c r="B25" s="2215"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5"/>
      <c r="L25" s="402"/>
      <c r="M25" s="385"/>
      <c r="N25" s="385"/>
      <c r="O25" s="401"/>
      <c r="P25" s="3843"/>
      <c r="Q25" s="395" t="str">
        <f t="shared" ref="Q25:Q40" si="8">B25</f>
        <v>区域土地利用方向</v>
      </c>
      <c r="R25" s="465" t="s">
        <v>1061</v>
      </c>
      <c r="S25" s="466">
        <f>F25</f>
        <v>100</v>
      </c>
      <c r="T25" s="465" t="s">
        <v>1061</v>
      </c>
      <c r="U25" s="466">
        <f>H25</f>
        <v>100</v>
      </c>
      <c r="V25" s="465" t="s">
        <v>1061</v>
      </c>
      <c r="W25" s="466">
        <f>J25</f>
        <v>100</v>
      </c>
      <c r="X25" s="460"/>
      <c r="Y25" s="3843"/>
      <c r="Z25" s="459" t="str">
        <f>Q25</f>
        <v>区域土地利用方向</v>
      </c>
      <c r="AA25" s="471">
        <f t="shared" si="3"/>
        <v>1</v>
      </c>
      <c r="AB25" s="471">
        <f t="shared" si="4"/>
        <v>1</v>
      </c>
      <c r="AC25" s="471">
        <f t="shared" si="5"/>
        <v>1</v>
      </c>
    </row>
    <row r="26" spans="1:29" ht="20.25">
      <c r="A26" s="225"/>
      <c r="B26" s="2216"/>
      <c r="C26" s="581"/>
      <c r="D26" s="268"/>
      <c r="E26" s="550"/>
      <c r="F26" s="267"/>
      <c r="G26" s="549"/>
      <c r="H26" s="267"/>
      <c r="I26" s="550"/>
      <c r="J26" s="267"/>
      <c r="K26" s="2164"/>
      <c r="L26" s="402"/>
      <c r="M26" s="385"/>
      <c r="N26" s="385"/>
      <c r="O26" s="401"/>
      <c r="P26" s="3843"/>
      <c r="Q26" s="395"/>
      <c r="R26" s="465"/>
      <c r="S26" s="466"/>
      <c r="T26" s="465"/>
      <c r="U26" s="466"/>
      <c r="V26" s="465"/>
      <c r="W26" s="466"/>
      <c r="X26" s="460"/>
      <c r="Y26" s="3843"/>
      <c r="Z26" s="459"/>
      <c r="AA26" s="471"/>
      <c r="AB26" s="471"/>
      <c r="AC26" s="471"/>
    </row>
    <row r="27" spans="1:29" ht="57">
      <c r="A27" s="225"/>
      <c r="B27" s="282" t="s">
        <v>1073</v>
      </c>
      <c r="C27" s="221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5"/>
      <c r="L27" s="402"/>
      <c r="M27" s="385"/>
      <c r="N27" s="385"/>
      <c r="O27" s="401"/>
      <c r="P27" s="3843"/>
      <c r="Q27" s="395" t="str">
        <f t="shared" si="8"/>
        <v>自然及人文环境状况</v>
      </c>
      <c r="R27" s="465" t="s">
        <v>1061</v>
      </c>
      <c r="S27" s="466">
        <f>F27</f>
        <v>100</v>
      </c>
      <c r="T27" s="465" t="s">
        <v>1061</v>
      </c>
      <c r="U27" s="466">
        <f>H27</f>
        <v>100</v>
      </c>
      <c r="V27" s="465" t="s">
        <v>1061</v>
      </c>
      <c r="W27" s="466">
        <f>J27</f>
        <v>100</v>
      </c>
      <c r="X27" s="460"/>
      <c r="Y27" s="3843"/>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64"/>
      <c r="L28" s="402"/>
      <c r="M28" s="385"/>
      <c r="N28" s="385"/>
      <c r="O28" s="401"/>
      <c r="P28" s="3843"/>
      <c r="Q28" s="395"/>
      <c r="R28" s="465"/>
      <c r="S28" s="466"/>
      <c r="T28" s="465"/>
      <c r="U28" s="466"/>
      <c r="V28" s="465"/>
      <c r="W28" s="466"/>
      <c r="X28" s="460"/>
      <c r="Y28" s="3843"/>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5"/>
      <c r="L29" s="392"/>
      <c r="M29" s="385"/>
      <c r="N29" s="385"/>
      <c r="O29" s="394"/>
      <c r="P29" s="3843"/>
      <c r="Q29" s="464" t="str">
        <f t="shared" si="8"/>
        <v>公共配套设施</v>
      </c>
      <c r="R29" s="461" t="s">
        <v>1061</v>
      </c>
      <c r="S29" s="462">
        <f>F29</f>
        <v>100</v>
      </c>
      <c r="T29" s="461" t="s">
        <v>1061</v>
      </c>
      <c r="U29" s="462">
        <f>H29</f>
        <v>100</v>
      </c>
      <c r="V29" s="461" t="s">
        <v>1061</v>
      </c>
      <c r="W29" s="462">
        <f>J29</f>
        <v>100</v>
      </c>
      <c r="X29" s="463"/>
      <c r="Y29" s="3843"/>
      <c r="Z29" s="481" t="str">
        <f>Q29</f>
        <v>公共配套设施</v>
      </c>
      <c r="AA29" s="471">
        <f>D29/F29</f>
        <v>1</v>
      </c>
      <c r="AB29" s="471">
        <f>D29/H29</f>
        <v>1</v>
      </c>
      <c r="AC29" s="471">
        <f>D29/J29</f>
        <v>1</v>
      </c>
    </row>
    <row r="30" spans="1:29" s="199" customFormat="1" ht="20.25">
      <c r="A30" s="515"/>
      <c r="B30" s="276"/>
      <c r="C30" s="2217"/>
      <c r="D30" s="268"/>
      <c r="E30" s="266"/>
      <c r="F30" s="267"/>
      <c r="G30" s="581"/>
      <c r="H30" s="267"/>
      <c r="I30" s="266"/>
      <c r="J30" s="267"/>
      <c r="K30" s="2164"/>
      <c r="L30" s="392"/>
      <c r="M30" s="385"/>
      <c r="N30" s="385"/>
      <c r="O30" s="394"/>
      <c r="P30" s="3843"/>
      <c r="Q30" s="464"/>
      <c r="R30" s="461"/>
      <c r="S30" s="462"/>
      <c r="T30" s="461"/>
      <c r="U30" s="462"/>
      <c r="V30" s="461"/>
      <c r="W30" s="462"/>
      <c r="X30" s="463"/>
      <c r="Y30" s="3843"/>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5"/>
      <c r="L31" s="392"/>
      <c r="M31" s="385"/>
      <c r="N31" s="385"/>
      <c r="O31" s="394"/>
      <c r="P31" s="3843"/>
      <c r="Q31" s="464" t="str">
        <f>B31</f>
        <v>基础设施水平</v>
      </c>
      <c r="R31" s="461" t="s">
        <v>1061</v>
      </c>
      <c r="S31" s="462">
        <f>F31</f>
        <v>100</v>
      </c>
      <c r="T31" s="461" t="s">
        <v>1061</v>
      </c>
      <c r="U31" s="462">
        <f>H31</f>
        <v>100</v>
      </c>
      <c r="V31" s="461" t="s">
        <v>1061</v>
      </c>
      <c r="W31" s="462">
        <f>J31</f>
        <v>100</v>
      </c>
      <c r="X31" s="463"/>
      <c r="Y31" s="3843"/>
      <c r="Z31" s="481" t="str">
        <f>Q31</f>
        <v>基础设施水平</v>
      </c>
      <c r="AA31" s="471">
        <f>D31/F31</f>
        <v>1</v>
      </c>
      <c r="AB31" s="471">
        <f>D31/H31</f>
        <v>1</v>
      </c>
      <c r="AC31" s="471">
        <f>D31/J31</f>
        <v>1</v>
      </c>
    </row>
    <row r="32" spans="1:29" s="199" customFormat="1" ht="20.25">
      <c r="A32" s="515"/>
      <c r="B32" s="276"/>
      <c r="C32" s="2217"/>
      <c r="D32" s="268"/>
      <c r="E32" s="2105"/>
      <c r="F32" s="267"/>
      <c r="G32" s="2217"/>
      <c r="H32" s="267"/>
      <c r="I32" s="2217"/>
      <c r="J32" s="267"/>
      <c r="K32" s="2164"/>
      <c r="L32" s="392"/>
      <c r="M32" s="385"/>
      <c r="N32" s="385"/>
      <c r="O32" s="394"/>
      <c r="P32" s="3843"/>
      <c r="Q32" s="464"/>
      <c r="R32" s="461"/>
      <c r="S32" s="462"/>
      <c r="T32" s="461"/>
      <c r="U32" s="462"/>
      <c r="V32" s="461"/>
      <c r="W32" s="462"/>
      <c r="X32" s="463"/>
      <c r="Y32" s="3843"/>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5"/>
      <c r="L33" s="402"/>
      <c r="M33" s="385"/>
      <c r="N33" s="385"/>
      <c r="O33" s="401"/>
      <c r="P33" s="3843"/>
      <c r="Q33" s="395" t="str">
        <f t="shared" si="8"/>
        <v>临街状况</v>
      </c>
      <c r="R33" s="465" t="s">
        <v>1061</v>
      </c>
      <c r="S33" s="466">
        <f t="shared" ref="S33:S47" si="9">F33</f>
        <v>100</v>
      </c>
      <c r="T33" s="465" t="s">
        <v>1061</v>
      </c>
      <c r="U33" s="466">
        <f t="shared" ref="U33:U47" si="10">H33</f>
        <v>100</v>
      </c>
      <c r="V33" s="465" t="s">
        <v>1061</v>
      </c>
      <c r="W33" s="466">
        <f t="shared" ref="W33:W47" si="11">J33</f>
        <v>100</v>
      </c>
      <c r="X33" s="460"/>
      <c r="Y33" s="3843"/>
      <c r="Z33" s="459" t="str">
        <f t="shared" ref="Z33:Z47" si="12">Q33</f>
        <v>临街状况</v>
      </c>
      <c r="AA33" s="471">
        <f t="shared" si="3"/>
        <v>1</v>
      </c>
      <c r="AB33" s="471">
        <f t="shared" si="4"/>
        <v>1</v>
      </c>
      <c r="AC33" s="471">
        <f t="shared" si="5"/>
        <v>1</v>
      </c>
    </row>
    <row r="34" spans="1:29" ht="27">
      <c r="A34" s="264"/>
      <c r="B34" s="282" t="s">
        <v>1074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5"/>
      <c r="L34" s="402"/>
      <c r="M34" s="385"/>
      <c r="N34" s="385"/>
      <c r="O34" s="401"/>
      <c r="P34" s="3843"/>
      <c r="Q34" s="395" t="str">
        <f t="shared" si="8"/>
        <v>毗邻道路的类型与等级</v>
      </c>
      <c r="R34" s="465" t="s">
        <v>1061</v>
      </c>
      <c r="S34" s="466">
        <f t="shared" si="9"/>
        <v>100</v>
      </c>
      <c r="T34" s="465" t="s">
        <v>1061</v>
      </c>
      <c r="U34" s="466">
        <f t="shared" si="10"/>
        <v>100</v>
      </c>
      <c r="V34" s="465" t="s">
        <v>1061</v>
      </c>
      <c r="W34" s="466">
        <f t="shared" si="11"/>
        <v>100</v>
      </c>
      <c r="X34" s="460"/>
      <c r="Y34" s="3843"/>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3"/>
      <c r="Q35" s="395"/>
      <c r="R35" s="465"/>
      <c r="S35" s="466"/>
      <c r="T35" s="465"/>
      <c r="U35" s="466"/>
      <c r="V35" s="465"/>
      <c r="W35" s="466"/>
      <c r="X35" s="460"/>
      <c r="Y35" s="3843"/>
      <c r="Z35" s="459"/>
      <c r="AA35" s="471">
        <v>1</v>
      </c>
      <c r="AB35" s="471">
        <v>1</v>
      </c>
      <c r="AC35" s="471">
        <v>1</v>
      </c>
    </row>
    <row r="36" spans="1:29" ht="20.25">
      <c r="A36" s="264"/>
      <c r="B36" s="523" t="s">
        <v>1075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3"/>
      <c r="Q36" s="395" t="str">
        <f t="shared" si="8"/>
        <v>土地级别</v>
      </c>
      <c r="R36" s="465" t="s">
        <v>1061</v>
      </c>
      <c r="S36" s="466">
        <f t="shared" si="9"/>
        <v>100</v>
      </c>
      <c r="T36" s="465" t="s">
        <v>1061</v>
      </c>
      <c r="U36" s="466">
        <f t="shared" si="10"/>
        <v>100</v>
      </c>
      <c r="V36" s="465" t="s">
        <v>1061</v>
      </c>
      <c r="W36" s="466">
        <f t="shared" si="11"/>
        <v>100</v>
      </c>
      <c r="X36" s="460"/>
      <c r="Y36" s="3843"/>
      <c r="Z36" s="459" t="str">
        <f t="shared" si="12"/>
        <v>土地级别</v>
      </c>
      <c r="AA36" s="471">
        <f t="shared" si="3"/>
        <v>1</v>
      </c>
      <c r="AB36" s="471">
        <f t="shared" si="4"/>
        <v>1</v>
      </c>
      <c r="AC36" s="471">
        <f t="shared" si="5"/>
        <v>1</v>
      </c>
    </row>
    <row r="37" spans="1:29" ht="20.25">
      <c r="A37" s="225"/>
      <c r="B37" s="588">
        <v>111</v>
      </c>
      <c r="C37" s="647"/>
      <c r="D37" s="286">
        <v>100</v>
      </c>
      <c r="E37" s="2104"/>
      <c r="F37" s="256">
        <f>SUMIF(111:111,E37,112:112)-SUMIF(111:111,C37,112:112)+100</f>
        <v>100</v>
      </c>
      <c r="G37" s="647"/>
      <c r="H37" s="256">
        <f>SUMIF(111:111,G37,112:112)-SUMIF(111:111,C37,112:112)+100</f>
        <v>100</v>
      </c>
      <c r="I37" s="2104"/>
      <c r="J37" s="256">
        <f>SUMIF(111:111,I37,112:112)-SUMIF(111:111,C37,112:112)+100</f>
        <v>100</v>
      </c>
      <c r="K37" s="399"/>
      <c r="L37" s="402"/>
      <c r="M37" s="385"/>
      <c r="N37" s="385"/>
      <c r="O37" s="401"/>
      <c r="P37" s="3843"/>
      <c r="Q37" s="395">
        <f t="shared" si="8"/>
        <v>111</v>
      </c>
      <c r="R37" s="465" t="s">
        <v>1061</v>
      </c>
      <c r="S37" s="466">
        <f t="shared" si="9"/>
        <v>100</v>
      </c>
      <c r="T37" s="465" t="s">
        <v>1061</v>
      </c>
      <c r="U37" s="466">
        <f t="shared" si="10"/>
        <v>100</v>
      </c>
      <c r="V37" s="465" t="s">
        <v>1061</v>
      </c>
      <c r="W37" s="466">
        <f t="shared" si="11"/>
        <v>100</v>
      </c>
      <c r="X37" s="460"/>
      <c r="Y37" s="3843"/>
      <c r="Z37" s="459">
        <f t="shared" si="12"/>
        <v>111</v>
      </c>
      <c r="AA37" s="471">
        <f t="shared" si="3"/>
        <v>1</v>
      </c>
      <c r="AB37" s="471">
        <f t="shared" si="4"/>
        <v>1</v>
      </c>
      <c r="AC37" s="471">
        <f t="shared" si="5"/>
        <v>1</v>
      </c>
    </row>
    <row r="38" spans="1:29" ht="20.25">
      <c r="A38" s="2108"/>
      <c r="B38" s="2218">
        <v>111</v>
      </c>
      <c r="C38" s="647"/>
      <c r="D38" s="286">
        <v>100</v>
      </c>
      <c r="E38" s="2104"/>
      <c r="F38" s="256">
        <f>SUMIF(113:113,E39,114:114)-SUMIF(113:113,C39,114:114)+100</f>
        <v>100</v>
      </c>
      <c r="G38" s="647"/>
      <c r="H38" s="256">
        <f>SUMIF(113:113,G38,114:114)-SUMIF(113:113,C38,114:114)+100</f>
        <v>100</v>
      </c>
      <c r="I38" s="2104"/>
      <c r="J38" s="256">
        <f>SUMIF(113:113,I38,114:114)-SUMIF(113:113,C38,114:114)+100</f>
        <v>100</v>
      </c>
      <c r="K38" s="399"/>
      <c r="L38" s="402"/>
      <c r="M38" s="385"/>
      <c r="N38" s="385"/>
      <c r="O38" s="401"/>
      <c r="P38" s="3844" t="s">
        <v>1076</v>
      </c>
      <c r="Q38" s="395">
        <f t="shared" si="8"/>
        <v>111</v>
      </c>
      <c r="R38" s="465" t="s">
        <v>1061</v>
      </c>
      <c r="S38" s="466">
        <f t="shared" si="9"/>
        <v>100</v>
      </c>
      <c r="T38" s="465" t="s">
        <v>1061</v>
      </c>
      <c r="U38" s="466">
        <f t="shared" si="10"/>
        <v>100</v>
      </c>
      <c r="V38" s="465" t="s">
        <v>1061</v>
      </c>
      <c r="W38" s="466">
        <f t="shared" si="11"/>
        <v>100</v>
      </c>
      <c r="X38" s="460"/>
      <c r="Y38" s="3845" t="s">
        <v>1076</v>
      </c>
      <c r="Z38" s="459">
        <f t="shared" si="12"/>
        <v>111</v>
      </c>
      <c r="AA38" s="471">
        <f t="shared" si="3"/>
        <v>1</v>
      </c>
      <c r="AB38" s="471">
        <f t="shared" si="4"/>
        <v>1</v>
      </c>
      <c r="AC38" s="471">
        <f t="shared" si="5"/>
        <v>1</v>
      </c>
    </row>
    <row r="39" spans="1:29" s="201" customFormat="1" ht="20.25">
      <c r="A39" s="2110"/>
      <c r="B39" s="2219">
        <v>111</v>
      </c>
      <c r="C39" s="2220"/>
      <c r="D39" s="2221">
        <v>100</v>
      </c>
      <c r="E39" s="2112"/>
      <c r="F39" s="309">
        <f>SUMIF(115:115,E39,116:116)-SUMIF(115:115,C39,116:116)+100</f>
        <v>100</v>
      </c>
      <c r="G39" s="2114"/>
      <c r="H39" s="309">
        <f>SUMIF(115:115,G39,116:116)-SUMIF(115:115,C39,116:116)+100</f>
        <v>100</v>
      </c>
      <c r="I39" s="2112"/>
      <c r="J39" s="309">
        <f>SUMIF(115:115,I39,116:116)-SUMIF(115:115,C39,116:116)+100</f>
        <v>100</v>
      </c>
      <c r="K39" s="399"/>
      <c r="L39" s="400"/>
      <c r="M39" s="385"/>
      <c r="N39" s="385"/>
      <c r="O39" s="408"/>
      <c r="P39" s="3845"/>
      <c r="Q39" s="395">
        <f t="shared" si="8"/>
        <v>111</v>
      </c>
      <c r="R39" s="468" t="s">
        <v>1061</v>
      </c>
      <c r="S39" s="469">
        <f t="shared" si="9"/>
        <v>100</v>
      </c>
      <c r="T39" s="468" t="s">
        <v>1061</v>
      </c>
      <c r="U39" s="469">
        <f t="shared" si="10"/>
        <v>100</v>
      </c>
      <c r="V39" s="468" t="s">
        <v>1061</v>
      </c>
      <c r="W39" s="469">
        <f t="shared" si="11"/>
        <v>100</v>
      </c>
      <c r="X39" s="470"/>
      <c r="Y39" s="3845"/>
      <c r="Z39" s="482">
        <f t="shared" si="12"/>
        <v>111</v>
      </c>
      <c r="AA39" s="471">
        <f t="shared" si="3"/>
        <v>1</v>
      </c>
      <c r="AB39" s="471">
        <f t="shared" si="4"/>
        <v>1</v>
      </c>
      <c r="AC39" s="471">
        <f t="shared" si="5"/>
        <v>1</v>
      </c>
    </row>
    <row r="40" spans="1:29" ht="20.25">
      <c r="A40" s="292" t="s">
        <v>1077</v>
      </c>
      <c r="B40" s="284" t="s">
        <v>1078</v>
      </c>
      <c r="C40" s="2115"/>
      <c r="D40" s="295">
        <v>100</v>
      </c>
      <c r="E40" s="2115"/>
      <c r="F40" s="295" t="e">
        <f>LOOKUP(E40,118:118,119:119)-LOOKUP(C40,118:118,119:119)+100</f>
        <v>#N/A</v>
      </c>
      <c r="G40" s="2115"/>
      <c r="H40" s="295" t="e">
        <f>LOOKUP(G40,118:118,119:119)-LOOKUP(C40,118:118,119:119)+100</f>
        <v>#N/A</v>
      </c>
      <c r="I40" s="363"/>
      <c r="J40" s="295" t="e">
        <f>LOOKUP(I40,118:118,119:119)-LOOKUP(C40,118:118,119:119)+100</f>
        <v>#N/A</v>
      </c>
      <c r="K40" s="399"/>
      <c r="L40" s="402"/>
      <c r="M40" s="385"/>
      <c r="N40" s="385"/>
      <c r="O40" s="401"/>
      <c r="P40" s="3845"/>
      <c r="Q40" s="395" t="str">
        <f t="shared" si="8"/>
        <v>宗地面积</v>
      </c>
      <c r="R40" s="465" t="s">
        <v>1061</v>
      </c>
      <c r="S40" s="466" t="e">
        <f t="shared" si="9"/>
        <v>#N/A</v>
      </c>
      <c r="T40" s="465" t="s">
        <v>1061</v>
      </c>
      <c r="U40" s="466" t="e">
        <f t="shared" si="10"/>
        <v>#N/A</v>
      </c>
      <c r="V40" s="465" t="s">
        <v>1061</v>
      </c>
      <c r="W40" s="466" t="e">
        <f t="shared" si="11"/>
        <v>#N/A</v>
      </c>
      <c r="X40" s="460"/>
      <c r="Y40" s="3845"/>
      <c r="Z40" s="459" t="str">
        <f t="shared" si="12"/>
        <v>宗地面积</v>
      </c>
      <c r="AA40" s="471" t="e">
        <f t="shared" si="3"/>
        <v>#N/A</v>
      </c>
      <c r="AB40" s="471" t="e">
        <f t="shared" si="4"/>
        <v>#N/A</v>
      </c>
      <c r="AC40" s="471" t="e">
        <f t="shared" si="5"/>
        <v>#N/A</v>
      </c>
    </row>
    <row r="41" spans="1:29" ht="20.25">
      <c r="A41" s="302"/>
      <c r="B41" s="298" t="s">
        <v>1079</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45"/>
      <c r="Q41" s="395" t="str">
        <f t="shared" ref="Q41:Q47" si="13">B41</f>
        <v>宗地形状</v>
      </c>
      <c r="R41" s="465" t="s">
        <v>1061</v>
      </c>
      <c r="S41" s="466">
        <f t="shared" si="9"/>
        <v>100</v>
      </c>
      <c r="T41" s="465" t="s">
        <v>1061</v>
      </c>
      <c r="U41" s="466">
        <f t="shared" si="10"/>
        <v>100</v>
      </c>
      <c r="V41" s="465" t="s">
        <v>1061</v>
      </c>
      <c r="W41" s="466">
        <f t="shared" si="11"/>
        <v>100</v>
      </c>
      <c r="X41" s="460"/>
      <c r="Y41" s="3845"/>
      <c r="Z41" s="459" t="str">
        <f t="shared" si="12"/>
        <v>宗地形状</v>
      </c>
      <c r="AA41" s="471">
        <f t="shared" si="3"/>
        <v>1</v>
      </c>
      <c r="AB41" s="471">
        <f t="shared" si="4"/>
        <v>1</v>
      </c>
      <c r="AC41" s="471">
        <f t="shared" si="5"/>
        <v>1</v>
      </c>
    </row>
    <row r="42" spans="1:29" ht="20.25">
      <c r="A42" s="302"/>
      <c r="B42" s="298" t="s">
        <v>1080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5"/>
      <c r="Q42" s="395" t="str">
        <f t="shared" si="13"/>
        <v>临街宽度及深度</v>
      </c>
      <c r="R42" s="465" t="s">
        <v>1061</v>
      </c>
      <c r="S42" s="466">
        <f t="shared" si="9"/>
        <v>100</v>
      </c>
      <c r="T42" s="465" t="s">
        <v>1061</v>
      </c>
      <c r="U42" s="466">
        <f t="shared" si="10"/>
        <v>100</v>
      </c>
      <c r="V42" s="465" t="s">
        <v>1061</v>
      </c>
      <c r="W42" s="466">
        <f t="shared" si="11"/>
        <v>100</v>
      </c>
      <c r="X42" s="460"/>
      <c r="Y42" s="3845"/>
      <c r="Z42" s="459" t="str">
        <f t="shared" si="12"/>
        <v>临街宽度及深度</v>
      </c>
      <c r="AA42" s="471">
        <f t="shared" si="3"/>
        <v>1</v>
      </c>
      <c r="AB42" s="471">
        <f t="shared" si="4"/>
        <v>1</v>
      </c>
      <c r="AC42" s="471">
        <f t="shared" si="5"/>
        <v>1</v>
      </c>
    </row>
    <row r="43" spans="1:29" s="199" customFormat="1" ht="20.25">
      <c r="A43" s="305"/>
      <c r="B43" s="557" t="s">
        <v>1081</v>
      </c>
      <c r="C43" s="2116"/>
      <c r="D43" s="246">
        <v>100</v>
      </c>
      <c r="E43" s="2116"/>
      <c r="F43" s="256">
        <f>SUMIF(124:124,E43,125:125)-SUMIF(124:124,C43,125:125)+100</f>
        <v>100</v>
      </c>
      <c r="G43" s="2116"/>
      <c r="H43" s="256">
        <f>SUMIF(124:124,G43,125:125)-SUMIF(124:124,C43,125:125)+100</f>
        <v>100</v>
      </c>
      <c r="I43" s="2116"/>
      <c r="J43" s="256">
        <f>SUMIF(124:124,I43,125:125)-SUMIF(124:124,C43,125:125)+100</f>
        <v>100</v>
      </c>
      <c r="K43" s="406"/>
      <c r="L43" s="392"/>
      <c r="M43" s="385"/>
      <c r="N43" s="385"/>
      <c r="O43" s="394"/>
      <c r="P43" s="3845"/>
      <c r="Q43" s="395" t="str">
        <f t="shared" si="13"/>
        <v>宗地开发程度</v>
      </c>
      <c r="R43" s="461" t="s">
        <v>1061</v>
      </c>
      <c r="S43" s="462">
        <f t="shared" si="9"/>
        <v>100</v>
      </c>
      <c r="T43" s="461" t="s">
        <v>1061</v>
      </c>
      <c r="U43" s="462">
        <f t="shared" si="10"/>
        <v>100</v>
      </c>
      <c r="V43" s="461" t="s">
        <v>1061</v>
      </c>
      <c r="W43" s="462">
        <f t="shared" si="11"/>
        <v>100</v>
      </c>
      <c r="X43" s="463"/>
      <c r="Y43" s="3845"/>
      <c r="Z43" s="481" t="str">
        <f t="shared" si="12"/>
        <v>宗地开发程度</v>
      </c>
      <c r="AA43" s="480">
        <f t="shared" si="3"/>
        <v>1</v>
      </c>
      <c r="AB43" s="480">
        <f t="shared" si="4"/>
        <v>1</v>
      </c>
      <c r="AC43" s="480">
        <f t="shared" si="5"/>
        <v>1</v>
      </c>
    </row>
    <row r="44" spans="1:29" ht="20.25">
      <c r="A44" s="302"/>
      <c r="B44" s="298" t="s">
        <v>1082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45" t="s">
        <v>1076</v>
      </c>
      <c r="Q44" s="395" t="str">
        <f t="shared" si="13"/>
        <v>工程地质条件</v>
      </c>
      <c r="R44" s="465" t="s">
        <v>1061</v>
      </c>
      <c r="S44" s="466">
        <f t="shared" si="9"/>
        <v>100</v>
      </c>
      <c r="T44" s="465" t="s">
        <v>1061</v>
      </c>
      <c r="U44" s="466">
        <f t="shared" si="10"/>
        <v>100</v>
      </c>
      <c r="V44" s="465" t="s">
        <v>1061</v>
      </c>
      <c r="W44" s="466">
        <f t="shared" si="11"/>
        <v>100</v>
      </c>
      <c r="X44" s="460"/>
      <c r="Y44" s="3845" t="s">
        <v>1076</v>
      </c>
      <c r="Z44" s="459" t="str">
        <f t="shared" si="12"/>
        <v>工程地质条件</v>
      </c>
      <c r="AA44" s="471">
        <f t="shared" si="3"/>
        <v>1</v>
      </c>
      <c r="AB44" s="471">
        <f t="shared" si="4"/>
        <v>1</v>
      </c>
      <c r="AC44" s="471">
        <f t="shared" si="5"/>
        <v>1</v>
      </c>
    </row>
    <row r="45" spans="1:29" ht="20.25">
      <c r="A45" s="302"/>
      <c r="B45" s="2109">
        <v>111</v>
      </c>
      <c r="C45" s="2104"/>
      <c r="D45" s="256">
        <v>100</v>
      </c>
      <c r="E45" s="2104"/>
      <c r="F45" s="256">
        <f>SUMIF(128:128,E45,129:129)-SUMIF(128:128,C45,129:129)+100</f>
        <v>100</v>
      </c>
      <c r="G45" s="2104"/>
      <c r="H45" s="256">
        <f>SUMIF(128:128,G45,129:129)-SUMIF(128:128,C45,129:129)+100</f>
        <v>100</v>
      </c>
      <c r="I45" s="371"/>
      <c r="J45" s="256">
        <f>SUMIF(128:128,I45,129:129)-SUMIF(128:128,C45,129:129)+100</f>
        <v>100</v>
      </c>
      <c r="K45" s="399"/>
      <c r="L45" s="402"/>
      <c r="M45" s="385"/>
      <c r="N45" s="385"/>
      <c r="O45" s="401"/>
      <c r="P45" s="3845"/>
      <c r="Q45" s="395">
        <f t="shared" si="13"/>
        <v>111</v>
      </c>
      <c r="R45" s="465" t="s">
        <v>1061</v>
      </c>
      <c r="S45" s="466">
        <f t="shared" si="9"/>
        <v>100</v>
      </c>
      <c r="T45" s="465" t="s">
        <v>1061</v>
      </c>
      <c r="U45" s="466">
        <f t="shared" si="10"/>
        <v>100</v>
      </c>
      <c r="V45" s="465" t="s">
        <v>1061</v>
      </c>
      <c r="W45" s="466">
        <f t="shared" si="11"/>
        <v>100</v>
      </c>
      <c r="X45" s="460"/>
      <c r="Y45" s="3845"/>
      <c r="Z45" s="459">
        <f t="shared" si="12"/>
        <v>111</v>
      </c>
      <c r="AA45" s="471">
        <f t="shared" si="3"/>
        <v>1</v>
      </c>
      <c r="AB45" s="471">
        <f t="shared" si="4"/>
        <v>1</v>
      </c>
      <c r="AC45" s="471">
        <f t="shared" si="5"/>
        <v>1</v>
      </c>
    </row>
    <row r="46" spans="1:29" ht="20.25">
      <c r="A46" s="302"/>
      <c r="B46" s="2109">
        <v>111</v>
      </c>
      <c r="C46" s="2104"/>
      <c r="D46" s="256">
        <v>100</v>
      </c>
      <c r="E46" s="2104"/>
      <c r="F46" s="256">
        <f>SUMIF(130:130,E46,131:131)-SUMIF(130:130,C46,131:131)+100</f>
        <v>100</v>
      </c>
      <c r="G46" s="2104"/>
      <c r="H46" s="256">
        <f>SUMIF(130:130,G46,131:131)-SUMIF(130:130,C46,131:131)+100</f>
        <v>100</v>
      </c>
      <c r="I46" s="371"/>
      <c r="J46" s="256">
        <f>SUMIF(130:130,I46,131:131)-SUMIF(130:130,C46,131:131)+100</f>
        <v>100</v>
      </c>
      <c r="K46" s="399"/>
      <c r="L46" s="402"/>
      <c r="M46" s="385"/>
      <c r="N46" s="385"/>
      <c r="O46" s="401"/>
      <c r="P46" s="3845"/>
      <c r="Q46" s="395">
        <f t="shared" si="13"/>
        <v>111</v>
      </c>
      <c r="R46" s="465" t="s">
        <v>1061</v>
      </c>
      <c r="S46" s="466">
        <f t="shared" si="9"/>
        <v>100</v>
      </c>
      <c r="T46" s="465" t="s">
        <v>1061</v>
      </c>
      <c r="U46" s="466">
        <f t="shared" si="10"/>
        <v>100</v>
      </c>
      <c r="V46" s="465" t="s">
        <v>1061</v>
      </c>
      <c r="W46" s="466">
        <f t="shared" si="11"/>
        <v>100</v>
      </c>
      <c r="X46" s="460"/>
      <c r="Y46" s="3845"/>
      <c r="Z46" s="459">
        <f t="shared" si="12"/>
        <v>111</v>
      </c>
      <c r="AA46" s="471">
        <f t="shared" si="3"/>
        <v>1</v>
      </c>
      <c r="AB46" s="471">
        <f t="shared" si="4"/>
        <v>1</v>
      </c>
      <c r="AC46" s="471">
        <f t="shared" si="5"/>
        <v>1</v>
      </c>
    </row>
    <row r="47" spans="1:29" s="201" customFormat="1" ht="20.25">
      <c r="A47" s="297"/>
      <c r="B47" s="2109">
        <v>111</v>
      </c>
      <c r="C47" s="2117"/>
      <c r="D47" s="2222">
        <v>100</v>
      </c>
      <c r="E47" s="2104"/>
      <c r="F47" s="309">
        <f>SUMIF(132:132,E47,133:133)-SUMIF(132:132,C47,133:133)+100</f>
        <v>100</v>
      </c>
      <c r="G47" s="2104"/>
      <c r="H47" s="309">
        <f>SUMIF(132:132,G47,133:133)-SUMIF(132:132,C47,133:133)+100</f>
        <v>100</v>
      </c>
      <c r="I47" s="2104"/>
      <c r="J47" s="309">
        <f>SUMIF(132:132,I47,133:133)-SUMIF(132:132,C47,133:133)+100</f>
        <v>100</v>
      </c>
      <c r="K47" s="2168"/>
      <c r="L47" s="400"/>
      <c r="M47" s="385"/>
      <c r="N47" s="385"/>
      <c r="O47" s="408"/>
      <c r="P47" s="3845"/>
      <c r="Q47" s="395">
        <f t="shared" si="13"/>
        <v>111</v>
      </c>
      <c r="R47" s="468" t="s">
        <v>1061</v>
      </c>
      <c r="S47" s="469">
        <f t="shared" si="9"/>
        <v>100</v>
      </c>
      <c r="T47" s="468" t="s">
        <v>1061</v>
      </c>
      <c r="U47" s="469">
        <f t="shared" si="10"/>
        <v>100</v>
      </c>
      <c r="V47" s="468" t="s">
        <v>1061</v>
      </c>
      <c r="W47" s="469">
        <f t="shared" si="11"/>
        <v>100</v>
      </c>
      <c r="X47" s="470"/>
      <c r="Y47" s="3845"/>
      <c r="Z47" s="482">
        <f t="shared" si="12"/>
        <v>111</v>
      </c>
      <c r="AA47" s="471">
        <f t="shared" si="3"/>
        <v>1</v>
      </c>
      <c r="AB47" s="471">
        <f t="shared" si="4"/>
        <v>1</v>
      </c>
      <c r="AC47" s="471">
        <f t="shared" si="5"/>
        <v>1</v>
      </c>
    </row>
    <row r="48" spans="1:29" ht="20.25">
      <c r="A48" s="312" t="s">
        <v>1083</v>
      </c>
      <c r="B48" s="2118" t="s">
        <v>1084</v>
      </c>
      <c r="C48" s="2119" t="s">
        <v>138</v>
      </c>
      <c r="D48" s="2120"/>
      <c r="E48" s="2121"/>
      <c r="F48" s="2122"/>
      <c r="G48" s="2123"/>
      <c r="H48" s="2124"/>
      <c r="I48" s="2121"/>
      <c r="J48" s="2124"/>
      <c r="K48" s="2169"/>
      <c r="L48" s="410"/>
      <c r="M48" s="385"/>
      <c r="N48" s="385"/>
      <c r="O48" s="340"/>
      <c r="P48" s="3836" t="str">
        <f>A48</f>
        <v>成交单价</v>
      </c>
      <c r="Q48" s="3836"/>
      <c r="R48" s="3837">
        <f>E48</f>
        <v>0</v>
      </c>
      <c r="S48" s="3837"/>
      <c r="T48" s="3837">
        <f>G48</f>
        <v>0</v>
      </c>
      <c r="U48" s="3837"/>
      <c r="V48" s="3837">
        <f>I48</f>
        <v>0</v>
      </c>
      <c r="W48" s="3837"/>
      <c r="X48" s="342"/>
      <c r="Y48" s="483"/>
      <c r="Z48" s="342"/>
      <c r="AA48" s="342"/>
      <c r="AB48" s="342"/>
      <c r="AC48" s="342"/>
    </row>
    <row r="49" spans="1:29" ht="20.25">
      <c r="A49" s="320" t="s">
        <v>1085</v>
      </c>
      <c r="B49" s="2125"/>
      <c r="C49" s="2126" t="e">
        <f>R50</f>
        <v>#DIV/0!</v>
      </c>
      <c r="D49" s="323" t="s">
        <v>1086</v>
      </c>
      <c r="E49" s="2126" t="e">
        <f>R49</f>
        <v>#DIV/0!</v>
      </c>
      <c r="F49" s="325"/>
      <c r="G49" s="2127" t="e">
        <f>T49</f>
        <v>#DIV/0!</v>
      </c>
      <c r="H49" s="325"/>
      <c r="I49" s="2126" t="e">
        <f>V49</f>
        <v>#DIV/0!</v>
      </c>
      <c r="J49" s="325"/>
      <c r="K49" s="2170">
        <f>F49+H49+J49</f>
        <v>0</v>
      </c>
      <c r="L49" s="410"/>
      <c r="M49" s="385"/>
      <c r="N49" s="385"/>
      <c r="O49" s="340"/>
      <c r="P49" s="3836" t="str">
        <f>A49</f>
        <v>比较价格（元/平方米）</v>
      </c>
      <c r="Q49" s="3836"/>
      <c r="R49" s="3838" t="e">
        <f>ROUND(PRODUCT(R48,AA9:AA47),0)</f>
        <v>#DIV/0!</v>
      </c>
      <c r="S49" s="3838"/>
      <c r="T49" s="3838" t="e">
        <f>ROUND(PRODUCT(T48,AB9:AB47),0)</f>
        <v>#DIV/0!</v>
      </c>
      <c r="U49" s="3838"/>
      <c r="V49" s="3838" t="e">
        <f>ROUND(PRODUCT(V48,AC9:AC47),0)</f>
        <v>#DIV/0!</v>
      </c>
      <c r="W49" s="3838"/>
      <c r="X49" s="342"/>
      <c r="Y49" s="342"/>
      <c r="Z49" s="342"/>
      <c r="AA49" s="342"/>
      <c r="AB49" s="342"/>
      <c r="AC49" s="342"/>
    </row>
    <row r="50" spans="1:29" ht="20.25">
      <c r="A50" s="326" t="s">
        <v>1087</v>
      </c>
      <c r="B50" s="327"/>
      <c r="C50" s="2128" t="e">
        <f>R50</f>
        <v>#DIV/0!</v>
      </c>
      <c r="D50" s="2128"/>
      <c r="E50" s="2128"/>
      <c r="F50" s="2128"/>
      <c r="G50" s="2128"/>
      <c r="H50" s="2128"/>
      <c r="I50" s="2128"/>
      <c r="J50" s="2128"/>
      <c r="K50" s="2171"/>
      <c r="L50" s="410"/>
      <c r="M50" s="385"/>
      <c r="N50" s="385"/>
      <c r="O50" s="340"/>
      <c r="P50" s="3839" t="str">
        <f>A50</f>
        <v>估价对象XX用房的比较价格（楼面单价，元/平方米）</v>
      </c>
      <c r="Q50" s="3840"/>
      <c r="R50" s="3841" t="e">
        <f>ROUND(IF(D49="简单平均",AVERAGE(R49:W49),R49*F49+T49*H49+V49*J49),0)</f>
        <v>#DIV/0!</v>
      </c>
      <c r="S50" s="3841"/>
      <c r="T50" s="3841"/>
      <c r="U50" s="3841"/>
      <c r="V50" s="3841"/>
      <c r="W50" s="3841"/>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30" t="s">
        <v>1091</v>
      </c>
      <c r="B57" s="2131" t="s">
        <v>1092</v>
      </c>
      <c r="C57" s="2132" t="s">
        <v>1093</v>
      </c>
      <c r="D57" s="2133" t="s">
        <v>1094</v>
      </c>
      <c r="E57" s="2134" t="s">
        <v>1095</v>
      </c>
      <c r="F57" s="2223" t="s">
        <v>1096</v>
      </c>
      <c r="G57" s="3861" t="s">
        <v>1097</v>
      </c>
      <c r="H57" s="3862"/>
      <c r="I57" s="2173" t="s">
        <v>425</v>
      </c>
      <c r="J57" s="2173">
        <f>项目基本情况!F41</f>
        <v>0</v>
      </c>
      <c r="K57" s="2174" t="s">
        <v>1098</v>
      </c>
      <c r="L57" s="415"/>
      <c r="M57" s="340"/>
      <c r="N57" s="340"/>
      <c r="O57" s="340"/>
      <c r="P57" s="340"/>
      <c r="Q57" s="340"/>
      <c r="R57" s="340"/>
      <c r="S57" s="340"/>
      <c r="T57" s="340"/>
      <c r="U57" s="340"/>
      <c r="V57" s="340"/>
      <c r="W57" s="340"/>
      <c r="X57" s="340"/>
      <c r="Y57" s="340"/>
      <c r="Z57" s="340"/>
      <c r="AA57" s="340"/>
      <c r="AB57" s="340"/>
      <c r="AC57" s="340"/>
    </row>
    <row r="58" spans="1:29" s="2095" customFormat="1" ht="12.75">
      <c r="A58" s="2136" t="s">
        <v>1099</v>
      </c>
      <c r="B58" s="2137" t="e">
        <f>C50</f>
        <v>#DIV/0!</v>
      </c>
      <c r="C58" s="2138">
        <v>1</v>
      </c>
      <c r="D58" s="2139">
        <v>1</v>
      </c>
      <c r="E58" s="2138">
        <f>'数据-汇总表'!E8+'数据-汇总表'!E9</f>
        <v>31713.88</v>
      </c>
      <c r="F58" s="2224" t="e">
        <f t="shared" ref="F58:F66" si="14">ROUND(B58*E58/10000,0)</f>
        <v>#DIV/0!</v>
      </c>
      <c r="G58" s="3863"/>
      <c r="H58" s="3864"/>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1100</v>
      </c>
      <c r="B59" s="2143" t="e">
        <f>ROUND($C$50*C59*D59,0)</f>
        <v>#DIV/0!</v>
      </c>
      <c r="C59" s="1875">
        <f t="shared" ref="C59:C66" si="15">IF($C$57="北京市系数",I59,J59)</f>
        <v>0</v>
      </c>
      <c r="D59" s="2144">
        <v>0.25</v>
      </c>
      <c r="E59" s="2145">
        <v>0</v>
      </c>
      <c r="F59" s="2224" t="e">
        <f t="shared" si="14"/>
        <v>#DIV/0!</v>
      </c>
      <c r="G59" s="2225" t="s">
        <v>1101</v>
      </c>
      <c r="H59" s="2226">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1102</v>
      </c>
      <c r="B60" s="2143" t="e">
        <f t="shared" ref="B60:B66" si="16">ROUND($C$50*C60*D60,0)</f>
        <v>#DIV/0!</v>
      </c>
      <c r="C60" s="1875">
        <f t="shared" si="15"/>
        <v>0</v>
      </c>
      <c r="D60" s="2144">
        <v>0.25</v>
      </c>
      <c r="E60" s="2145">
        <v>0</v>
      </c>
      <c r="F60" s="2224" t="e">
        <f t="shared" si="14"/>
        <v>#DIV/0!</v>
      </c>
      <c r="G60" s="2227"/>
      <c r="H60" s="2226">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1103</v>
      </c>
      <c r="B61" s="2143" t="e">
        <f t="shared" si="16"/>
        <v>#DIV/0!</v>
      </c>
      <c r="C61" s="1875">
        <f t="shared" si="15"/>
        <v>0</v>
      </c>
      <c r="D61" s="2144">
        <v>0.25</v>
      </c>
      <c r="E61" s="2145">
        <v>0</v>
      </c>
      <c r="F61" s="2224" t="e">
        <f t="shared" si="14"/>
        <v>#DIV/0!</v>
      </c>
      <c r="G61" s="2227"/>
      <c r="H61" s="2226">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582</v>
      </c>
      <c r="B62" s="2143" t="e">
        <f t="shared" si="16"/>
        <v>#DIV/0!</v>
      </c>
      <c r="C62" s="1875">
        <f t="shared" si="15"/>
        <v>0</v>
      </c>
      <c r="D62" s="2144">
        <v>0.25</v>
      </c>
      <c r="E62" s="2151">
        <f>'数据-汇总表'!E11</f>
        <v>0</v>
      </c>
      <c r="F62" s="2224" t="e">
        <f t="shared" si="14"/>
        <v>#DIV/0!</v>
      </c>
      <c r="G62" s="2228" t="s">
        <v>1104</v>
      </c>
      <c r="H62" s="2226">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1105</v>
      </c>
      <c r="B63" s="2143" t="e">
        <f t="shared" si="16"/>
        <v>#DIV/0!</v>
      </c>
      <c r="C63" s="1875">
        <f t="shared" si="15"/>
        <v>0</v>
      </c>
      <c r="D63" s="2144">
        <v>0.25</v>
      </c>
      <c r="E63" s="2151">
        <f>'数据-汇总表'!E12</f>
        <v>0</v>
      </c>
      <c r="F63" s="2224" t="e">
        <f t="shared" si="14"/>
        <v>#DIV/0!</v>
      </c>
      <c r="G63" s="2153" t="s">
        <v>436</v>
      </c>
      <c r="H63" s="2229">
        <f>IF(G63="商业",项目基本情况!B43,IF(G63="办公",项目基本情况!C43,IF(G63="住宅",项目基本情况!D43,项目基本情况!E43)))</f>
        <v>0</v>
      </c>
      <c r="I63" s="2176">
        <f>SUMIF(修正!$A$57:$A$68,H63,修正!F57:F68)</f>
        <v>0</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1106</v>
      </c>
      <c r="B64" s="2143" t="e">
        <f t="shared" si="16"/>
        <v>#DIV/0!</v>
      </c>
      <c r="C64" s="1875">
        <f t="shared" si="15"/>
        <v>0</v>
      </c>
      <c r="D64" s="2144">
        <v>0.25</v>
      </c>
      <c r="E64" s="2151">
        <f>'数据-汇总表'!E13</f>
        <v>0</v>
      </c>
      <c r="F64" s="2224" t="e">
        <f t="shared" si="14"/>
        <v>#DIV/0!</v>
      </c>
      <c r="G64" s="2153" t="s">
        <v>402</v>
      </c>
      <c r="H64" s="2229">
        <f>IF(G64="商业",项目基本情况!B43,IF(G64="办公",项目基本情况!C43,IF(G64="住宅",项目基本情况!D43,项目基本情况!E43)))</f>
        <v>0</v>
      </c>
      <c r="I64" s="2176">
        <f>SUMIF(修正!$A$57:$A$68,H64,修正!G57:G68)</f>
        <v>0</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1107</v>
      </c>
      <c r="B65" s="2143" t="e">
        <f t="shared" si="16"/>
        <v>#DIV/0!</v>
      </c>
      <c r="C65" s="1875">
        <f t="shared" si="15"/>
        <v>0</v>
      </c>
      <c r="D65" s="2144">
        <v>0.25</v>
      </c>
      <c r="E65" s="2151">
        <f>'数据-汇总表'!E14</f>
        <v>0</v>
      </c>
      <c r="F65" s="2224" t="e">
        <f t="shared" si="14"/>
        <v>#DIV/0!</v>
      </c>
      <c r="G65" s="2228" t="s">
        <v>1101</v>
      </c>
      <c r="H65" s="2226">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1108</v>
      </c>
      <c r="B66" s="2143" t="e">
        <f t="shared" si="16"/>
        <v>#DIV/0!</v>
      </c>
      <c r="C66" s="1875">
        <f t="shared" si="15"/>
        <v>0</v>
      </c>
      <c r="D66" s="2144">
        <v>0.25</v>
      </c>
      <c r="E66" s="2151">
        <f>'数据-汇总表'!E15</f>
        <v>0</v>
      </c>
      <c r="F66" s="2224" t="e">
        <f t="shared" si="14"/>
        <v>#DIV/0!</v>
      </c>
      <c r="G66" s="2231" t="s">
        <v>1104</v>
      </c>
      <c r="H66" s="2232">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1109</v>
      </c>
      <c r="B67" s="2157" t="s">
        <v>1110</v>
      </c>
      <c r="C67" s="2157" t="s">
        <v>1110</v>
      </c>
      <c r="D67" s="2157" t="s">
        <v>1110</v>
      </c>
      <c r="E67" s="2157">
        <f>IF(B48="楼面地价",SUM(E58:E66),'数据-汇总表'!D3)</f>
        <v>26650.41</v>
      </c>
      <c r="F67" s="2158" t="e">
        <f>IF(B48="楼面地价",SUM(F58:F66),ROUND(C50*E67/10000,0))</f>
        <v>#DIV/0!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61" t="str">
        <f>YEAR(C9)&amp;"-"&amp;MONTH(C9)&amp;"-1"</f>
        <v>2023-11-1</v>
      </c>
      <c r="D69" s="2161">
        <f>EDATE(C69,-3)</f>
        <v>45139</v>
      </c>
      <c r="E69" s="2161">
        <f t="shared" ref="E69:N69" si="17">EDATE(D69,-3)</f>
        <v>45047</v>
      </c>
      <c r="F69" s="2161">
        <f t="shared" si="17"/>
        <v>44958</v>
      </c>
      <c r="G69" s="2161">
        <f t="shared" si="17"/>
        <v>44866</v>
      </c>
      <c r="H69" s="2161">
        <f t="shared" si="17"/>
        <v>44774</v>
      </c>
      <c r="I69" s="2161">
        <f t="shared" si="17"/>
        <v>44682</v>
      </c>
      <c r="J69" s="2161">
        <f t="shared" si="17"/>
        <v>44593</v>
      </c>
      <c r="K69" s="2161">
        <f t="shared" si="17"/>
        <v>44501</v>
      </c>
      <c r="L69" s="2161">
        <f t="shared" si="17"/>
        <v>44409</v>
      </c>
      <c r="M69" s="2161">
        <f t="shared" si="17"/>
        <v>44317</v>
      </c>
      <c r="N69" s="2161">
        <f t="shared" si="17"/>
        <v>44228</v>
      </c>
      <c r="O69" s="340"/>
      <c r="P69" s="340"/>
      <c r="Q69" s="340"/>
      <c r="R69" s="340"/>
      <c r="S69" s="340"/>
      <c r="T69" s="340"/>
      <c r="U69" s="340"/>
      <c r="V69" s="340"/>
      <c r="W69" s="340"/>
      <c r="X69" s="340"/>
      <c r="Y69" s="340"/>
      <c r="Z69" s="340"/>
      <c r="AA69" s="340"/>
      <c r="AB69" s="340"/>
      <c r="AC69" s="340"/>
    </row>
    <row r="70" spans="1:29" ht="21">
      <c r="A70" s="341" t="s">
        <v>1111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81" t="s">
        <v>1112</v>
      </c>
      <c r="B71" s="2233"/>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3"/>
      <c r="P71" s="423"/>
      <c r="Q71" s="472"/>
      <c r="R71" s="472"/>
      <c r="S71" s="472"/>
      <c r="T71" s="472"/>
      <c r="U71" s="472"/>
      <c r="V71" s="472"/>
      <c r="W71" s="472"/>
      <c r="X71" s="472"/>
      <c r="Y71" s="472"/>
      <c r="Z71" s="472"/>
      <c r="AA71" s="472"/>
      <c r="AB71" s="472"/>
      <c r="AC71" s="472"/>
    </row>
    <row r="72" spans="1:29" s="199" customFormat="1" ht="27" customHeight="1">
      <c r="A72" s="2234" t="s">
        <v>1113</v>
      </c>
      <c r="B72" s="2184" t="str">
        <f>"北京市平均增长率"&amp;TEXT(SUMIF(基准地价!N25:N29,A72,基准地价!P25:P29),"0.00%")</f>
        <v>北京市平均增长率0.00%</v>
      </c>
      <c r="C72" s="488">
        <v>100</v>
      </c>
      <c r="D72" s="491"/>
      <c r="E72" s="491"/>
      <c r="F72" s="491"/>
      <c r="G72" s="491"/>
      <c r="H72" s="491"/>
      <c r="I72" s="491"/>
      <c r="J72" s="491"/>
      <c r="K72" s="491"/>
      <c r="L72" s="491"/>
      <c r="M72" s="2194"/>
      <c r="N72" s="2195"/>
      <c r="O72" s="431"/>
      <c r="P72" s="426"/>
      <c r="Q72" s="473"/>
      <c r="R72" s="473"/>
      <c r="S72" s="473"/>
      <c r="T72" s="473"/>
      <c r="U72" s="473"/>
      <c r="V72" s="473"/>
      <c r="W72" s="473"/>
      <c r="X72" s="473"/>
      <c r="Y72" s="473"/>
      <c r="Z72" s="473"/>
      <c r="AA72" s="473"/>
      <c r="AB72" s="473"/>
      <c r="AC72" s="473"/>
    </row>
    <row r="73" spans="1:29" s="199" customFormat="1" ht="15" customHeight="1">
      <c r="A73" s="2235" t="s">
        <v>1114</v>
      </c>
      <c r="B73" s="2236"/>
      <c r="C73" s="2185"/>
      <c r="D73" s="2186"/>
      <c r="E73" s="2186"/>
      <c r="F73" s="2186"/>
      <c r="G73" s="2186"/>
      <c r="H73" s="2186"/>
      <c r="I73" s="2186"/>
      <c r="J73" s="2186"/>
      <c r="K73" s="2186"/>
      <c r="L73" s="2186"/>
      <c r="M73" s="2186"/>
      <c r="N73" s="2186"/>
      <c r="O73" s="431"/>
      <c r="P73" s="426"/>
      <c r="Q73" s="426"/>
      <c r="R73" s="473"/>
      <c r="S73" s="473"/>
      <c r="T73" s="473"/>
      <c r="U73" s="473"/>
      <c r="V73" s="473"/>
      <c r="W73" s="473"/>
      <c r="X73" s="473"/>
      <c r="Y73" s="473"/>
      <c r="Z73" s="473"/>
      <c r="AA73" s="473"/>
      <c r="AB73" s="473"/>
      <c r="AC73" s="473"/>
    </row>
    <row r="74" spans="1:29" s="199" customFormat="1" ht="15">
      <c r="A74" s="357" t="s">
        <v>1062</v>
      </c>
      <c r="B74" s="350"/>
      <c r="C74" s="358" t="s">
        <v>1063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1115</v>
      </c>
      <c r="B76" s="361" t="s">
        <v>1116</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1117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1118</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90"/>
      <c r="E83" s="223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1119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20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1073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20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1120</v>
      </c>
      <c r="D105" s="381" t="s">
        <v>1121</v>
      </c>
      <c r="E105" s="381" t="s">
        <v>1122</v>
      </c>
      <c r="F105" s="381" t="s">
        <v>1123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1074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1075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8"/>
      <c r="E116" s="2188"/>
      <c r="F116" s="2188"/>
      <c r="G116" s="2188"/>
      <c r="H116" s="2188"/>
      <c r="I116" s="2188"/>
      <c r="J116" s="2188"/>
      <c r="K116" s="2188"/>
      <c r="L116" s="2188"/>
      <c r="M116" s="2202"/>
      <c r="N116" s="439"/>
      <c r="O116" s="439"/>
      <c r="P116" s="449"/>
      <c r="Q116" s="474"/>
      <c r="R116" s="475"/>
      <c r="S116" s="475"/>
      <c r="T116" s="475"/>
      <c r="U116" s="475"/>
      <c r="V116" s="475"/>
      <c r="W116" s="475"/>
      <c r="X116" s="475"/>
      <c r="Y116" s="475"/>
      <c r="Z116" s="475"/>
      <c r="AA116" s="475"/>
      <c r="AB116" s="475"/>
      <c r="AC116" s="475"/>
    </row>
    <row r="117" spans="1:29">
      <c r="A117" s="360" t="s">
        <v>1124</v>
      </c>
      <c r="B117" s="361" t="s">
        <v>1078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203" t="str">
        <f t="shared" si="24"/>
        <v>(含)-</v>
      </c>
      <c r="K117" s="2203" t="str">
        <f t="shared" si="24"/>
        <v>(含)-</v>
      </c>
      <c r="L117" s="2204" t="str">
        <f t="shared" si="24"/>
        <v>(含)-</v>
      </c>
      <c r="M117" s="220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38"/>
      <c r="K118" s="2238"/>
      <c r="L118" s="2239"/>
      <c r="M118" s="2240"/>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1079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1080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1081</v>
      </c>
      <c r="C124" s="2190"/>
      <c r="D124" s="2190"/>
      <c r="E124" s="2190"/>
      <c r="F124" s="2190"/>
      <c r="G124" s="2190"/>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1082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92"/>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6" customFormat="1">
      <c r="A134" s="2241"/>
      <c r="B134" s="2241"/>
      <c r="C134" s="2241"/>
      <c r="D134" s="2241"/>
      <c r="E134" s="2241"/>
      <c r="F134" s="2241"/>
      <c r="G134" s="2241"/>
      <c r="H134" s="2241"/>
      <c r="I134" s="2241"/>
      <c r="J134" s="2241"/>
      <c r="K134" s="2242"/>
      <c r="L134" s="2243"/>
      <c r="M134" s="2241"/>
      <c r="N134" s="2241"/>
      <c r="O134" s="2241"/>
      <c r="P134" s="2241"/>
      <c r="Q134" s="2241"/>
      <c r="R134" s="2241"/>
      <c r="S134" s="2241"/>
      <c r="T134" s="2241"/>
      <c r="U134" s="2241"/>
      <c r="V134" s="2241"/>
      <c r="W134" s="2241"/>
      <c r="X134" s="2241"/>
      <c r="Y134" s="2241"/>
      <c r="Z134" s="2241"/>
      <c r="AA134" s="2241"/>
      <c r="AB134" s="2241"/>
      <c r="AC134" s="2241"/>
    </row>
    <row r="135" spans="1:29" s="2206" customFormat="1">
      <c r="A135" s="2241"/>
      <c r="B135" s="2241"/>
      <c r="C135" s="2241"/>
      <c r="D135" s="2241"/>
      <c r="E135" s="2241"/>
      <c r="F135" s="2241"/>
      <c r="G135" s="2241"/>
      <c r="H135" s="2241"/>
      <c r="I135" s="2241"/>
      <c r="J135" s="2241"/>
      <c r="K135" s="2242"/>
      <c r="L135" s="2243"/>
      <c r="M135" s="2241"/>
      <c r="N135" s="2241"/>
      <c r="O135" s="2241"/>
      <c r="P135" s="2241"/>
      <c r="Q135" s="2241"/>
      <c r="R135" s="2241"/>
      <c r="S135" s="2241"/>
      <c r="T135" s="2241"/>
      <c r="U135" s="2241"/>
      <c r="V135" s="2241"/>
      <c r="W135" s="2241"/>
      <c r="X135" s="2241"/>
      <c r="Y135" s="2241"/>
      <c r="Z135" s="2241"/>
      <c r="AA135" s="2241"/>
      <c r="AB135" s="2241"/>
      <c r="AC135" s="2241"/>
    </row>
    <row r="136" spans="1:29" s="2206" customFormat="1">
      <c r="A136" s="2241"/>
      <c r="B136" s="2241"/>
      <c r="C136" s="2241"/>
      <c r="D136" s="2241"/>
      <c r="E136" s="2241"/>
      <c r="F136" s="2241"/>
      <c r="G136" s="2241"/>
      <c r="H136" s="2241"/>
      <c r="I136" s="2241"/>
      <c r="J136" s="2241"/>
      <c r="K136" s="2242"/>
      <c r="L136" s="2243"/>
      <c r="M136" s="2241"/>
      <c r="N136" s="2241"/>
      <c r="O136" s="2241"/>
      <c r="P136" s="2241"/>
      <c r="Q136" s="2241"/>
      <c r="R136" s="2241"/>
      <c r="S136" s="2241"/>
      <c r="T136" s="2241"/>
      <c r="U136" s="2241"/>
      <c r="V136" s="2241"/>
      <c r="W136" s="2241"/>
      <c r="X136" s="2241"/>
      <c r="Y136" s="2241"/>
      <c r="Z136" s="2241"/>
      <c r="AA136" s="2241"/>
      <c r="AB136" s="2241"/>
      <c r="AC136" s="2241"/>
    </row>
    <row r="137" spans="1:29" s="2206" customFormat="1">
      <c r="A137" s="2241"/>
      <c r="B137" s="2241"/>
      <c r="C137" s="2241"/>
      <c r="D137" s="2241"/>
      <c r="E137" s="2241"/>
      <c r="F137" s="2241"/>
      <c r="G137" s="2241"/>
      <c r="H137" s="2241"/>
      <c r="I137" s="2241"/>
      <c r="J137" s="2241"/>
      <c r="K137" s="2242"/>
      <c r="L137" s="2243"/>
      <c r="M137" s="2241"/>
      <c r="N137" s="2241"/>
      <c r="O137" s="2241"/>
      <c r="P137" s="2241"/>
      <c r="Q137" s="2241"/>
      <c r="R137" s="2241"/>
      <c r="S137" s="2241"/>
      <c r="T137" s="2241"/>
      <c r="U137" s="2241"/>
      <c r="V137" s="2241"/>
      <c r="W137" s="2241"/>
      <c r="X137" s="2241"/>
      <c r="Y137" s="2241"/>
      <c r="Z137" s="2241"/>
      <c r="AA137" s="2241"/>
      <c r="AB137" s="2241"/>
      <c r="AC137" s="2241"/>
    </row>
    <row r="138" spans="1:29" s="2206" customFormat="1">
      <c r="A138" s="2241"/>
      <c r="B138" s="2241"/>
      <c r="C138" s="2241"/>
      <c r="D138" s="2241"/>
      <c r="E138" s="2241"/>
      <c r="F138" s="2241"/>
      <c r="G138" s="2241"/>
      <c r="H138" s="2241"/>
      <c r="I138" s="2241"/>
      <c r="J138" s="2241"/>
      <c r="K138" s="2242"/>
      <c r="L138" s="2243"/>
      <c r="M138" s="2241"/>
      <c r="N138" s="2241"/>
      <c r="O138" s="2241"/>
      <c r="P138" s="2241"/>
      <c r="Q138" s="2241"/>
      <c r="R138" s="2241"/>
      <c r="S138" s="2241"/>
      <c r="T138" s="2241"/>
      <c r="U138" s="2241"/>
      <c r="V138" s="2241"/>
      <c r="W138" s="2241"/>
      <c r="X138" s="2241"/>
      <c r="Y138" s="2241"/>
      <c r="Z138" s="2241"/>
      <c r="AA138" s="2241"/>
      <c r="AB138" s="2241"/>
      <c r="AC138" s="2241"/>
    </row>
    <row r="139" spans="1:29" s="2206" customFormat="1">
      <c r="A139" s="2241"/>
      <c r="B139" s="2241"/>
      <c r="C139" s="2241"/>
      <c r="D139" s="2241"/>
      <c r="E139" s="2241"/>
      <c r="F139" s="2241"/>
      <c r="G139" s="2241"/>
      <c r="H139" s="2241"/>
      <c r="I139" s="2241"/>
      <c r="J139" s="2241"/>
      <c r="K139" s="2242"/>
      <c r="L139" s="2243"/>
      <c r="M139" s="2241"/>
      <c r="N139" s="2241"/>
      <c r="O139" s="2241"/>
      <c r="P139" s="2241"/>
      <c r="Q139" s="2241"/>
      <c r="R139" s="2241"/>
      <c r="S139" s="2241"/>
      <c r="T139" s="2241"/>
      <c r="U139" s="2241"/>
      <c r="V139" s="2241"/>
      <c r="W139" s="2241"/>
      <c r="X139" s="2241"/>
      <c r="Y139" s="2241"/>
      <c r="Z139" s="2241"/>
      <c r="AA139" s="2241"/>
      <c r="AB139" s="2241"/>
      <c r="AC139" s="2241"/>
    </row>
    <row r="140" spans="1:29" s="2206" customFormat="1">
      <c r="A140" s="2241"/>
      <c r="B140" s="2241"/>
      <c r="C140" s="2241"/>
      <c r="D140" s="2241"/>
      <c r="E140" s="2241"/>
      <c r="F140" s="2241"/>
      <c r="G140" s="2241"/>
      <c r="H140" s="2241"/>
      <c r="I140" s="2241"/>
      <c r="J140" s="2241"/>
      <c r="K140" s="2242"/>
      <c r="L140" s="2243"/>
      <c r="M140" s="2241"/>
      <c r="N140" s="2241"/>
      <c r="O140" s="2241"/>
      <c r="P140" s="2241"/>
      <c r="Q140" s="2241"/>
      <c r="R140" s="2241"/>
      <c r="S140" s="2241"/>
      <c r="T140" s="2241"/>
      <c r="U140" s="2241"/>
      <c r="V140" s="2241"/>
      <c r="W140" s="2241"/>
      <c r="X140" s="2241"/>
      <c r="Y140" s="2241"/>
      <c r="Z140" s="2241"/>
      <c r="AA140" s="2241"/>
      <c r="AB140" s="2241"/>
      <c r="AC140" s="2241"/>
    </row>
    <row r="141" spans="1:29" s="2206" customFormat="1">
      <c r="A141" s="2241"/>
      <c r="B141" s="2241"/>
      <c r="C141" s="2241"/>
      <c r="D141" s="2241"/>
      <c r="E141" s="2241"/>
      <c r="F141" s="2241"/>
      <c r="G141" s="2241"/>
      <c r="H141" s="2241"/>
      <c r="I141" s="2241"/>
      <c r="J141" s="2241"/>
      <c r="K141" s="2242"/>
      <c r="L141" s="2243"/>
      <c r="M141" s="2241"/>
      <c r="N141" s="2241"/>
      <c r="O141" s="2241"/>
      <c r="P141" s="2241"/>
      <c r="Q141" s="2241"/>
      <c r="R141" s="2241"/>
      <c r="S141" s="2241"/>
      <c r="T141" s="2241"/>
      <c r="U141" s="2241"/>
      <c r="V141" s="2241"/>
      <c r="W141" s="2241"/>
      <c r="X141" s="2241"/>
      <c r="Y141" s="2241"/>
      <c r="Z141" s="2241"/>
      <c r="AA141" s="2241"/>
      <c r="AB141" s="2241"/>
      <c r="AC141" s="2241"/>
    </row>
    <row r="142" spans="1:29" s="2206" customFormat="1">
      <c r="A142" s="2241"/>
      <c r="B142" s="2241"/>
      <c r="C142" s="2241"/>
      <c r="D142" s="2241"/>
      <c r="E142" s="2241"/>
      <c r="F142" s="2241"/>
      <c r="G142" s="2241"/>
      <c r="H142" s="2241"/>
      <c r="I142" s="2241"/>
      <c r="J142" s="2241"/>
      <c r="K142" s="2242"/>
      <c r="L142" s="2243"/>
      <c r="M142" s="2241"/>
      <c r="N142" s="2241"/>
      <c r="O142" s="2241"/>
      <c r="P142" s="2241"/>
      <c r="Q142" s="2241"/>
      <c r="R142" s="2241"/>
      <c r="S142" s="2241"/>
      <c r="T142" s="2241"/>
      <c r="U142" s="2241"/>
      <c r="V142" s="2241"/>
      <c r="W142" s="2241"/>
      <c r="X142" s="2241"/>
      <c r="Y142" s="2241"/>
      <c r="Z142" s="2241"/>
      <c r="AA142" s="2241"/>
      <c r="AB142" s="2241"/>
      <c r="AC142" s="2241"/>
    </row>
    <row r="143" spans="1:29" s="2206" customFormat="1">
      <c r="A143" s="2241"/>
      <c r="B143" s="2241"/>
      <c r="C143" s="2241"/>
      <c r="D143" s="2241"/>
      <c r="E143" s="2241"/>
      <c r="F143" s="2241"/>
      <c r="G143" s="2241"/>
      <c r="H143" s="2241"/>
      <c r="I143" s="2241"/>
      <c r="J143" s="2241"/>
      <c r="K143" s="2242"/>
      <c r="L143" s="2243"/>
      <c r="M143" s="2241"/>
      <c r="N143" s="2241"/>
      <c r="O143" s="2241"/>
      <c r="P143" s="2241"/>
      <c r="Q143" s="2241"/>
      <c r="R143" s="2241"/>
      <c r="S143" s="2241"/>
      <c r="T143" s="2241"/>
      <c r="U143" s="2241"/>
      <c r="V143" s="2241"/>
      <c r="W143" s="2241"/>
      <c r="X143" s="2241"/>
      <c r="Y143" s="2241"/>
      <c r="Z143" s="2241"/>
      <c r="AA143" s="2241"/>
      <c r="AB143" s="2241"/>
      <c r="AC143" s="2241"/>
    </row>
    <row r="144" spans="1:29" s="2206" customFormat="1">
      <c r="A144" s="2241"/>
      <c r="B144" s="2241"/>
      <c r="C144" s="2241"/>
      <c r="D144" s="2241"/>
      <c r="E144" s="2241"/>
      <c r="F144" s="2241"/>
      <c r="G144" s="2241"/>
      <c r="H144" s="2241"/>
      <c r="I144" s="2241"/>
      <c r="J144" s="2241"/>
      <c r="K144" s="2242"/>
      <c r="L144" s="2243"/>
      <c r="M144" s="2241"/>
      <c r="N144" s="2241"/>
      <c r="O144" s="2241"/>
      <c r="P144" s="2241"/>
      <c r="Q144" s="2241"/>
      <c r="R144" s="2241"/>
      <c r="S144" s="2241"/>
      <c r="T144" s="2241"/>
      <c r="U144" s="2241"/>
      <c r="V144" s="2241"/>
      <c r="W144" s="2241"/>
      <c r="X144" s="2241"/>
      <c r="Y144" s="2241"/>
      <c r="Z144" s="2241"/>
      <c r="AA144" s="2241"/>
      <c r="AB144" s="2241"/>
      <c r="AC144" s="2241"/>
    </row>
    <row r="145" spans="1:29" s="2206" customFormat="1">
      <c r="A145" s="2241"/>
      <c r="B145" s="2241"/>
      <c r="C145" s="2241"/>
      <c r="D145" s="2241"/>
      <c r="E145" s="2241"/>
      <c r="F145" s="2241"/>
      <c r="G145" s="2241"/>
      <c r="H145" s="2241"/>
      <c r="I145" s="2241"/>
      <c r="J145" s="2241"/>
      <c r="K145" s="2242"/>
      <c r="L145" s="2243"/>
      <c r="M145" s="2241"/>
      <c r="N145" s="2241"/>
      <c r="O145" s="2241"/>
      <c r="P145" s="2241"/>
      <c r="Q145" s="2241"/>
      <c r="R145" s="2241"/>
      <c r="S145" s="2241"/>
      <c r="T145" s="2241"/>
      <c r="U145" s="2241"/>
      <c r="V145" s="2241"/>
      <c r="W145" s="2241"/>
      <c r="X145" s="2241"/>
      <c r="Y145" s="2241"/>
      <c r="Z145" s="2241"/>
      <c r="AA145" s="2241"/>
      <c r="AB145" s="2241"/>
      <c r="AC145" s="2241"/>
    </row>
    <row r="146" spans="1:29" s="2206" customFormat="1">
      <c r="A146" s="2241"/>
      <c r="B146" s="2241"/>
      <c r="C146" s="2241"/>
      <c r="D146" s="2241"/>
      <c r="E146" s="2241"/>
      <c r="F146" s="2241"/>
      <c r="G146" s="2241"/>
      <c r="H146" s="2241"/>
      <c r="I146" s="2241"/>
      <c r="J146" s="2241"/>
      <c r="K146" s="2242"/>
      <c r="L146" s="2243"/>
      <c r="M146" s="2241"/>
      <c r="N146" s="2241"/>
      <c r="O146" s="2241"/>
      <c r="P146" s="2241"/>
      <c r="Q146" s="2241"/>
      <c r="R146" s="2241"/>
      <c r="S146" s="2241"/>
      <c r="T146" s="2241"/>
      <c r="U146" s="2241"/>
      <c r="V146" s="2241"/>
      <c r="W146" s="2241"/>
      <c r="X146" s="2241"/>
      <c r="Y146" s="2241"/>
      <c r="Z146" s="2241"/>
      <c r="AA146" s="2241"/>
      <c r="AB146" s="2241"/>
      <c r="AC146" s="2241"/>
    </row>
    <row r="147" spans="1:29" s="2206" customFormat="1">
      <c r="A147" s="2241"/>
      <c r="B147" s="2241"/>
      <c r="C147" s="2241"/>
      <c r="D147" s="2241"/>
      <c r="E147" s="2241"/>
      <c r="F147" s="2241"/>
      <c r="G147" s="2241"/>
      <c r="H147" s="2241"/>
      <c r="I147" s="2241"/>
      <c r="J147" s="2241"/>
      <c r="K147" s="2242"/>
      <c r="L147" s="2243"/>
      <c r="M147" s="2241"/>
      <c r="N147" s="2241"/>
      <c r="O147" s="2241"/>
      <c r="P147" s="2241"/>
      <c r="Q147" s="2241"/>
      <c r="R147" s="2241"/>
      <c r="S147" s="2241"/>
      <c r="T147" s="2241"/>
      <c r="U147" s="2241"/>
      <c r="V147" s="2241"/>
      <c r="W147" s="2241"/>
      <c r="X147" s="2241"/>
      <c r="Y147" s="2241"/>
      <c r="Z147" s="2241"/>
      <c r="AA147" s="2241"/>
      <c r="AB147" s="2241"/>
      <c r="AC147" s="2241"/>
    </row>
    <row r="148" spans="1:29" s="2206" customFormat="1">
      <c r="A148" s="2241"/>
      <c r="B148" s="2241"/>
      <c r="C148" s="2241"/>
      <c r="D148" s="2241"/>
      <c r="E148" s="2241"/>
      <c r="F148" s="2241"/>
      <c r="G148" s="2241"/>
      <c r="H148" s="2241"/>
      <c r="I148" s="2241"/>
      <c r="J148" s="2241"/>
      <c r="K148" s="2242"/>
      <c r="L148" s="2243"/>
      <c r="M148" s="2241"/>
      <c r="N148" s="2241"/>
      <c r="O148" s="2241"/>
      <c r="P148" s="2241"/>
      <c r="Q148" s="2241"/>
      <c r="R148" s="2241"/>
      <c r="S148" s="2241"/>
      <c r="T148" s="2241"/>
      <c r="U148" s="2241"/>
      <c r="V148" s="2241"/>
      <c r="W148" s="2241"/>
      <c r="X148" s="2241"/>
      <c r="Y148" s="2241"/>
      <c r="Z148" s="2241"/>
      <c r="AA148" s="2241"/>
      <c r="AB148" s="2241"/>
      <c r="AC148" s="2241"/>
    </row>
    <row r="149" spans="1:29" s="2206" customFormat="1">
      <c r="A149" s="2241"/>
      <c r="B149" s="2241"/>
      <c r="C149" s="2241"/>
      <c r="D149" s="2241"/>
      <c r="E149" s="2241"/>
      <c r="F149" s="2241"/>
      <c r="G149" s="2241"/>
      <c r="H149" s="2241"/>
      <c r="I149" s="2241"/>
      <c r="J149" s="2241"/>
      <c r="K149" s="2242"/>
      <c r="L149" s="2243"/>
      <c r="M149" s="2241"/>
      <c r="N149" s="2241"/>
      <c r="O149" s="2241"/>
      <c r="P149" s="2241"/>
      <c r="Q149" s="2241"/>
      <c r="R149" s="2241"/>
      <c r="S149" s="2241"/>
      <c r="T149" s="2241"/>
      <c r="U149" s="2241"/>
      <c r="V149" s="2241"/>
      <c r="W149" s="2241"/>
      <c r="X149" s="2241"/>
      <c r="Y149" s="2241"/>
      <c r="Z149" s="2241"/>
      <c r="AA149" s="2241"/>
      <c r="AB149" s="2241"/>
      <c r="AC149" s="2241"/>
    </row>
    <row r="150" spans="1:29" s="2206" customFormat="1">
      <c r="A150" s="2241"/>
      <c r="B150" s="2241"/>
      <c r="C150" s="2241"/>
      <c r="D150" s="2241"/>
      <c r="E150" s="2241"/>
      <c r="F150" s="2241"/>
      <c r="G150" s="2241"/>
      <c r="H150" s="2241"/>
      <c r="I150" s="2241"/>
      <c r="J150" s="2241"/>
      <c r="K150" s="2242"/>
      <c r="L150" s="2243"/>
      <c r="M150" s="2241"/>
      <c r="N150" s="2241"/>
      <c r="O150" s="2241"/>
      <c r="P150" s="2241"/>
      <c r="Q150" s="2241"/>
      <c r="R150" s="2241"/>
      <c r="S150" s="2241"/>
      <c r="T150" s="2241"/>
      <c r="U150" s="2241"/>
      <c r="V150" s="2241"/>
      <c r="W150" s="2241"/>
      <c r="X150" s="2241"/>
      <c r="Y150" s="2241"/>
      <c r="Z150" s="2241"/>
      <c r="AA150" s="2241"/>
      <c r="AB150" s="2241"/>
      <c r="AC150" s="2241"/>
    </row>
    <row r="151" spans="1:29" s="2206" customFormat="1">
      <c r="A151" s="2241"/>
      <c r="B151" s="2241"/>
      <c r="C151" s="2241"/>
      <c r="D151" s="2241"/>
      <c r="E151" s="2241"/>
      <c r="F151" s="2241"/>
      <c r="G151" s="2241"/>
      <c r="H151" s="2241"/>
      <c r="I151" s="2241"/>
      <c r="J151" s="2241"/>
      <c r="K151" s="2242"/>
      <c r="L151" s="2243"/>
      <c r="M151" s="2241"/>
      <c r="N151" s="2241"/>
      <c r="O151" s="2241"/>
      <c r="P151" s="2241"/>
      <c r="Q151" s="2241"/>
      <c r="R151" s="2241"/>
      <c r="S151" s="2241"/>
      <c r="T151" s="2241"/>
      <c r="U151" s="2241"/>
      <c r="V151" s="2241"/>
      <c r="W151" s="2241"/>
      <c r="X151" s="2241"/>
      <c r="Y151" s="2241"/>
      <c r="Z151" s="2241"/>
      <c r="AA151" s="2241"/>
      <c r="AB151" s="2241"/>
      <c r="AC151" s="2241"/>
    </row>
    <row r="152" spans="1:29" s="2206" customFormat="1">
      <c r="A152" s="2241"/>
      <c r="B152" s="2241"/>
      <c r="C152" s="2241"/>
      <c r="D152" s="2241"/>
      <c r="E152" s="2241"/>
      <c r="F152" s="2241"/>
      <c r="G152" s="2241"/>
      <c r="H152" s="2241"/>
      <c r="I152" s="2241"/>
      <c r="J152" s="2241"/>
      <c r="K152" s="2242"/>
      <c r="L152" s="2243"/>
      <c r="M152" s="2241"/>
      <c r="N152" s="2241"/>
      <c r="O152" s="2241"/>
      <c r="P152" s="2241"/>
      <c r="Q152" s="2241"/>
      <c r="R152" s="2241"/>
      <c r="S152" s="2241"/>
      <c r="T152" s="2241"/>
      <c r="U152" s="2241"/>
      <c r="V152" s="2241"/>
      <c r="W152" s="2241"/>
      <c r="X152" s="2241"/>
      <c r="Y152" s="2241"/>
      <c r="Z152" s="2241"/>
      <c r="AA152" s="2241"/>
      <c r="AB152" s="2241"/>
      <c r="AC152" s="2241"/>
    </row>
    <row r="153" spans="1:29" s="2206" customFormat="1">
      <c r="A153" s="2241"/>
      <c r="B153" s="2241"/>
      <c r="C153" s="2241"/>
      <c r="D153" s="2241"/>
      <c r="E153" s="2241"/>
      <c r="F153" s="2241"/>
      <c r="G153" s="2241"/>
      <c r="H153" s="2241"/>
      <c r="I153" s="2241"/>
      <c r="J153" s="2241"/>
      <c r="K153" s="2242"/>
      <c r="L153" s="2243"/>
      <c r="M153" s="2241"/>
      <c r="N153" s="2241"/>
      <c r="O153" s="2241"/>
      <c r="P153" s="2241"/>
      <c r="Q153" s="2241"/>
      <c r="R153" s="2241"/>
      <c r="S153" s="2241"/>
      <c r="T153" s="2241"/>
      <c r="U153" s="2241"/>
      <c r="V153" s="2241"/>
      <c r="W153" s="2241"/>
      <c r="X153" s="2241"/>
      <c r="Y153" s="2241"/>
      <c r="Z153" s="2241"/>
      <c r="AA153" s="2241"/>
      <c r="AB153" s="2241"/>
      <c r="AC153" s="2241"/>
    </row>
    <row r="154" spans="1:29" s="2206" customFormat="1">
      <c r="A154" s="2241"/>
      <c r="B154" s="2241"/>
      <c r="C154" s="2241"/>
      <c r="D154" s="2241"/>
      <c r="E154" s="2241"/>
      <c r="F154" s="2241"/>
      <c r="G154" s="2241"/>
      <c r="H154" s="2241"/>
      <c r="I154" s="2241"/>
      <c r="J154" s="2241"/>
      <c r="K154" s="2242"/>
      <c r="L154" s="2243"/>
      <c r="M154" s="2241"/>
      <c r="N154" s="2241"/>
      <c r="O154" s="2241"/>
      <c r="P154" s="2241"/>
      <c r="Q154" s="2241"/>
      <c r="R154" s="2241"/>
      <c r="S154" s="2241"/>
      <c r="T154" s="2241"/>
      <c r="U154" s="2241"/>
      <c r="V154" s="2241"/>
      <c r="W154" s="2241"/>
      <c r="X154" s="2241"/>
      <c r="Y154" s="2241"/>
      <c r="Z154" s="2241"/>
      <c r="AA154" s="2241"/>
      <c r="AB154" s="2241"/>
      <c r="AC154" s="2241"/>
    </row>
    <row r="155" spans="1:29" s="2206" customFormat="1">
      <c r="A155" s="2241"/>
      <c r="B155" s="2241"/>
      <c r="C155" s="2241"/>
      <c r="D155" s="2241"/>
      <c r="E155" s="2241"/>
      <c r="F155" s="2241"/>
      <c r="G155" s="2241"/>
      <c r="H155" s="2241"/>
      <c r="I155" s="2241"/>
      <c r="J155" s="2241"/>
      <c r="K155" s="2242"/>
      <c r="L155" s="2243"/>
      <c r="M155" s="2241"/>
      <c r="N155" s="2241"/>
      <c r="O155" s="2241"/>
      <c r="P155" s="2241"/>
      <c r="Q155" s="2241"/>
      <c r="R155" s="2241"/>
      <c r="S155" s="2241"/>
      <c r="T155" s="2241"/>
      <c r="U155" s="2241"/>
      <c r="V155" s="2241"/>
      <c r="W155" s="2241"/>
      <c r="X155" s="2241"/>
      <c r="Y155" s="2241"/>
      <c r="Z155" s="2241"/>
      <c r="AA155" s="2241"/>
      <c r="AB155" s="2241"/>
      <c r="AC155" s="2241"/>
    </row>
    <row r="156" spans="1:29" s="2206" customFormat="1">
      <c r="A156" s="2241"/>
      <c r="B156" s="2241"/>
      <c r="C156" s="2241"/>
      <c r="D156" s="2241"/>
      <c r="E156" s="2241"/>
      <c r="F156" s="2241"/>
      <c r="G156" s="2241"/>
      <c r="H156" s="2241"/>
      <c r="I156" s="2241"/>
      <c r="J156" s="2241"/>
      <c r="K156" s="2242"/>
      <c r="L156" s="2243"/>
      <c r="M156" s="2241"/>
      <c r="N156" s="2241"/>
      <c r="O156" s="2241"/>
      <c r="P156" s="2241"/>
      <c r="Q156" s="2241"/>
      <c r="R156" s="2241"/>
      <c r="S156" s="2241"/>
      <c r="T156" s="2241"/>
      <c r="U156" s="2241"/>
      <c r="V156" s="2241"/>
      <c r="W156" s="2241"/>
      <c r="X156" s="2241"/>
      <c r="Y156" s="2241"/>
      <c r="Z156" s="2241"/>
      <c r="AA156" s="2241"/>
      <c r="AB156" s="2241"/>
      <c r="AC156" s="2241"/>
    </row>
    <row r="157" spans="1:29" s="2206" customFormat="1">
      <c r="A157" s="2241"/>
      <c r="B157" s="2241"/>
      <c r="C157" s="2241"/>
      <c r="D157" s="2241"/>
      <c r="E157" s="2241"/>
      <c r="F157" s="2241"/>
      <c r="G157" s="2241"/>
      <c r="H157" s="2241"/>
      <c r="I157" s="2241"/>
      <c r="J157" s="2241"/>
      <c r="K157" s="2242"/>
      <c r="L157" s="2243"/>
      <c r="M157" s="2241"/>
      <c r="N157" s="2241"/>
      <c r="O157" s="2241"/>
      <c r="P157" s="2241"/>
      <c r="Q157" s="2241"/>
      <c r="R157" s="2241"/>
      <c r="S157" s="2241"/>
      <c r="T157" s="2241"/>
      <c r="U157" s="2241"/>
      <c r="V157" s="2241"/>
      <c r="W157" s="2241"/>
      <c r="X157" s="2241"/>
      <c r="Y157" s="2241"/>
      <c r="Z157" s="2241"/>
      <c r="AA157" s="2241"/>
      <c r="AB157" s="2241"/>
      <c r="AC157" s="2241"/>
    </row>
    <row r="158" spans="1:29" s="2206" customFormat="1">
      <c r="A158" s="2241"/>
      <c r="B158" s="2241"/>
      <c r="C158" s="2241"/>
      <c r="D158" s="2241"/>
      <c r="E158" s="2241"/>
      <c r="F158" s="2241"/>
      <c r="G158" s="2241"/>
      <c r="H158" s="2241"/>
      <c r="I158" s="2241"/>
      <c r="J158" s="2241"/>
      <c r="K158" s="2242"/>
      <c r="L158" s="2243"/>
      <c r="M158" s="2241"/>
      <c r="N158" s="2241"/>
      <c r="O158" s="2241"/>
      <c r="P158" s="2241"/>
      <c r="Q158" s="2241"/>
      <c r="R158" s="2241"/>
      <c r="S158" s="2241"/>
      <c r="T158" s="2241"/>
      <c r="U158" s="2241"/>
      <c r="V158" s="2241"/>
      <c r="W158" s="2241"/>
      <c r="X158" s="2241"/>
      <c r="Y158" s="2241"/>
      <c r="Z158" s="2241"/>
      <c r="AA158" s="2241"/>
      <c r="AB158" s="2241"/>
      <c r="AC158" s="2241"/>
    </row>
    <row r="159" spans="1:29" s="2206" customFormat="1">
      <c r="A159" s="2241"/>
      <c r="B159" s="2241"/>
      <c r="C159" s="2241"/>
      <c r="D159" s="2241"/>
      <c r="E159" s="2241"/>
      <c r="F159" s="2241"/>
      <c r="G159" s="2241"/>
      <c r="H159" s="2241"/>
      <c r="I159" s="2241"/>
      <c r="J159" s="2241"/>
      <c r="K159" s="2242"/>
      <c r="L159" s="2243"/>
      <c r="M159" s="2241"/>
      <c r="N159" s="2241"/>
      <c r="O159" s="2241"/>
      <c r="P159" s="2241"/>
      <c r="Q159" s="2241"/>
      <c r="R159" s="2241"/>
      <c r="S159" s="2241"/>
      <c r="T159" s="2241"/>
      <c r="U159" s="2241"/>
      <c r="V159" s="2241"/>
      <c r="W159" s="2241"/>
      <c r="X159" s="2241"/>
      <c r="Y159" s="2241"/>
      <c r="Z159" s="2241"/>
      <c r="AA159" s="2241"/>
      <c r="AB159" s="2241"/>
      <c r="AC159" s="2241"/>
    </row>
    <row r="160" spans="1:29" s="2206" customFormat="1">
      <c r="A160" s="2241"/>
      <c r="B160" s="2241"/>
      <c r="C160" s="2241"/>
      <c r="D160" s="2241"/>
      <c r="E160" s="2241"/>
      <c r="F160" s="2241"/>
      <c r="G160" s="2241"/>
      <c r="H160" s="2241"/>
      <c r="I160" s="2241"/>
      <c r="J160" s="2241"/>
      <c r="K160" s="2242"/>
      <c r="L160" s="2243"/>
      <c r="M160" s="2241"/>
      <c r="N160" s="2241"/>
      <c r="O160" s="2241"/>
      <c r="P160" s="2241"/>
      <c r="Q160" s="2241"/>
      <c r="R160" s="2241"/>
      <c r="S160" s="2241"/>
      <c r="T160" s="2241"/>
      <c r="U160" s="2241"/>
      <c r="V160" s="2241"/>
      <c r="W160" s="2241"/>
      <c r="X160" s="2241"/>
      <c r="Y160" s="2241"/>
      <c r="Z160" s="2241"/>
      <c r="AA160" s="2241"/>
      <c r="AB160" s="2241"/>
      <c r="AC160" s="2241"/>
    </row>
    <row r="161" spans="1:29" s="2206" customFormat="1">
      <c r="A161" s="2241"/>
      <c r="B161" s="2241"/>
      <c r="C161" s="2241"/>
      <c r="D161" s="2241"/>
      <c r="E161" s="2241"/>
      <c r="F161" s="2241"/>
      <c r="G161" s="2241"/>
      <c r="H161" s="2241"/>
      <c r="I161" s="2241"/>
      <c r="J161" s="2241"/>
      <c r="K161" s="2242"/>
      <c r="L161" s="2243"/>
      <c r="M161" s="2241"/>
      <c r="N161" s="2241"/>
      <c r="O161" s="2241"/>
      <c r="P161" s="2241"/>
      <c r="Q161" s="2241"/>
      <c r="R161" s="2241"/>
      <c r="S161" s="2241"/>
      <c r="T161" s="2241"/>
      <c r="U161" s="2241"/>
      <c r="V161" s="2241"/>
      <c r="W161" s="2241"/>
      <c r="X161" s="2241"/>
      <c r="Y161" s="2241"/>
      <c r="Z161" s="2241"/>
      <c r="AA161" s="2241"/>
      <c r="AB161" s="2241"/>
      <c r="AC161" s="2241"/>
    </row>
    <row r="162" spans="1:29" s="2206" customFormat="1">
      <c r="A162" s="2241"/>
      <c r="B162" s="2241"/>
      <c r="C162" s="2241"/>
      <c r="D162" s="2241"/>
      <c r="E162" s="2241"/>
      <c r="F162" s="2241"/>
      <c r="G162" s="2241"/>
      <c r="H162" s="2241"/>
      <c r="I162" s="2241"/>
      <c r="J162" s="2241"/>
      <c r="K162" s="2242"/>
      <c r="L162" s="2243"/>
      <c r="M162" s="2241"/>
      <c r="N162" s="2241"/>
      <c r="O162" s="2241"/>
      <c r="P162" s="2241"/>
      <c r="Q162" s="2241"/>
      <c r="R162" s="2241"/>
      <c r="S162" s="2241"/>
      <c r="T162" s="2241"/>
      <c r="U162" s="2241"/>
      <c r="V162" s="2241"/>
      <c r="W162" s="2241"/>
      <c r="X162" s="2241"/>
      <c r="Y162" s="2241"/>
      <c r="Z162" s="2241"/>
      <c r="AA162" s="2241"/>
      <c r="AB162" s="2241"/>
      <c r="AC162" s="2241"/>
    </row>
    <row r="163" spans="1:29" s="2206" customFormat="1">
      <c r="A163" s="2241"/>
      <c r="B163" s="2241"/>
      <c r="C163" s="2241"/>
      <c r="D163" s="2241"/>
      <c r="E163" s="2241"/>
      <c r="F163" s="2241"/>
      <c r="G163" s="2241"/>
      <c r="H163" s="2241"/>
      <c r="I163" s="2241"/>
      <c r="J163" s="2241"/>
      <c r="K163" s="2242"/>
      <c r="L163" s="2243"/>
      <c r="M163" s="2241"/>
      <c r="N163" s="2241"/>
      <c r="O163" s="2241"/>
      <c r="P163" s="2241"/>
      <c r="Q163" s="2241"/>
      <c r="R163" s="2241"/>
      <c r="S163" s="2241"/>
      <c r="T163" s="2241"/>
      <c r="U163" s="2241"/>
      <c r="V163" s="2241"/>
      <c r="W163" s="2241"/>
      <c r="X163" s="2241"/>
      <c r="Y163" s="2241"/>
      <c r="Z163" s="2241"/>
      <c r="AA163" s="2241"/>
      <c r="AB163" s="2241"/>
      <c r="AC163" s="2241"/>
    </row>
    <row r="164" spans="1:29" s="2206" customFormat="1">
      <c r="A164" s="2241"/>
      <c r="B164" s="2241"/>
      <c r="C164" s="2241"/>
      <c r="D164" s="2241"/>
      <c r="E164" s="2241"/>
      <c r="F164" s="2241"/>
      <c r="G164" s="2241"/>
      <c r="H164" s="2241"/>
      <c r="I164" s="2241"/>
      <c r="J164" s="2241"/>
      <c r="K164" s="2242"/>
      <c r="L164" s="2243"/>
      <c r="M164" s="2241"/>
      <c r="N164" s="2241"/>
      <c r="O164" s="2241"/>
      <c r="P164" s="2241"/>
      <c r="Q164" s="2241"/>
      <c r="R164" s="2241"/>
      <c r="S164" s="2241"/>
      <c r="T164" s="2241"/>
      <c r="U164" s="2241"/>
      <c r="V164" s="2241"/>
      <c r="W164" s="2241"/>
      <c r="X164" s="2241"/>
      <c r="Y164" s="2241"/>
      <c r="Z164" s="2241"/>
      <c r="AA164" s="2241"/>
      <c r="AB164" s="2241"/>
      <c r="AC164" s="2241"/>
    </row>
    <row r="165" spans="1:29" s="2206" customFormat="1">
      <c r="A165" s="2241"/>
      <c r="B165" s="2241"/>
      <c r="C165" s="2241"/>
      <c r="D165" s="2241"/>
      <c r="E165" s="2241"/>
      <c r="F165" s="2241"/>
      <c r="G165" s="2241"/>
      <c r="H165" s="2241"/>
      <c r="I165" s="2241"/>
      <c r="J165" s="2241"/>
      <c r="K165" s="2242"/>
      <c r="L165" s="2243"/>
      <c r="M165" s="2241"/>
      <c r="N165" s="2241"/>
      <c r="O165" s="2241"/>
      <c r="P165" s="2241"/>
      <c r="Q165" s="2241"/>
      <c r="R165" s="2241"/>
      <c r="S165" s="2241"/>
      <c r="T165" s="2241"/>
      <c r="U165" s="2241"/>
      <c r="V165" s="2241"/>
      <c r="W165" s="2241"/>
      <c r="X165" s="2241"/>
      <c r="Y165" s="2241"/>
      <c r="Z165" s="2241"/>
      <c r="AA165" s="2241"/>
      <c r="AB165" s="2241"/>
      <c r="AC165" s="2241"/>
    </row>
    <row r="166" spans="1:29" s="2206" customFormat="1">
      <c r="A166" s="2241"/>
      <c r="B166" s="2241"/>
      <c r="C166" s="2241"/>
      <c r="D166" s="2241"/>
      <c r="E166" s="2241"/>
      <c r="F166" s="2241"/>
      <c r="G166" s="2241"/>
      <c r="H166" s="2241"/>
      <c r="I166" s="2241"/>
      <c r="J166" s="2241"/>
      <c r="K166" s="2242"/>
      <c r="L166" s="2243"/>
      <c r="M166" s="2241"/>
      <c r="N166" s="2241"/>
      <c r="O166" s="2241"/>
      <c r="P166" s="2241"/>
      <c r="Q166" s="2241"/>
      <c r="R166" s="2241"/>
      <c r="S166" s="2241"/>
      <c r="T166" s="2241"/>
      <c r="U166" s="2241"/>
      <c r="V166" s="2241"/>
      <c r="W166" s="2241"/>
      <c r="X166" s="2241"/>
      <c r="Y166" s="2241"/>
      <c r="Z166" s="2241"/>
      <c r="AA166" s="2241"/>
      <c r="AB166" s="2241"/>
      <c r="AC166" s="2241"/>
    </row>
    <row r="167" spans="1:29" s="2206" customFormat="1">
      <c r="A167" s="2241"/>
      <c r="B167" s="2241"/>
      <c r="C167" s="2241"/>
      <c r="D167" s="2241"/>
      <c r="E167" s="2241"/>
      <c r="F167" s="2241"/>
      <c r="G167" s="2241"/>
      <c r="H167" s="2241"/>
      <c r="I167" s="2241"/>
      <c r="J167" s="2241"/>
      <c r="K167" s="2242"/>
      <c r="L167" s="2243"/>
      <c r="M167" s="2241"/>
      <c r="N167" s="2241"/>
      <c r="O167" s="2241"/>
      <c r="P167" s="2241"/>
      <c r="Q167" s="2241"/>
      <c r="R167" s="2241"/>
      <c r="S167" s="2241"/>
      <c r="T167" s="2241"/>
      <c r="U167" s="2241"/>
      <c r="V167" s="2241"/>
      <c r="W167" s="2241"/>
      <c r="X167" s="2241"/>
      <c r="Y167" s="2241"/>
      <c r="Z167" s="2241"/>
      <c r="AA167" s="2241"/>
      <c r="AB167" s="2241"/>
      <c r="AC167" s="2241"/>
    </row>
    <row r="168" spans="1:29" s="2206" customFormat="1">
      <c r="A168" s="2241"/>
      <c r="B168" s="2241"/>
      <c r="C168" s="2241"/>
      <c r="D168" s="2241"/>
      <c r="E168" s="2241"/>
      <c r="F168" s="2241"/>
      <c r="G168" s="2241"/>
      <c r="H168" s="2241"/>
      <c r="I168" s="2241"/>
      <c r="J168" s="2241"/>
      <c r="K168" s="2242"/>
      <c r="L168" s="2243"/>
      <c r="M168" s="2241"/>
      <c r="N168" s="2241"/>
      <c r="O168" s="2241"/>
      <c r="P168" s="2241"/>
      <c r="Q168" s="2241"/>
      <c r="R168" s="2241"/>
      <c r="S168" s="2241"/>
      <c r="T168" s="2241"/>
      <c r="U168" s="2241"/>
      <c r="V168" s="2241"/>
      <c r="W168" s="2241"/>
      <c r="X168" s="2241"/>
      <c r="Y168" s="2241"/>
      <c r="Z168" s="2241"/>
      <c r="AA168" s="2241"/>
      <c r="AB168" s="2241"/>
      <c r="AC168" s="2241"/>
    </row>
    <row r="169" spans="1:29" s="2206" customFormat="1">
      <c r="A169" s="2241"/>
      <c r="B169" s="2241"/>
      <c r="C169" s="2241"/>
      <c r="D169" s="2241"/>
      <c r="E169" s="2241"/>
      <c r="F169" s="2241"/>
      <c r="G169" s="2241"/>
      <c r="H169" s="2241"/>
      <c r="I169" s="2241"/>
      <c r="J169" s="2241"/>
      <c r="K169" s="2242"/>
      <c r="L169" s="2243"/>
      <c r="M169" s="2241"/>
      <c r="N169" s="2241"/>
      <c r="O169" s="2241"/>
      <c r="P169" s="2241"/>
      <c r="Q169" s="2241"/>
      <c r="R169" s="2241"/>
      <c r="S169" s="2241"/>
      <c r="T169" s="2241"/>
      <c r="U169" s="2241"/>
      <c r="V169" s="2241"/>
      <c r="W169" s="2241"/>
      <c r="X169" s="2241"/>
      <c r="Y169" s="2241"/>
      <c r="Z169" s="2241"/>
      <c r="AA169" s="2241"/>
      <c r="AB169" s="2241"/>
      <c r="AC169" s="2241"/>
    </row>
    <row r="170" spans="1:29" s="2206" customFormat="1">
      <c r="A170" s="2241"/>
      <c r="B170" s="2241"/>
      <c r="C170" s="2241"/>
      <c r="D170" s="2241"/>
      <c r="E170" s="2241"/>
      <c r="F170" s="2241"/>
      <c r="G170" s="2241"/>
      <c r="H170" s="2241"/>
      <c r="I170" s="2241"/>
      <c r="J170" s="2241"/>
      <c r="K170" s="2242"/>
      <c r="L170" s="2243"/>
      <c r="M170" s="2241"/>
      <c r="N170" s="2241"/>
      <c r="O170" s="2241"/>
      <c r="P170" s="2241"/>
      <c r="Q170" s="2241"/>
      <c r="R170" s="2241"/>
      <c r="S170" s="2241"/>
      <c r="T170" s="2241"/>
      <c r="U170" s="2241"/>
      <c r="V170" s="2241"/>
      <c r="W170" s="2241"/>
      <c r="X170" s="2241"/>
      <c r="Y170" s="2241"/>
      <c r="Z170" s="2241"/>
      <c r="AA170" s="2241"/>
      <c r="AB170" s="2241"/>
      <c r="AC170" s="2241"/>
    </row>
    <row r="171" spans="1:29" s="2206" customFormat="1">
      <c r="A171" s="2241"/>
      <c r="B171" s="2241"/>
      <c r="C171" s="2241"/>
      <c r="D171" s="2241"/>
      <c r="E171" s="2241"/>
      <c r="F171" s="2241"/>
      <c r="G171" s="2241"/>
      <c r="H171" s="2241"/>
      <c r="I171" s="2241"/>
      <c r="J171" s="2241"/>
      <c r="K171" s="2242"/>
      <c r="L171" s="2243"/>
      <c r="M171" s="2241"/>
      <c r="N171" s="2241"/>
      <c r="O171" s="2241"/>
      <c r="P171" s="2241"/>
      <c r="Q171" s="2241"/>
      <c r="R171" s="2241"/>
      <c r="S171" s="2241"/>
      <c r="T171" s="2241"/>
      <c r="U171" s="2241"/>
      <c r="V171" s="2241"/>
      <c r="W171" s="2241"/>
      <c r="X171" s="2241"/>
      <c r="Y171" s="2241"/>
      <c r="Z171" s="2241"/>
      <c r="AA171" s="2241"/>
      <c r="AB171" s="2241"/>
      <c r="AC171" s="2241"/>
    </row>
    <row r="172" spans="1:29" s="2206" customFormat="1">
      <c r="A172" s="2241"/>
      <c r="B172" s="2241"/>
      <c r="C172" s="2241"/>
      <c r="D172" s="2241"/>
      <c r="E172" s="2241"/>
      <c r="F172" s="2241"/>
      <c r="G172" s="2241"/>
      <c r="H172" s="2241"/>
      <c r="I172" s="2241"/>
      <c r="J172" s="2241"/>
      <c r="K172" s="2242"/>
      <c r="L172" s="2243"/>
      <c r="M172" s="2241"/>
      <c r="N172" s="2241"/>
      <c r="O172" s="2241"/>
      <c r="P172" s="2241"/>
      <c r="Q172" s="2241"/>
      <c r="R172" s="2241"/>
      <c r="S172" s="2241"/>
      <c r="T172" s="2241"/>
      <c r="U172" s="2241"/>
      <c r="V172" s="2241"/>
      <c r="W172" s="2241"/>
      <c r="X172" s="2241"/>
      <c r="Y172" s="2241"/>
      <c r="Z172" s="2241"/>
      <c r="AA172" s="2241"/>
      <c r="AB172" s="2241"/>
      <c r="AC172" s="2241"/>
    </row>
    <row r="173" spans="1:29" s="2206" customFormat="1">
      <c r="A173" s="2241"/>
      <c r="B173" s="2241"/>
      <c r="C173" s="2241"/>
      <c r="D173" s="2241"/>
      <c r="E173" s="2241"/>
      <c r="F173" s="2241"/>
      <c r="G173" s="2241"/>
      <c r="H173" s="2241"/>
      <c r="I173" s="2241"/>
      <c r="J173" s="2241"/>
      <c r="K173" s="2242"/>
      <c r="L173" s="2243"/>
      <c r="M173" s="2241"/>
      <c r="N173" s="2241"/>
      <c r="O173" s="2241"/>
      <c r="P173" s="2241"/>
      <c r="Q173" s="2241"/>
      <c r="R173" s="2241"/>
      <c r="S173" s="2241"/>
      <c r="T173" s="2241"/>
      <c r="U173" s="2241"/>
      <c r="V173" s="2241"/>
      <c r="W173" s="2241"/>
      <c r="X173" s="2241"/>
      <c r="Y173" s="2241"/>
      <c r="Z173" s="2241"/>
      <c r="AA173" s="2241"/>
      <c r="AB173" s="2241"/>
      <c r="AC173" s="2241"/>
    </row>
    <row r="174" spans="1:29" s="2206" customFormat="1">
      <c r="A174" s="2241"/>
      <c r="B174" s="2241"/>
      <c r="C174" s="2241"/>
      <c r="D174" s="2241"/>
      <c r="E174" s="2241"/>
      <c r="F174" s="2241"/>
      <c r="G174" s="2241"/>
      <c r="H174" s="2241"/>
      <c r="I174" s="2241"/>
      <c r="J174" s="2241"/>
      <c r="K174" s="2242"/>
      <c r="L174" s="2243"/>
      <c r="M174" s="2241"/>
      <c r="N174" s="2241"/>
      <c r="O174" s="2241"/>
      <c r="P174" s="2241"/>
      <c r="Q174" s="2241"/>
      <c r="R174" s="2241"/>
      <c r="S174" s="2241"/>
      <c r="T174" s="2241"/>
      <c r="U174" s="2241"/>
      <c r="V174" s="2241"/>
      <c r="W174" s="2241"/>
      <c r="X174" s="2241"/>
      <c r="Y174" s="2241"/>
      <c r="Z174" s="2241"/>
      <c r="AA174" s="2241"/>
      <c r="AB174" s="2241"/>
      <c r="AC174" s="2241"/>
    </row>
    <row r="175" spans="1:29" s="2206" customFormat="1">
      <c r="A175" s="2241"/>
      <c r="B175" s="2241"/>
      <c r="C175" s="2241"/>
      <c r="D175" s="2241"/>
      <c r="E175" s="2241"/>
      <c r="F175" s="2241"/>
      <c r="G175" s="2241"/>
      <c r="H175" s="2241"/>
      <c r="I175" s="2241"/>
      <c r="J175" s="2241"/>
      <c r="K175" s="2242"/>
      <c r="L175" s="2243"/>
      <c r="M175" s="2241"/>
      <c r="N175" s="2241"/>
      <c r="O175" s="2241"/>
      <c r="P175" s="2241"/>
      <c r="Q175" s="2241"/>
      <c r="R175" s="2241"/>
      <c r="S175" s="2241"/>
      <c r="T175" s="2241"/>
      <c r="U175" s="2241"/>
      <c r="V175" s="2241"/>
      <c r="W175" s="2241"/>
      <c r="X175" s="2241"/>
      <c r="Y175" s="2241"/>
      <c r="Z175" s="2241"/>
      <c r="AA175" s="2241"/>
      <c r="AB175" s="2241"/>
      <c r="AC175" s="2241"/>
    </row>
    <row r="176" spans="1:29" s="2206" customFormat="1">
      <c r="A176" s="2241"/>
      <c r="B176" s="2241"/>
      <c r="C176" s="2241"/>
      <c r="D176" s="2241"/>
      <c r="E176" s="2241"/>
      <c r="F176" s="2241"/>
      <c r="G176" s="2241"/>
      <c r="H176" s="2241"/>
      <c r="I176" s="2241"/>
      <c r="J176" s="2241"/>
      <c r="K176" s="2242"/>
      <c r="L176" s="2243"/>
      <c r="M176" s="2241"/>
      <c r="N176" s="2241"/>
      <c r="O176" s="2241"/>
      <c r="P176" s="2241"/>
      <c r="Q176" s="2241"/>
      <c r="R176" s="2241"/>
      <c r="S176" s="2241"/>
      <c r="T176" s="2241"/>
      <c r="U176" s="2241"/>
      <c r="V176" s="2241"/>
      <c r="W176" s="2241"/>
      <c r="X176" s="2241"/>
      <c r="Y176" s="2241"/>
      <c r="Z176" s="2241"/>
      <c r="AA176" s="2241"/>
      <c r="AB176" s="2241"/>
      <c r="AC176" s="2241"/>
    </row>
    <row r="177" spans="1:29" s="2206" customFormat="1">
      <c r="A177" s="2241"/>
      <c r="B177" s="2241"/>
      <c r="C177" s="2241"/>
      <c r="D177" s="2241"/>
      <c r="E177" s="2241"/>
      <c r="F177" s="2241"/>
      <c r="G177" s="2241"/>
      <c r="H177" s="2241"/>
      <c r="I177" s="2241"/>
      <c r="J177" s="2241"/>
      <c r="K177" s="2242"/>
      <c r="L177" s="2243"/>
      <c r="M177" s="2241"/>
      <c r="N177" s="2241"/>
      <c r="O177" s="2241"/>
      <c r="P177" s="2241"/>
      <c r="Q177" s="2241"/>
      <c r="R177" s="2241"/>
      <c r="S177" s="2241"/>
      <c r="T177" s="2241"/>
      <c r="U177" s="2241"/>
      <c r="V177" s="2241"/>
      <c r="W177" s="2241"/>
      <c r="X177" s="2241"/>
      <c r="Y177" s="2241"/>
      <c r="Z177" s="2241"/>
      <c r="AA177" s="2241"/>
      <c r="AB177" s="2241"/>
      <c r="AC177" s="2241"/>
    </row>
    <row r="178" spans="1:29" s="2206" customFormat="1">
      <c r="A178" s="2241"/>
      <c r="B178" s="2241"/>
      <c r="C178" s="2241"/>
      <c r="D178" s="2241"/>
      <c r="E178" s="2241"/>
      <c r="F178" s="2241"/>
      <c r="G178" s="2241"/>
      <c r="H178" s="2241"/>
      <c r="I178" s="2241"/>
      <c r="J178" s="2241"/>
      <c r="K178" s="2242"/>
      <c r="L178" s="2243"/>
      <c r="M178" s="2241"/>
      <c r="N178" s="2241"/>
      <c r="O178" s="2241"/>
      <c r="P178" s="2241"/>
      <c r="Q178" s="2241"/>
      <c r="R178" s="2241"/>
      <c r="S178" s="2241"/>
      <c r="T178" s="2241"/>
      <c r="U178" s="2241"/>
      <c r="V178" s="2241"/>
      <c r="W178" s="2241"/>
      <c r="X178" s="2241"/>
      <c r="Y178" s="2241"/>
      <c r="Z178" s="2241"/>
      <c r="AA178" s="2241"/>
      <c r="AB178" s="2241"/>
      <c r="AC178" s="2241"/>
    </row>
    <row r="179" spans="1:29" s="2206" customFormat="1">
      <c r="A179" s="2241"/>
      <c r="B179" s="2241"/>
      <c r="C179" s="2241"/>
      <c r="D179" s="2241"/>
      <c r="E179" s="2241"/>
      <c r="F179" s="2241"/>
      <c r="G179" s="2241"/>
      <c r="H179" s="2241"/>
      <c r="I179" s="2241"/>
      <c r="J179" s="2241"/>
      <c r="K179" s="2242"/>
      <c r="L179" s="2243"/>
      <c r="M179" s="2241"/>
      <c r="N179" s="2241"/>
      <c r="O179" s="2241"/>
      <c r="P179" s="2241"/>
      <c r="Q179" s="2241"/>
      <c r="R179" s="2241"/>
      <c r="S179" s="2241"/>
      <c r="T179" s="2241"/>
      <c r="U179" s="2241"/>
      <c r="V179" s="2241"/>
      <c r="W179" s="2241"/>
      <c r="X179" s="2241"/>
      <c r="Y179" s="2241"/>
      <c r="Z179" s="2241"/>
      <c r="AA179" s="2241"/>
      <c r="AB179" s="2241"/>
      <c r="AC179" s="2241"/>
    </row>
    <row r="180" spans="1:29" s="2206" customFormat="1">
      <c r="A180" s="2241"/>
      <c r="B180" s="2241"/>
      <c r="C180" s="2241"/>
      <c r="D180" s="2241"/>
      <c r="E180" s="2241"/>
      <c r="F180" s="2241"/>
      <c r="G180" s="2241"/>
      <c r="H180" s="2241"/>
      <c r="I180" s="2241"/>
      <c r="J180" s="2241"/>
      <c r="K180" s="2242"/>
      <c r="L180" s="2243"/>
      <c r="M180" s="2241"/>
      <c r="N180" s="2241"/>
      <c r="O180" s="2241"/>
      <c r="P180" s="2241"/>
      <c r="Q180" s="2241"/>
      <c r="R180" s="2241"/>
      <c r="S180" s="2241"/>
      <c r="T180" s="2241"/>
      <c r="U180" s="2241"/>
      <c r="V180" s="2241"/>
      <c r="W180" s="2241"/>
      <c r="X180" s="2241"/>
      <c r="Y180" s="2241"/>
      <c r="Z180" s="2241"/>
      <c r="AA180" s="2241"/>
      <c r="AB180" s="2241"/>
      <c r="AC180" s="2241"/>
    </row>
    <row r="181" spans="1:29" s="2206" customFormat="1">
      <c r="A181" s="2241"/>
      <c r="B181" s="2241"/>
      <c r="C181" s="2241"/>
      <c r="D181" s="2241"/>
      <c r="E181" s="2241"/>
      <c r="F181" s="2241"/>
      <c r="G181" s="2241"/>
      <c r="H181" s="2241"/>
      <c r="I181" s="2241"/>
      <c r="J181" s="2241"/>
      <c r="K181" s="2242"/>
      <c r="L181" s="2243"/>
      <c r="M181" s="2241"/>
      <c r="N181" s="2241"/>
      <c r="O181" s="2241"/>
      <c r="P181" s="2241"/>
      <c r="Q181" s="2241"/>
      <c r="R181" s="2241"/>
      <c r="S181" s="2241"/>
      <c r="T181" s="2241"/>
      <c r="U181" s="2241"/>
      <c r="V181" s="2241"/>
      <c r="W181" s="2241"/>
      <c r="X181" s="2241"/>
      <c r="Y181" s="2241"/>
      <c r="Z181" s="2241"/>
      <c r="AA181" s="2241"/>
      <c r="AB181" s="2241"/>
      <c r="AC181" s="2241"/>
    </row>
    <row r="182" spans="1:29" s="2206" customFormat="1">
      <c r="A182" s="2241"/>
      <c r="B182" s="2241"/>
      <c r="C182" s="2241"/>
      <c r="D182" s="2241"/>
      <c r="E182" s="2241"/>
      <c r="F182" s="2241"/>
      <c r="G182" s="2241"/>
      <c r="H182" s="2241"/>
      <c r="I182" s="2241"/>
      <c r="J182" s="2241"/>
      <c r="K182" s="2242"/>
      <c r="L182" s="2243"/>
      <c r="M182" s="2241"/>
      <c r="N182" s="2241"/>
      <c r="O182" s="2241"/>
      <c r="P182" s="2241"/>
      <c r="Q182" s="2241"/>
      <c r="R182" s="2241"/>
      <c r="S182" s="2241"/>
      <c r="T182" s="2241"/>
      <c r="U182" s="2241"/>
      <c r="V182" s="2241"/>
      <c r="W182" s="2241"/>
      <c r="X182" s="2241"/>
      <c r="Y182" s="2241"/>
      <c r="Z182" s="2241"/>
      <c r="AA182" s="2241"/>
      <c r="AB182" s="2241"/>
      <c r="AC182" s="2241"/>
    </row>
    <row r="183" spans="1:29" s="2206" customFormat="1">
      <c r="A183" s="2241"/>
      <c r="B183" s="2241"/>
      <c r="C183" s="2241"/>
      <c r="D183" s="2241"/>
      <c r="E183" s="2241"/>
      <c r="F183" s="2241"/>
      <c r="G183" s="2241"/>
      <c r="H183" s="2241"/>
      <c r="I183" s="2241"/>
      <c r="J183" s="2241"/>
      <c r="K183" s="2242"/>
      <c r="L183" s="2243"/>
      <c r="M183" s="2241"/>
      <c r="N183" s="2241"/>
      <c r="O183" s="2241"/>
      <c r="P183" s="2241"/>
      <c r="Q183" s="2241"/>
      <c r="R183" s="2241"/>
      <c r="S183" s="2241"/>
      <c r="T183" s="2241"/>
      <c r="U183" s="2241"/>
      <c r="V183" s="2241"/>
      <c r="W183" s="2241"/>
      <c r="X183" s="2241"/>
      <c r="Y183" s="2241"/>
      <c r="Z183" s="2241"/>
      <c r="AA183" s="2241"/>
      <c r="AB183" s="2241"/>
      <c r="AC183" s="2241"/>
    </row>
    <row r="184" spans="1:29" s="2206" customFormat="1">
      <c r="A184" s="2241"/>
      <c r="B184" s="2241"/>
      <c r="C184" s="2241"/>
      <c r="D184" s="2241"/>
      <c r="E184" s="2241"/>
      <c r="F184" s="2241"/>
      <c r="G184" s="2241"/>
      <c r="H184" s="2241"/>
      <c r="I184" s="2241"/>
      <c r="J184" s="2241"/>
      <c r="K184" s="2242"/>
      <c r="L184" s="2243"/>
      <c r="M184" s="2241"/>
      <c r="N184" s="2241"/>
      <c r="O184" s="2241"/>
      <c r="P184" s="2241"/>
      <c r="Q184" s="2241"/>
      <c r="R184" s="2241"/>
      <c r="S184" s="2241"/>
      <c r="T184" s="2241"/>
      <c r="U184" s="2241"/>
      <c r="V184" s="2241"/>
      <c r="W184" s="2241"/>
      <c r="X184" s="2241"/>
      <c r="Y184" s="2241"/>
      <c r="Z184" s="2241"/>
      <c r="AA184" s="2241"/>
      <c r="AB184" s="2241"/>
      <c r="AC184" s="2241"/>
    </row>
    <row r="185" spans="1:29" s="2206" customFormat="1">
      <c r="A185" s="2241"/>
      <c r="B185" s="2241"/>
      <c r="C185" s="2241"/>
      <c r="D185" s="2241"/>
      <c r="E185" s="2241"/>
      <c r="F185" s="2241"/>
      <c r="G185" s="2241"/>
      <c r="H185" s="2241"/>
      <c r="I185" s="2241"/>
      <c r="J185" s="2241"/>
      <c r="K185" s="2242"/>
      <c r="L185" s="2243"/>
      <c r="M185" s="2241"/>
      <c r="N185" s="2241"/>
      <c r="O185" s="2241"/>
      <c r="P185" s="2241"/>
      <c r="Q185" s="2241"/>
      <c r="R185" s="2241"/>
      <c r="S185" s="2241"/>
      <c r="T185" s="2241"/>
      <c r="U185" s="2241"/>
      <c r="V185" s="2241"/>
      <c r="W185" s="2241"/>
      <c r="X185" s="2241"/>
      <c r="Y185" s="2241"/>
      <c r="Z185" s="2241"/>
      <c r="AA185" s="2241"/>
      <c r="AB185" s="2241"/>
      <c r="AC185" s="2241"/>
    </row>
    <row r="186" spans="1:29" s="2206" customFormat="1">
      <c r="A186" s="2241"/>
      <c r="B186" s="2241"/>
      <c r="C186" s="2241"/>
      <c r="D186" s="2241"/>
      <c r="E186" s="2241"/>
      <c r="F186" s="2241"/>
      <c r="G186" s="2241"/>
      <c r="H186" s="2241"/>
      <c r="I186" s="2241"/>
      <c r="J186" s="2241"/>
      <c r="K186" s="2242"/>
      <c r="L186" s="2243"/>
      <c r="M186" s="2241"/>
      <c r="N186" s="2241"/>
      <c r="O186" s="2241"/>
      <c r="P186" s="2241"/>
      <c r="Q186" s="2241"/>
      <c r="R186" s="2241"/>
      <c r="S186" s="2241"/>
      <c r="T186" s="2241"/>
      <c r="U186" s="2241"/>
      <c r="V186" s="2241"/>
      <c r="W186" s="2241"/>
      <c r="X186" s="2241"/>
      <c r="Y186" s="2241"/>
      <c r="Z186" s="2241"/>
      <c r="AA186" s="2241"/>
      <c r="AB186" s="2241"/>
      <c r="AC186" s="2241"/>
    </row>
    <row r="187" spans="1:29" s="2206" customFormat="1">
      <c r="A187" s="2241"/>
      <c r="B187" s="2241"/>
      <c r="C187" s="2241"/>
      <c r="D187" s="2241"/>
      <c r="E187" s="2241"/>
      <c r="F187" s="2241"/>
      <c r="G187" s="2241"/>
      <c r="H187" s="2241"/>
      <c r="I187" s="2241"/>
      <c r="J187" s="2241"/>
      <c r="K187" s="2242"/>
      <c r="L187" s="2243"/>
      <c r="M187" s="2241"/>
      <c r="N187" s="2241"/>
      <c r="O187" s="2241"/>
      <c r="P187" s="2241"/>
      <c r="Q187" s="2241"/>
      <c r="R187" s="2241"/>
      <c r="S187" s="2241"/>
      <c r="T187" s="2241"/>
      <c r="U187" s="2241"/>
      <c r="V187" s="2241"/>
      <c r="W187" s="2241"/>
      <c r="X187" s="2241"/>
      <c r="Y187" s="2241"/>
      <c r="Z187" s="2241"/>
      <c r="AA187" s="2241"/>
      <c r="AB187" s="2241"/>
      <c r="AC187" s="2241"/>
    </row>
    <row r="188" spans="1:29" s="2206" customFormat="1">
      <c r="A188" s="2241"/>
      <c r="B188" s="2241"/>
      <c r="C188" s="2241"/>
      <c r="D188" s="2241"/>
      <c r="E188" s="2241"/>
      <c r="F188" s="2241"/>
      <c r="G188" s="2241"/>
      <c r="H188" s="2241"/>
      <c r="I188" s="2241"/>
      <c r="J188" s="2241"/>
      <c r="K188" s="2242"/>
      <c r="L188" s="2243"/>
      <c r="M188" s="2241"/>
      <c r="N188" s="2241"/>
      <c r="O188" s="2241"/>
      <c r="P188" s="2241"/>
      <c r="Q188" s="2241"/>
      <c r="R188" s="2241"/>
      <c r="S188" s="2241"/>
      <c r="T188" s="2241"/>
      <c r="U188" s="2241"/>
      <c r="V188" s="2241"/>
      <c r="W188" s="2241"/>
      <c r="X188" s="2241"/>
      <c r="Y188" s="2241"/>
      <c r="Z188" s="2241"/>
      <c r="AA188" s="2241"/>
      <c r="AB188" s="2241"/>
      <c r="AC188" s="2241"/>
    </row>
    <row r="189" spans="1:29" s="2206" customFormat="1">
      <c r="A189" s="2241"/>
      <c r="B189" s="2241"/>
      <c r="C189" s="2241"/>
      <c r="D189" s="2241"/>
      <c r="E189" s="2241"/>
      <c r="F189" s="2241"/>
      <c r="G189" s="2241"/>
      <c r="H189" s="2241"/>
      <c r="I189" s="2241"/>
      <c r="J189" s="2241"/>
      <c r="K189" s="2242"/>
      <c r="L189" s="2243"/>
      <c r="M189" s="2241"/>
      <c r="N189" s="2241"/>
      <c r="O189" s="2241"/>
      <c r="P189" s="2241"/>
      <c r="Q189" s="2241"/>
      <c r="R189" s="2241"/>
      <c r="S189" s="2241"/>
      <c r="T189" s="2241"/>
      <c r="U189" s="2241"/>
      <c r="V189" s="2241"/>
      <c r="W189" s="2241"/>
      <c r="X189" s="2241"/>
      <c r="Y189" s="2241"/>
      <c r="Z189" s="2241"/>
      <c r="AA189" s="2241"/>
      <c r="AB189" s="2241"/>
      <c r="AC189" s="2241"/>
    </row>
    <row r="190" spans="1:29" s="2206" customFormat="1">
      <c r="A190" s="2241"/>
      <c r="B190" s="2241"/>
      <c r="C190" s="2241"/>
      <c r="D190" s="2241"/>
      <c r="E190" s="2241"/>
      <c r="F190" s="2241"/>
      <c r="G190" s="2241"/>
      <c r="H190" s="2241"/>
      <c r="I190" s="2241"/>
      <c r="J190" s="2241"/>
      <c r="K190" s="2242"/>
      <c r="L190" s="2243"/>
      <c r="M190" s="2241"/>
      <c r="N190" s="2241"/>
      <c r="O190" s="2241"/>
      <c r="P190" s="2241"/>
      <c r="Q190" s="2241"/>
      <c r="R190" s="2241"/>
      <c r="S190" s="2241"/>
      <c r="T190" s="2241"/>
      <c r="U190" s="2241"/>
      <c r="V190" s="2241"/>
      <c r="W190" s="2241"/>
      <c r="X190" s="2241"/>
      <c r="Y190" s="2241"/>
      <c r="Z190" s="2241"/>
      <c r="AA190" s="2241"/>
      <c r="AB190" s="2241"/>
      <c r="AC190" s="2241"/>
    </row>
    <row r="191" spans="1:29" s="2206" customFormat="1">
      <c r="A191" s="2241"/>
      <c r="B191" s="2241"/>
      <c r="C191" s="2241"/>
      <c r="D191" s="2241"/>
      <c r="E191" s="2241"/>
      <c r="F191" s="2241"/>
      <c r="G191" s="2241"/>
      <c r="H191" s="2241"/>
      <c r="I191" s="2241"/>
      <c r="J191" s="2241"/>
      <c r="K191" s="2242"/>
      <c r="L191" s="2243"/>
      <c r="M191" s="2241"/>
      <c r="N191" s="2241"/>
      <c r="O191" s="2241"/>
      <c r="P191" s="2241"/>
      <c r="Q191" s="2241"/>
      <c r="R191" s="2241"/>
      <c r="S191" s="2241"/>
      <c r="T191" s="2241"/>
      <c r="U191" s="2241"/>
      <c r="V191" s="2241"/>
      <c r="W191" s="2241"/>
      <c r="X191" s="2241"/>
      <c r="Y191" s="2241"/>
      <c r="Z191" s="2241"/>
      <c r="AA191" s="2241"/>
      <c r="AB191" s="2241"/>
      <c r="AC191" s="2241"/>
    </row>
    <row r="192" spans="1:29" s="2206" customFormat="1">
      <c r="A192" s="2241"/>
      <c r="B192" s="2241"/>
      <c r="C192" s="2241"/>
      <c r="D192" s="2241"/>
      <c r="E192" s="2241"/>
      <c r="F192" s="2241"/>
      <c r="G192" s="2241"/>
      <c r="H192" s="2241"/>
      <c r="I192" s="2241"/>
      <c r="J192" s="2241"/>
      <c r="K192" s="2242"/>
      <c r="L192" s="2243"/>
      <c r="M192" s="2241"/>
      <c r="N192" s="2241"/>
      <c r="O192" s="2241"/>
      <c r="P192" s="2241"/>
      <c r="Q192" s="2241"/>
      <c r="R192" s="2241"/>
      <c r="S192" s="2241"/>
      <c r="T192" s="2241"/>
      <c r="U192" s="2241"/>
      <c r="V192" s="2241"/>
      <c r="W192" s="2241"/>
      <c r="X192" s="2241"/>
      <c r="Y192" s="2241"/>
      <c r="Z192" s="2241"/>
      <c r="AA192" s="2241"/>
      <c r="AB192" s="2241"/>
      <c r="AC192" s="2241"/>
    </row>
    <row r="193" spans="1:29" s="2206" customFormat="1">
      <c r="A193" s="2241"/>
      <c r="B193" s="2241"/>
      <c r="C193" s="2241"/>
      <c r="D193" s="2241"/>
      <c r="E193" s="2241"/>
      <c r="F193" s="2241"/>
      <c r="G193" s="2241"/>
      <c r="H193" s="2241"/>
      <c r="I193" s="2241"/>
      <c r="J193" s="2241"/>
      <c r="K193" s="2242"/>
      <c r="L193" s="2243"/>
      <c r="M193" s="2241"/>
      <c r="N193" s="2241"/>
      <c r="O193" s="2241"/>
      <c r="P193" s="2241"/>
      <c r="Q193" s="2241"/>
      <c r="R193" s="2241"/>
      <c r="S193" s="2241"/>
      <c r="T193" s="2241"/>
      <c r="U193" s="2241"/>
      <c r="V193" s="2241"/>
      <c r="W193" s="2241"/>
      <c r="X193" s="2241"/>
      <c r="Y193" s="2241"/>
      <c r="Z193" s="2241"/>
      <c r="AA193" s="2241"/>
      <c r="AB193" s="2241"/>
      <c r="AC193" s="2241"/>
    </row>
    <row r="194" spans="1:29" s="2206" customFormat="1">
      <c r="A194" s="2241"/>
      <c r="B194" s="2241"/>
      <c r="C194" s="2241"/>
      <c r="D194" s="2241"/>
      <c r="E194" s="2241"/>
      <c r="F194" s="2241"/>
      <c r="G194" s="2241"/>
      <c r="H194" s="2241"/>
      <c r="I194" s="2241"/>
      <c r="J194" s="2241"/>
      <c r="K194" s="2242"/>
      <c r="L194" s="2243"/>
      <c r="M194" s="2241"/>
      <c r="N194" s="2241"/>
      <c r="O194" s="2241"/>
      <c r="P194" s="2241"/>
      <c r="Q194" s="2241"/>
      <c r="R194" s="2241"/>
      <c r="S194" s="2241"/>
      <c r="T194" s="2241"/>
      <c r="U194" s="2241"/>
      <c r="V194" s="2241"/>
      <c r="W194" s="2241"/>
      <c r="X194" s="2241"/>
      <c r="Y194" s="2241"/>
      <c r="Z194" s="2241"/>
      <c r="AA194" s="2241"/>
      <c r="AB194" s="2241"/>
      <c r="AC194" s="2241"/>
    </row>
    <row r="195" spans="1:29" s="2206" customFormat="1">
      <c r="A195" s="2241"/>
      <c r="B195" s="2241"/>
      <c r="C195" s="2241"/>
      <c r="D195" s="2241"/>
      <c r="E195" s="2241"/>
      <c r="F195" s="2241"/>
      <c r="G195" s="2241"/>
      <c r="H195" s="2241"/>
      <c r="I195" s="2241"/>
      <c r="J195" s="2241"/>
      <c r="K195" s="2242"/>
      <c r="L195" s="2243"/>
      <c r="M195" s="2241"/>
      <c r="N195" s="2241"/>
      <c r="O195" s="2241"/>
      <c r="P195" s="2241"/>
      <c r="Q195" s="2241"/>
      <c r="R195" s="2241"/>
      <c r="S195" s="2241"/>
      <c r="T195" s="2241"/>
      <c r="U195" s="2241"/>
      <c r="V195" s="2241"/>
      <c r="W195" s="2241"/>
      <c r="X195" s="2241"/>
      <c r="Y195" s="2241"/>
      <c r="Z195" s="2241"/>
      <c r="AA195" s="2241"/>
      <c r="AB195" s="2241"/>
      <c r="AC195" s="2241"/>
    </row>
    <row r="196" spans="1:29" s="2206" customFormat="1">
      <c r="A196" s="2241"/>
      <c r="B196" s="2241"/>
      <c r="C196" s="2241"/>
      <c r="D196" s="2241"/>
      <c r="E196" s="2241"/>
      <c r="F196" s="2241"/>
      <c r="G196" s="2241"/>
      <c r="H196" s="2241"/>
      <c r="I196" s="2241"/>
      <c r="J196" s="2241"/>
      <c r="K196" s="2242"/>
      <c r="L196" s="2243"/>
      <c r="M196" s="2241"/>
      <c r="N196" s="2241"/>
      <c r="O196" s="2241"/>
      <c r="P196" s="2241"/>
      <c r="Q196" s="2241"/>
      <c r="R196" s="2241"/>
      <c r="S196" s="2241"/>
      <c r="T196" s="2241"/>
      <c r="U196" s="2241"/>
      <c r="V196" s="2241"/>
      <c r="W196" s="2241"/>
      <c r="X196" s="2241"/>
      <c r="Y196" s="2241"/>
      <c r="Z196" s="2241"/>
      <c r="AA196" s="2241"/>
      <c r="AB196" s="2241"/>
      <c r="AC196" s="2241"/>
    </row>
    <row r="197" spans="1:29" s="2206" customFormat="1">
      <c r="A197" s="2241"/>
      <c r="B197" s="2241"/>
      <c r="C197" s="2241"/>
      <c r="D197" s="2241"/>
      <c r="E197" s="2241"/>
      <c r="F197" s="2241"/>
      <c r="G197" s="2241"/>
      <c r="H197" s="2241"/>
      <c r="I197" s="2241"/>
      <c r="J197" s="2241"/>
      <c r="K197" s="2242"/>
      <c r="L197" s="2243"/>
      <c r="M197" s="2241"/>
      <c r="N197" s="2241"/>
      <c r="O197" s="2241"/>
      <c r="P197" s="2241"/>
      <c r="Q197" s="2241"/>
      <c r="R197" s="2241"/>
      <c r="S197" s="2241"/>
      <c r="T197" s="2241"/>
      <c r="U197" s="2241"/>
      <c r="V197" s="2241"/>
      <c r="W197" s="2241"/>
      <c r="X197" s="2241"/>
      <c r="Y197" s="2241"/>
      <c r="Z197" s="2241"/>
      <c r="AA197" s="2241"/>
      <c r="AB197" s="2241"/>
      <c r="AC197" s="2241"/>
    </row>
    <row r="198" spans="1:29" s="2206" customFormat="1">
      <c r="A198" s="2241"/>
      <c r="B198" s="2241"/>
      <c r="C198" s="2241"/>
      <c r="D198" s="2241"/>
      <c r="E198" s="2241"/>
      <c r="F198" s="2241"/>
      <c r="G198" s="2241"/>
      <c r="H198" s="2241"/>
      <c r="I198" s="2241"/>
      <c r="J198" s="2241"/>
      <c r="K198" s="2242"/>
      <c r="L198" s="2243"/>
      <c r="M198" s="2241"/>
      <c r="N198" s="2241"/>
      <c r="O198" s="2241"/>
      <c r="P198" s="2241"/>
      <c r="Q198" s="2241"/>
      <c r="R198" s="2241"/>
      <c r="S198" s="2241"/>
      <c r="T198" s="2241"/>
      <c r="U198" s="2241"/>
      <c r="V198" s="2241"/>
      <c r="W198" s="2241"/>
      <c r="X198" s="2241"/>
      <c r="Y198" s="2241"/>
      <c r="Z198" s="2241"/>
      <c r="AA198" s="2241"/>
      <c r="AB198" s="2241"/>
      <c r="AC198" s="2241"/>
    </row>
    <row r="199" spans="1:29" s="2206" customFormat="1">
      <c r="A199" s="2241"/>
      <c r="B199" s="2241"/>
      <c r="C199" s="2241"/>
      <c r="D199" s="2241"/>
      <c r="E199" s="2241"/>
      <c r="F199" s="2241"/>
      <c r="G199" s="2241"/>
      <c r="H199" s="2241"/>
      <c r="I199" s="2241"/>
      <c r="J199" s="2241"/>
      <c r="K199" s="2242"/>
      <c r="L199" s="2243"/>
      <c r="M199" s="2241"/>
      <c r="N199" s="2241"/>
      <c r="O199" s="2241"/>
      <c r="P199" s="2241"/>
      <c r="Q199" s="2241"/>
      <c r="R199" s="2241"/>
      <c r="S199" s="2241"/>
      <c r="T199" s="2241"/>
      <c r="U199" s="2241"/>
      <c r="V199" s="2241"/>
      <c r="W199" s="2241"/>
      <c r="X199" s="2241"/>
      <c r="Y199" s="2241"/>
      <c r="Z199" s="2241"/>
      <c r="AA199" s="2241"/>
      <c r="AB199" s="2241"/>
      <c r="AC199" s="2241"/>
    </row>
    <row r="200" spans="1:29" s="2206" customFormat="1">
      <c r="A200" s="2241"/>
      <c r="B200" s="2241"/>
      <c r="C200" s="2241"/>
      <c r="D200" s="2241"/>
      <c r="E200" s="2241"/>
      <c r="F200" s="2241"/>
      <c r="G200" s="2241"/>
      <c r="H200" s="2241"/>
      <c r="I200" s="2241"/>
      <c r="J200" s="2241"/>
      <c r="K200" s="2242"/>
      <c r="L200" s="2243"/>
      <c r="M200" s="2241"/>
      <c r="N200" s="2241"/>
      <c r="O200" s="2241"/>
      <c r="P200" s="2241"/>
      <c r="Q200" s="2241"/>
      <c r="R200" s="2241"/>
      <c r="S200" s="2241"/>
      <c r="T200" s="2241"/>
      <c r="U200" s="2241"/>
      <c r="V200" s="2241"/>
      <c r="W200" s="2241"/>
      <c r="X200" s="2241"/>
      <c r="Y200" s="2241"/>
      <c r="Z200" s="2241"/>
      <c r="AA200" s="2241"/>
      <c r="AB200" s="2241"/>
      <c r="AC200" s="2241"/>
    </row>
    <row r="201" spans="1:29" s="2206" customFormat="1">
      <c r="A201" s="2241"/>
      <c r="B201" s="2241"/>
      <c r="C201" s="2241"/>
      <c r="D201" s="2241"/>
      <c r="E201" s="2241"/>
      <c r="F201" s="2241"/>
      <c r="G201" s="2241"/>
      <c r="H201" s="2241"/>
      <c r="I201" s="2241"/>
      <c r="J201" s="2241"/>
      <c r="K201" s="2242"/>
      <c r="L201" s="2243"/>
      <c r="M201" s="2241"/>
      <c r="N201" s="2241"/>
      <c r="O201" s="2241"/>
      <c r="P201" s="2241"/>
      <c r="Q201" s="2241"/>
      <c r="R201" s="2241"/>
      <c r="S201" s="2241"/>
      <c r="T201" s="2241"/>
      <c r="U201" s="2241"/>
      <c r="V201" s="2241"/>
      <c r="W201" s="2241"/>
      <c r="X201" s="2241"/>
      <c r="Y201" s="2241"/>
      <c r="Z201" s="2241"/>
      <c r="AA201" s="2241"/>
      <c r="AB201" s="2241"/>
      <c r="AC201" s="2241"/>
    </row>
    <row r="202" spans="1:29" s="2206" customFormat="1">
      <c r="A202" s="2241"/>
      <c r="B202" s="2241"/>
      <c r="C202" s="2241"/>
      <c r="D202" s="2241"/>
      <c r="E202" s="2241"/>
      <c r="F202" s="2241"/>
      <c r="G202" s="2241"/>
      <c r="H202" s="2241"/>
      <c r="I202" s="2241"/>
      <c r="J202" s="2241"/>
      <c r="K202" s="2242"/>
      <c r="L202" s="2243"/>
      <c r="M202" s="2241"/>
      <c r="N202" s="2241"/>
      <c r="O202" s="2241"/>
      <c r="P202" s="2241"/>
      <c r="Q202" s="2241"/>
      <c r="R202" s="2241"/>
      <c r="S202" s="2241"/>
      <c r="T202" s="2241"/>
      <c r="U202" s="2241"/>
      <c r="V202" s="2241"/>
      <c r="W202" s="2241"/>
      <c r="X202" s="2241"/>
      <c r="Y202" s="2241"/>
      <c r="Z202" s="2241"/>
      <c r="AA202" s="2241"/>
      <c r="AB202" s="2241"/>
      <c r="AC202" s="2241"/>
    </row>
    <row r="203" spans="1:29" s="2206" customFormat="1">
      <c r="A203" s="2241"/>
      <c r="B203" s="2241"/>
      <c r="C203" s="2241"/>
      <c r="D203" s="2241"/>
      <c r="E203" s="2241"/>
      <c r="F203" s="2241"/>
      <c r="G203" s="2241"/>
      <c r="H203" s="2241"/>
      <c r="I203" s="2241"/>
      <c r="J203" s="2241"/>
      <c r="K203" s="2242"/>
      <c r="L203" s="2243"/>
      <c r="M203" s="2241"/>
      <c r="N203" s="2241"/>
      <c r="O203" s="2241"/>
      <c r="P203" s="2241"/>
      <c r="Q203" s="2241"/>
      <c r="R203" s="2241"/>
      <c r="S203" s="2241"/>
      <c r="T203" s="2241"/>
      <c r="U203" s="2241"/>
      <c r="V203" s="2241"/>
      <c r="W203" s="2241"/>
      <c r="X203" s="2241"/>
      <c r="Y203" s="2241"/>
      <c r="Z203" s="2241"/>
      <c r="AA203" s="2241"/>
      <c r="AB203" s="2241"/>
      <c r="AC203" s="2241"/>
    </row>
    <row r="204" spans="1:29" s="2206" customFormat="1">
      <c r="A204" s="2241"/>
      <c r="B204" s="2241"/>
      <c r="C204" s="2241"/>
      <c r="D204" s="2241"/>
      <c r="E204" s="2241"/>
      <c r="F204" s="2241"/>
      <c r="G204" s="2241"/>
      <c r="H204" s="2241"/>
      <c r="I204" s="2241"/>
      <c r="J204" s="2241"/>
      <c r="K204" s="2242"/>
      <c r="L204" s="2243"/>
      <c r="M204" s="2241"/>
      <c r="N204" s="2241"/>
      <c r="O204" s="2241"/>
      <c r="P204" s="2241"/>
      <c r="Q204" s="2241"/>
      <c r="R204" s="2241"/>
      <c r="S204" s="2241"/>
      <c r="T204" s="2241"/>
      <c r="U204" s="2241"/>
      <c r="V204" s="2241"/>
      <c r="W204" s="2241"/>
      <c r="X204" s="2241"/>
      <c r="Y204" s="2241"/>
      <c r="Z204" s="2241"/>
      <c r="AA204" s="2241"/>
      <c r="AB204" s="2241"/>
      <c r="AC204" s="2241"/>
    </row>
    <row r="205" spans="1:29" s="2206" customFormat="1">
      <c r="A205" s="2241"/>
      <c r="B205" s="2241"/>
      <c r="C205" s="2241"/>
      <c r="D205" s="2241"/>
      <c r="E205" s="2241"/>
      <c r="F205" s="2241"/>
      <c r="G205" s="2241"/>
      <c r="H205" s="2241"/>
      <c r="I205" s="2241"/>
      <c r="J205" s="2241"/>
      <c r="K205" s="2242"/>
      <c r="L205" s="2243"/>
      <c r="M205" s="2241"/>
      <c r="N205" s="2241"/>
      <c r="O205" s="2241"/>
      <c r="P205" s="2241"/>
      <c r="Q205" s="2241"/>
      <c r="R205" s="2241"/>
      <c r="S205" s="2241"/>
      <c r="T205" s="2241"/>
      <c r="U205" s="2241"/>
      <c r="V205" s="2241"/>
      <c r="W205" s="2241"/>
      <c r="X205" s="2241"/>
      <c r="Y205" s="2241"/>
      <c r="Z205" s="2241"/>
      <c r="AA205" s="2241"/>
      <c r="AB205" s="2241"/>
      <c r="AC205" s="2241"/>
    </row>
    <row r="206" spans="1:29" s="2206" customFormat="1">
      <c r="A206" s="2241"/>
      <c r="B206" s="2241"/>
      <c r="C206" s="2241"/>
      <c r="D206" s="2241"/>
      <c r="E206" s="2241"/>
      <c r="F206" s="2241"/>
      <c r="G206" s="2241"/>
      <c r="H206" s="2241"/>
      <c r="I206" s="2241"/>
      <c r="J206" s="2241"/>
      <c r="K206" s="2242"/>
      <c r="L206" s="2243"/>
      <c r="M206" s="2241"/>
      <c r="N206" s="2241"/>
      <c r="O206" s="2241"/>
      <c r="P206" s="2241"/>
      <c r="Q206" s="2241"/>
      <c r="R206" s="2241"/>
      <c r="S206" s="2241"/>
      <c r="T206" s="2241"/>
      <c r="U206" s="2241"/>
      <c r="V206" s="2241"/>
      <c r="W206" s="2241"/>
      <c r="X206" s="2241"/>
      <c r="Y206" s="2241"/>
      <c r="Z206" s="2241"/>
      <c r="AA206" s="2241"/>
      <c r="AB206" s="2241"/>
      <c r="AC206" s="2241"/>
    </row>
    <row r="207" spans="1:29" s="2206" customFormat="1">
      <c r="A207" s="2241"/>
      <c r="B207" s="2241"/>
      <c r="C207" s="2241"/>
      <c r="D207" s="2241"/>
      <c r="E207" s="2241"/>
      <c r="F207" s="2241"/>
      <c r="G207" s="2241"/>
      <c r="H207" s="2241"/>
      <c r="I207" s="2241"/>
      <c r="J207" s="2241"/>
      <c r="K207" s="2242"/>
      <c r="L207" s="2243"/>
      <c r="M207" s="2241"/>
      <c r="N207" s="2241"/>
      <c r="O207" s="2241"/>
      <c r="P207" s="2241"/>
      <c r="Q207" s="2241"/>
      <c r="R207" s="2241"/>
      <c r="S207" s="2241"/>
      <c r="T207" s="2241"/>
      <c r="U207" s="2241"/>
      <c r="V207" s="2241"/>
      <c r="W207" s="2241"/>
      <c r="X207" s="2241"/>
      <c r="Y207" s="2241"/>
      <c r="Z207" s="2241"/>
      <c r="AA207" s="2241"/>
      <c r="AB207" s="2241"/>
      <c r="AC207" s="2241"/>
    </row>
    <row r="208" spans="1:29" s="2206" customFormat="1">
      <c r="A208" s="2241"/>
      <c r="B208" s="2241"/>
      <c r="C208" s="2241"/>
      <c r="D208" s="2241"/>
      <c r="E208" s="2241"/>
      <c r="F208" s="2241"/>
      <c r="G208" s="2241"/>
      <c r="H208" s="2241"/>
      <c r="I208" s="2241"/>
      <c r="J208" s="2241"/>
      <c r="K208" s="2242"/>
      <c r="L208" s="2243"/>
      <c r="M208" s="2241"/>
      <c r="N208" s="2241"/>
      <c r="O208" s="2241"/>
      <c r="P208" s="2241"/>
      <c r="Q208" s="2241"/>
      <c r="R208" s="2241"/>
      <c r="S208" s="2241"/>
      <c r="T208" s="2241"/>
      <c r="U208" s="2241"/>
      <c r="V208" s="2241"/>
      <c r="W208" s="2241"/>
      <c r="X208" s="2241"/>
      <c r="Y208" s="2241"/>
      <c r="Z208" s="2241"/>
      <c r="AA208" s="2241"/>
      <c r="AB208" s="2241"/>
      <c r="AC208" s="2241"/>
    </row>
    <row r="209" spans="1:29" s="2206" customFormat="1">
      <c r="A209" s="2241"/>
      <c r="B209" s="2241"/>
      <c r="C209" s="2241"/>
      <c r="D209" s="2241"/>
      <c r="E209" s="2241"/>
      <c r="F209" s="2241"/>
      <c r="G209" s="2241"/>
      <c r="H209" s="2241"/>
      <c r="I209" s="2241"/>
      <c r="J209" s="2241"/>
      <c r="K209" s="2242"/>
      <c r="L209" s="2243"/>
      <c r="M209" s="2241"/>
      <c r="N209" s="2241"/>
      <c r="O209" s="2241"/>
      <c r="P209" s="2241"/>
      <c r="Q209" s="2241"/>
      <c r="R209" s="2241"/>
      <c r="S209" s="2241"/>
      <c r="T209" s="2241"/>
      <c r="U209" s="2241"/>
      <c r="V209" s="2241"/>
      <c r="W209" s="2241"/>
      <c r="X209" s="2241"/>
      <c r="Y209" s="2241"/>
      <c r="Z209" s="2241"/>
      <c r="AA209" s="2241"/>
      <c r="AB209" s="2241"/>
      <c r="AC209" s="2241"/>
    </row>
    <row r="210" spans="1:29" s="2206" customFormat="1">
      <c r="A210" s="2241"/>
      <c r="B210" s="2241"/>
      <c r="C210" s="2241"/>
      <c r="D210" s="2241"/>
      <c r="E210" s="2241"/>
      <c r="F210" s="2241"/>
      <c r="G210" s="2241"/>
      <c r="H210" s="2241"/>
      <c r="I210" s="2241"/>
      <c r="J210" s="2241"/>
      <c r="K210" s="2242"/>
      <c r="L210" s="2243"/>
      <c r="M210" s="2241"/>
      <c r="N210" s="2241"/>
      <c r="O210" s="2241"/>
      <c r="P210" s="2241"/>
      <c r="Q210" s="2241"/>
      <c r="R210" s="2241"/>
      <c r="S210" s="2241"/>
      <c r="T210" s="2241"/>
      <c r="U210" s="2241"/>
      <c r="V210" s="2241"/>
      <c r="W210" s="2241"/>
      <c r="X210" s="2241"/>
      <c r="Y210" s="2241"/>
      <c r="Z210" s="2241"/>
      <c r="AA210" s="2241"/>
      <c r="AB210" s="2241"/>
      <c r="AC210" s="2241"/>
    </row>
    <row r="211" spans="1:29" s="2206" customFormat="1">
      <c r="A211" s="2241"/>
      <c r="B211" s="2241"/>
      <c r="C211" s="2241"/>
      <c r="D211" s="2241"/>
      <c r="E211" s="2241"/>
      <c r="F211" s="2241"/>
      <c r="G211" s="2241"/>
      <c r="H211" s="2241"/>
      <c r="I211" s="2241"/>
      <c r="J211" s="2241"/>
      <c r="K211" s="2242"/>
      <c r="L211" s="2243"/>
      <c r="M211" s="2241"/>
      <c r="N211" s="2241"/>
      <c r="O211" s="2241"/>
      <c r="P211" s="2241"/>
      <c r="Q211" s="2241"/>
      <c r="R211" s="2241"/>
      <c r="S211" s="2241"/>
      <c r="T211" s="2241"/>
      <c r="U211" s="2241"/>
      <c r="V211" s="2241"/>
      <c r="W211" s="2241"/>
      <c r="X211" s="2241"/>
      <c r="Y211" s="2241"/>
      <c r="Z211" s="2241"/>
      <c r="AA211" s="2241"/>
      <c r="AB211" s="2241"/>
      <c r="AC211" s="2241"/>
    </row>
    <row r="212" spans="1:29" s="2206" customFormat="1">
      <c r="A212" s="2241"/>
      <c r="B212" s="2241"/>
      <c r="C212" s="2241"/>
      <c r="D212" s="2241"/>
      <c r="E212" s="2241"/>
      <c r="F212" s="2241"/>
      <c r="G212" s="2241"/>
      <c r="H212" s="2241"/>
      <c r="I212" s="2241"/>
      <c r="J212" s="2241"/>
      <c r="K212" s="2242"/>
      <c r="L212" s="2243"/>
      <c r="M212" s="2241"/>
      <c r="N212" s="2241"/>
      <c r="O212" s="2241"/>
      <c r="P212" s="2241"/>
      <c r="Q212" s="2241"/>
      <c r="R212" s="2241"/>
      <c r="S212" s="2241"/>
      <c r="T212" s="2241"/>
      <c r="U212" s="2241"/>
      <c r="V212" s="2241"/>
      <c r="W212" s="2241"/>
      <c r="X212" s="2241"/>
      <c r="Y212" s="2241"/>
      <c r="Z212" s="2241"/>
      <c r="AA212" s="2241"/>
      <c r="AB212" s="2241"/>
      <c r="AC212" s="2241"/>
    </row>
    <row r="213" spans="1:29" s="2206" customFormat="1">
      <c r="A213" s="2241"/>
      <c r="B213" s="2241"/>
      <c r="C213" s="2241"/>
      <c r="D213" s="2241"/>
      <c r="E213" s="2241"/>
      <c r="F213" s="2241"/>
      <c r="G213" s="2241"/>
      <c r="H213" s="2241"/>
      <c r="I213" s="2241"/>
      <c r="J213" s="2241"/>
      <c r="K213" s="2242"/>
      <c r="L213" s="2243"/>
      <c r="M213" s="2241"/>
      <c r="N213" s="2241"/>
      <c r="O213" s="2241"/>
      <c r="P213" s="2241"/>
      <c r="Q213" s="2241"/>
      <c r="R213" s="2241"/>
      <c r="S213" s="2241"/>
      <c r="T213" s="2241"/>
      <c r="U213" s="2241"/>
      <c r="V213" s="2241"/>
      <c r="W213" s="2241"/>
      <c r="X213" s="2241"/>
      <c r="Y213" s="2241"/>
      <c r="Z213" s="2241"/>
      <c r="AA213" s="2241"/>
      <c r="AB213" s="2241"/>
      <c r="AC213" s="2241"/>
    </row>
    <row r="214" spans="1:29" s="2206" customFormat="1">
      <c r="A214" s="2241"/>
      <c r="B214" s="2241"/>
      <c r="C214" s="2241"/>
      <c r="D214" s="2241"/>
      <c r="E214" s="2241"/>
      <c r="F214" s="2241"/>
      <c r="G214" s="2241"/>
      <c r="H214" s="2241"/>
      <c r="I214" s="2241"/>
      <c r="J214" s="2241"/>
      <c r="K214" s="2242"/>
      <c r="L214" s="2243"/>
      <c r="M214" s="2241"/>
      <c r="N214" s="2241"/>
      <c r="O214" s="2241"/>
      <c r="P214" s="2241"/>
      <c r="Q214" s="2241"/>
      <c r="R214" s="2241"/>
      <c r="S214" s="2241"/>
      <c r="T214" s="2241"/>
      <c r="U214" s="2241"/>
      <c r="V214" s="2241"/>
      <c r="W214" s="2241"/>
      <c r="X214" s="2241"/>
      <c r="Y214" s="2241"/>
      <c r="Z214" s="2241"/>
      <c r="AA214" s="2241"/>
      <c r="AB214" s="2241"/>
      <c r="AC214" s="2241"/>
    </row>
    <row r="215" spans="1:29" s="2206" customFormat="1">
      <c r="A215" s="2241"/>
      <c r="B215" s="2241"/>
      <c r="C215" s="2241"/>
      <c r="D215" s="2241"/>
      <c r="E215" s="2241"/>
      <c r="F215" s="2241"/>
      <c r="G215" s="2241"/>
      <c r="H215" s="2241"/>
      <c r="I215" s="2241"/>
      <c r="J215" s="2241"/>
      <c r="K215" s="2242"/>
      <c r="L215" s="2243"/>
      <c r="M215" s="2241"/>
      <c r="N215" s="2241"/>
      <c r="O215" s="2241"/>
      <c r="P215" s="2241"/>
      <c r="Q215" s="2241"/>
      <c r="R215" s="2241"/>
      <c r="S215" s="2241"/>
      <c r="T215" s="2241"/>
      <c r="U215" s="2241"/>
      <c r="V215" s="2241"/>
      <c r="W215" s="2241"/>
      <c r="X215" s="2241"/>
      <c r="Y215" s="2241"/>
      <c r="Z215" s="2241"/>
      <c r="AA215" s="2241"/>
      <c r="AB215" s="2241"/>
      <c r="AC215" s="2241"/>
    </row>
    <row r="216" spans="1:29" s="2206" customFormat="1">
      <c r="A216" s="2241"/>
      <c r="B216" s="2241"/>
      <c r="C216" s="2241"/>
      <c r="D216" s="2241"/>
      <c r="E216" s="2241"/>
      <c r="F216" s="2241"/>
      <c r="G216" s="2241"/>
      <c r="H216" s="2241"/>
      <c r="I216" s="2241"/>
      <c r="J216" s="2241"/>
      <c r="K216" s="2242"/>
      <c r="L216" s="2243"/>
      <c r="M216" s="2241"/>
      <c r="N216" s="2241"/>
      <c r="O216" s="2241"/>
      <c r="P216" s="2241"/>
      <c r="Q216" s="2241"/>
      <c r="R216" s="2241"/>
      <c r="S216" s="2241"/>
      <c r="T216" s="2241"/>
      <c r="U216" s="2241"/>
      <c r="V216" s="2241"/>
      <c r="W216" s="2241"/>
      <c r="X216" s="2241"/>
      <c r="Y216" s="2241"/>
      <c r="Z216" s="2241"/>
      <c r="AA216" s="2241"/>
      <c r="AB216" s="2241"/>
      <c r="AC216" s="2241"/>
    </row>
    <row r="217" spans="1:29" s="2206" customFormat="1">
      <c r="A217" s="2241"/>
      <c r="B217" s="2241"/>
      <c r="C217" s="2241"/>
      <c r="D217" s="2241"/>
      <c r="E217" s="2241"/>
      <c r="F217" s="2241"/>
      <c r="G217" s="2241"/>
      <c r="H217" s="2241"/>
      <c r="I217" s="2241"/>
      <c r="J217" s="2241"/>
      <c r="K217" s="2242"/>
      <c r="L217" s="2243"/>
      <c r="M217" s="2241"/>
      <c r="N217" s="2241"/>
      <c r="O217" s="2241"/>
      <c r="P217" s="2241"/>
      <c r="Q217" s="2241"/>
      <c r="R217" s="2241"/>
      <c r="S217" s="2241"/>
      <c r="T217" s="2241"/>
      <c r="U217" s="2241"/>
      <c r="V217" s="2241"/>
      <c r="W217" s="2241"/>
      <c r="X217" s="2241"/>
      <c r="Y217" s="2241"/>
      <c r="Z217" s="2241"/>
      <c r="AA217" s="2241"/>
      <c r="AB217" s="2241"/>
      <c r="AC217" s="2241"/>
    </row>
    <row r="218" spans="1:29" s="2206" customFormat="1">
      <c r="A218" s="2241"/>
      <c r="B218" s="2241"/>
      <c r="C218" s="2241"/>
      <c r="D218" s="2241"/>
      <c r="E218" s="2241"/>
      <c r="F218" s="2241"/>
      <c r="G218" s="2241"/>
      <c r="H218" s="2241"/>
      <c r="I218" s="2241"/>
      <c r="J218" s="2241"/>
      <c r="K218" s="2242"/>
      <c r="L218" s="2243"/>
      <c r="M218" s="2241"/>
      <c r="N218" s="2241"/>
      <c r="O218" s="2241"/>
      <c r="P218" s="2241"/>
      <c r="Q218" s="2241"/>
      <c r="R218" s="2241"/>
      <c r="S218" s="2241"/>
      <c r="T218" s="2241"/>
      <c r="U218" s="2241"/>
      <c r="V218" s="2241"/>
      <c r="W218" s="2241"/>
      <c r="X218" s="2241"/>
      <c r="Y218" s="2241"/>
      <c r="Z218" s="2241"/>
      <c r="AA218" s="2241"/>
      <c r="AB218" s="2241"/>
      <c r="AC218" s="2241"/>
    </row>
    <row r="219" spans="1:29" s="2206" customFormat="1">
      <c r="A219" s="2241"/>
      <c r="B219" s="2241"/>
      <c r="C219" s="2241"/>
      <c r="D219" s="2241"/>
      <c r="E219" s="2241"/>
      <c r="F219" s="2241"/>
      <c r="G219" s="2241"/>
      <c r="H219" s="2241"/>
      <c r="I219" s="2241"/>
      <c r="J219" s="2241"/>
      <c r="K219" s="2242"/>
      <c r="L219" s="2243"/>
      <c r="M219" s="2241"/>
      <c r="N219" s="2241"/>
      <c r="O219" s="2241"/>
      <c r="P219" s="2241"/>
      <c r="Q219" s="2241"/>
      <c r="R219" s="2241"/>
      <c r="S219" s="2241"/>
      <c r="T219" s="2241"/>
      <c r="U219" s="2241"/>
      <c r="V219" s="2241"/>
      <c r="W219" s="2241"/>
      <c r="X219" s="2241"/>
      <c r="Y219" s="2241"/>
      <c r="Z219" s="2241"/>
      <c r="AA219" s="2241"/>
      <c r="AB219" s="2241"/>
      <c r="AC219" s="2241"/>
    </row>
    <row r="220" spans="1:29" s="2206" customFormat="1">
      <c r="A220" s="2241"/>
      <c r="B220" s="2241"/>
      <c r="C220" s="2241"/>
      <c r="D220" s="2241"/>
      <c r="E220" s="2241"/>
      <c r="F220" s="2241"/>
      <c r="G220" s="2241"/>
      <c r="H220" s="2241"/>
      <c r="I220" s="2241"/>
      <c r="J220" s="2241"/>
      <c r="K220" s="2242"/>
      <c r="L220" s="2243"/>
      <c r="M220" s="2241"/>
      <c r="N220" s="2241"/>
      <c r="O220" s="2241"/>
      <c r="P220" s="2241"/>
      <c r="Q220" s="2241"/>
      <c r="R220" s="2241"/>
      <c r="S220" s="2241"/>
      <c r="T220" s="2241"/>
      <c r="U220" s="2241"/>
      <c r="V220" s="2241"/>
      <c r="W220" s="2241"/>
      <c r="X220" s="2241"/>
      <c r="Y220" s="2241"/>
      <c r="Z220" s="2241"/>
      <c r="AA220" s="2241"/>
      <c r="AB220" s="2241"/>
      <c r="AC220" s="2241"/>
    </row>
    <row r="221" spans="1:29" s="2206" customFormat="1">
      <c r="A221" s="2241"/>
      <c r="B221" s="2241"/>
      <c r="C221" s="2241"/>
      <c r="D221" s="2241"/>
      <c r="E221" s="2241"/>
      <c r="F221" s="2241"/>
      <c r="G221" s="2241"/>
      <c r="H221" s="2241"/>
      <c r="I221" s="2241"/>
      <c r="J221" s="2241"/>
      <c r="K221" s="2242"/>
      <c r="L221" s="2243"/>
      <c r="M221" s="2241"/>
      <c r="N221" s="2241"/>
      <c r="O221" s="2241"/>
      <c r="P221" s="2241"/>
      <c r="Q221" s="2241"/>
      <c r="R221" s="2241"/>
      <c r="S221" s="2241"/>
      <c r="T221" s="2241"/>
      <c r="U221" s="2241"/>
      <c r="V221" s="2241"/>
      <c r="W221" s="2241"/>
      <c r="X221" s="2241"/>
      <c r="Y221" s="2241"/>
      <c r="Z221" s="2241"/>
      <c r="AA221" s="2241"/>
      <c r="AB221" s="2241"/>
      <c r="AC221" s="2241"/>
    </row>
    <row r="222" spans="1:29" s="2206" customFormat="1">
      <c r="A222" s="2241"/>
      <c r="B222" s="2241"/>
      <c r="C222" s="2241"/>
      <c r="D222" s="2241"/>
      <c r="E222" s="2241"/>
      <c r="F222" s="2241"/>
      <c r="G222" s="2241"/>
      <c r="H222" s="2241"/>
      <c r="I222" s="2241"/>
      <c r="J222" s="2241"/>
      <c r="K222" s="2242"/>
      <c r="L222" s="2243"/>
      <c r="M222" s="2241"/>
      <c r="N222" s="2241"/>
      <c r="O222" s="2241"/>
      <c r="P222" s="2241"/>
      <c r="Q222" s="2241"/>
      <c r="R222" s="2241"/>
      <c r="S222" s="2241"/>
      <c r="T222" s="2241"/>
      <c r="U222" s="2241"/>
      <c r="V222" s="2241"/>
      <c r="W222" s="2241"/>
      <c r="X222" s="2241"/>
      <c r="Y222" s="2241"/>
      <c r="Z222" s="2241"/>
      <c r="AA222" s="2241"/>
      <c r="AB222" s="2241"/>
      <c r="AC222" s="2241"/>
    </row>
    <row r="223" spans="1:29" s="2206" customFormat="1">
      <c r="A223" s="2241"/>
      <c r="B223" s="2241"/>
      <c r="C223" s="2241"/>
      <c r="D223" s="2241"/>
      <c r="E223" s="2241"/>
      <c r="F223" s="2241"/>
      <c r="G223" s="2241"/>
      <c r="H223" s="2241"/>
      <c r="I223" s="2241"/>
      <c r="J223" s="2241"/>
      <c r="K223" s="2242"/>
      <c r="L223" s="2243"/>
      <c r="M223" s="2241"/>
      <c r="N223" s="2241"/>
      <c r="O223" s="2241"/>
      <c r="P223" s="2241"/>
      <c r="Q223" s="2241"/>
      <c r="R223" s="2241"/>
      <c r="S223" s="2241"/>
      <c r="T223" s="2241"/>
      <c r="U223" s="2241"/>
      <c r="V223" s="2241"/>
      <c r="W223" s="2241"/>
      <c r="X223" s="2241"/>
      <c r="Y223" s="2241"/>
      <c r="Z223" s="2241"/>
      <c r="AA223" s="2241"/>
      <c r="AB223" s="2241"/>
      <c r="AC223" s="2241"/>
    </row>
    <row r="224" spans="1:29" s="2206" customFormat="1">
      <c r="A224" s="2241"/>
      <c r="B224" s="2241"/>
      <c r="C224" s="2241"/>
      <c r="D224" s="2241"/>
      <c r="E224" s="2241"/>
      <c r="F224" s="2241"/>
      <c r="G224" s="2241"/>
      <c r="H224" s="2241"/>
      <c r="I224" s="2241"/>
      <c r="J224" s="2241"/>
      <c r="K224" s="2242"/>
      <c r="L224" s="2243"/>
      <c r="M224" s="2241"/>
      <c r="N224" s="2241"/>
      <c r="O224" s="2241"/>
      <c r="P224" s="2241"/>
      <c r="Q224" s="2241"/>
      <c r="R224" s="2241"/>
      <c r="S224" s="2241"/>
      <c r="T224" s="2241"/>
      <c r="U224" s="2241"/>
      <c r="V224" s="2241"/>
      <c r="W224" s="2241"/>
      <c r="X224" s="2241"/>
      <c r="Y224" s="2241"/>
      <c r="Z224" s="2241"/>
      <c r="AA224" s="2241"/>
      <c r="AB224" s="2241"/>
      <c r="AC224" s="2241"/>
    </row>
    <row r="225" spans="1:29" s="2206" customFormat="1">
      <c r="A225" s="2241"/>
      <c r="B225" s="2241"/>
      <c r="C225" s="2241"/>
      <c r="D225" s="2241"/>
      <c r="E225" s="2241"/>
      <c r="F225" s="2241"/>
      <c r="G225" s="2241"/>
      <c r="H225" s="2241"/>
      <c r="I225" s="2241"/>
      <c r="J225" s="2241"/>
      <c r="K225" s="2242"/>
      <c r="L225" s="2243"/>
      <c r="M225" s="2241"/>
      <c r="N225" s="2241"/>
      <c r="O225" s="2241"/>
      <c r="P225" s="2241"/>
      <c r="Q225" s="2241"/>
      <c r="R225" s="2241"/>
      <c r="S225" s="2241"/>
      <c r="T225" s="2241"/>
      <c r="U225" s="2241"/>
      <c r="V225" s="2241"/>
      <c r="W225" s="2241"/>
      <c r="X225" s="2241"/>
      <c r="Y225" s="2241"/>
      <c r="Z225" s="2241"/>
      <c r="AA225" s="2241"/>
      <c r="AB225" s="2241"/>
      <c r="AC225" s="2241"/>
    </row>
    <row r="226" spans="1:29" s="2206" customFormat="1">
      <c r="A226" s="2241"/>
      <c r="B226" s="2241"/>
      <c r="C226" s="2241"/>
      <c r="D226" s="2241"/>
      <c r="E226" s="2241"/>
      <c r="F226" s="2241"/>
      <c r="G226" s="2241"/>
      <c r="H226" s="2241"/>
      <c r="I226" s="2241"/>
      <c r="J226" s="2241"/>
      <c r="K226" s="2242"/>
      <c r="L226" s="2243"/>
      <c r="M226" s="2241"/>
      <c r="N226" s="2241"/>
      <c r="O226" s="2241"/>
      <c r="P226" s="2241"/>
      <c r="Q226" s="2241"/>
      <c r="R226" s="2241"/>
      <c r="S226" s="2241"/>
      <c r="T226" s="2241"/>
      <c r="U226" s="2241"/>
      <c r="V226" s="2241"/>
      <c r="W226" s="2241"/>
      <c r="X226" s="2241"/>
      <c r="Y226" s="2241"/>
      <c r="Z226" s="2241"/>
      <c r="AA226" s="2241"/>
      <c r="AB226" s="2241"/>
      <c r="AC226" s="2241"/>
    </row>
    <row r="227" spans="1:29" s="2206" customFormat="1">
      <c r="A227" s="2241"/>
      <c r="B227" s="2241"/>
      <c r="C227" s="2241"/>
      <c r="D227" s="2241"/>
      <c r="E227" s="2241"/>
      <c r="F227" s="2241"/>
      <c r="G227" s="2241"/>
      <c r="H227" s="2241"/>
      <c r="I227" s="2241"/>
      <c r="J227" s="2241"/>
      <c r="K227" s="2242"/>
      <c r="L227" s="2243"/>
      <c r="M227" s="2241"/>
      <c r="N227" s="2241"/>
      <c r="O227" s="2241"/>
      <c r="P227" s="2241"/>
      <c r="Q227" s="2241"/>
      <c r="R227" s="2241"/>
      <c r="S227" s="2241"/>
      <c r="T227" s="2241"/>
      <c r="U227" s="2241"/>
      <c r="V227" s="2241"/>
      <c r="W227" s="2241"/>
      <c r="X227" s="2241"/>
      <c r="Y227" s="2241"/>
      <c r="Z227" s="2241"/>
      <c r="AA227" s="2241"/>
      <c r="AB227" s="2241"/>
      <c r="AC227" s="2241"/>
    </row>
    <row r="228" spans="1:29" s="2206" customFormat="1">
      <c r="A228" s="2241"/>
      <c r="B228" s="2241"/>
      <c r="C228" s="2241"/>
      <c r="D228" s="2241"/>
      <c r="E228" s="2241"/>
      <c r="F228" s="2241"/>
      <c r="G228" s="2241"/>
      <c r="H228" s="2241"/>
      <c r="I228" s="2241"/>
      <c r="J228" s="2241"/>
      <c r="K228" s="2242"/>
      <c r="L228" s="2243"/>
      <c r="M228" s="2241"/>
      <c r="N228" s="2241"/>
      <c r="O228" s="2241"/>
      <c r="P228" s="2241"/>
      <c r="Q228" s="2241"/>
      <c r="R228" s="2241"/>
      <c r="S228" s="2241"/>
      <c r="T228" s="2241"/>
      <c r="U228" s="2241"/>
      <c r="V228" s="2241"/>
      <c r="W228" s="2241"/>
      <c r="X228" s="2241"/>
      <c r="Y228" s="2241"/>
      <c r="Z228" s="2241"/>
      <c r="AA228" s="2241"/>
      <c r="AB228" s="2241"/>
      <c r="AC228" s="2241"/>
    </row>
    <row r="229" spans="1:29" s="2206" customFormat="1">
      <c r="A229" s="2241"/>
      <c r="B229" s="2241"/>
      <c r="C229" s="2241"/>
      <c r="D229" s="2241"/>
      <c r="E229" s="2241"/>
      <c r="F229" s="2241"/>
      <c r="G229" s="2241"/>
      <c r="H229" s="2241"/>
      <c r="I229" s="2241"/>
      <c r="J229" s="2241"/>
      <c r="K229" s="2242"/>
      <c r="L229" s="2243"/>
      <c r="M229" s="2241"/>
      <c r="N229" s="2241"/>
      <c r="O229" s="2241"/>
      <c r="P229" s="2241"/>
      <c r="Q229" s="2241"/>
      <c r="R229" s="2241"/>
      <c r="S229" s="2241"/>
      <c r="T229" s="2241"/>
      <c r="U229" s="2241"/>
      <c r="V229" s="2241"/>
      <c r="W229" s="2241"/>
      <c r="X229" s="2241"/>
      <c r="Y229" s="2241"/>
      <c r="Z229" s="2241"/>
      <c r="AA229" s="2241"/>
      <c r="AB229" s="2241"/>
      <c r="AC229" s="2241"/>
    </row>
    <row r="230" spans="1:29" s="2206" customFormat="1">
      <c r="A230" s="2241"/>
      <c r="B230" s="2241"/>
      <c r="C230" s="2241"/>
      <c r="D230" s="2241"/>
      <c r="E230" s="2241"/>
      <c r="F230" s="2241"/>
      <c r="G230" s="2241"/>
      <c r="H230" s="2241"/>
      <c r="I230" s="2241"/>
      <c r="J230" s="2241"/>
      <c r="K230" s="2242"/>
      <c r="L230" s="2243"/>
      <c r="M230" s="2241"/>
      <c r="N230" s="2241"/>
      <c r="O230" s="2241"/>
      <c r="P230" s="2241"/>
      <c r="Q230" s="2241"/>
      <c r="R230" s="2241"/>
      <c r="S230" s="2241"/>
      <c r="T230" s="2241"/>
      <c r="U230" s="2241"/>
      <c r="V230" s="2241"/>
      <c r="W230" s="2241"/>
      <c r="X230" s="2241"/>
      <c r="Y230" s="2241"/>
      <c r="Z230" s="2241"/>
      <c r="AA230" s="2241"/>
      <c r="AB230" s="2241"/>
      <c r="AC230" s="2241"/>
    </row>
    <row r="231" spans="1:29" s="2206" customFormat="1">
      <c r="A231" s="2241"/>
      <c r="B231" s="2241"/>
      <c r="C231" s="2241"/>
      <c r="D231" s="2241"/>
      <c r="E231" s="2241"/>
      <c r="F231" s="2241"/>
      <c r="G231" s="2241"/>
      <c r="H231" s="2241"/>
      <c r="I231" s="2241"/>
      <c r="J231" s="2241"/>
      <c r="K231" s="2242"/>
      <c r="L231" s="2243"/>
      <c r="M231" s="2241"/>
      <c r="N231" s="2241"/>
      <c r="O231" s="2241"/>
      <c r="P231" s="2241"/>
      <c r="Q231" s="2241"/>
      <c r="R231" s="2241"/>
      <c r="S231" s="2241"/>
      <c r="T231" s="2241"/>
      <c r="U231" s="2241"/>
      <c r="V231" s="2241"/>
      <c r="W231" s="2241"/>
      <c r="X231" s="2241"/>
      <c r="Y231" s="2241"/>
      <c r="Z231" s="2241"/>
      <c r="AA231" s="2241"/>
      <c r="AB231" s="2241"/>
      <c r="AC231" s="2241"/>
    </row>
    <row r="232" spans="1:29" s="2206" customFormat="1">
      <c r="A232" s="2241"/>
      <c r="B232" s="2241"/>
      <c r="C232" s="2241"/>
      <c r="D232" s="2241"/>
      <c r="E232" s="2241"/>
      <c r="F232" s="2241"/>
      <c r="G232" s="2241"/>
      <c r="H232" s="2241"/>
      <c r="I232" s="2241"/>
      <c r="J232" s="2241"/>
      <c r="K232" s="2242"/>
      <c r="L232" s="2243"/>
      <c r="M232" s="2241"/>
      <c r="N232" s="2241"/>
      <c r="O232" s="2241"/>
      <c r="P232" s="2241"/>
      <c r="Q232" s="2241"/>
      <c r="R232" s="2241"/>
      <c r="S232" s="2241"/>
      <c r="T232" s="2241"/>
      <c r="U232" s="2241"/>
      <c r="V232" s="2241"/>
      <c r="W232" s="2241"/>
      <c r="X232" s="2241"/>
      <c r="Y232" s="2241"/>
      <c r="Z232" s="2241"/>
      <c r="AA232" s="2241"/>
      <c r="AB232" s="2241"/>
      <c r="AC232" s="2241"/>
    </row>
    <row r="233" spans="1:29" s="2206" customFormat="1">
      <c r="A233" s="2241"/>
      <c r="B233" s="2241"/>
      <c r="C233" s="2241"/>
      <c r="D233" s="2241"/>
      <c r="E233" s="2241"/>
      <c r="F233" s="2241"/>
      <c r="G233" s="2241"/>
      <c r="H233" s="2241"/>
      <c r="I233" s="2241"/>
      <c r="J233" s="2241"/>
      <c r="K233" s="2242"/>
      <c r="L233" s="2243"/>
      <c r="M233" s="2241"/>
      <c r="N233" s="2241"/>
      <c r="O233" s="2241"/>
      <c r="P233" s="2241"/>
      <c r="Q233" s="2241"/>
      <c r="R233" s="2241"/>
      <c r="S233" s="2241"/>
      <c r="T233" s="2241"/>
      <c r="U233" s="2241"/>
      <c r="V233" s="2241"/>
      <c r="W233" s="2241"/>
      <c r="X233" s="2241"/>
      <c r="Y233" s="2241"/>
      <c r="Z233" s="2241"/>
      <c r="AA233" s="2241"/>
      <c r="AB233" s="2241"/>
      <c r="AC233" s="2241"/>
    </row>
    <row r="234" spans="1:29" s="2206" customFormat="1">
      <c r="A234" s="2241"/>
      <c r="B234" s="2241"/>
      <c r="C234" s="2241"/>
      <c r="D234" s="2241"/>
      <c r="E234" s="2241"/>
      <c r="F234" s="2241"/>
      <c r="G234" s="2241"/>
      <c r="H234" s="2241"/>
      <c r="I234" s="2241"/>
      <c r="J234" s="2241"/>
      <c r="K234" s="2242"/>
      <c r="L234" s="2243"/>
      <c r="M234" s="2241"/>
      <c r="N234" s="2241"/>
      <c r="O234" s="2241"/>
      <c r="P234" s="2241"/>
      <c r="Q234" s="2241"/>
      <c r="R234" s="2241"/>
      <c r="S234" s="2241"/>
      <c r="T234" s="2241"/>
      <c r="U234" s="2241"/>
      <c r="V234" s="2241"/>
      <c r="W234" s="2241"/>
      <c r="X234" s="2241"/>
      <c r="Y234" s="2241"/>
      <c r="Z234" s="2241"/>
      <c r="AA234" s="2241"/>
      <c r="AB234" s="2241"/>
      <c r="AC234" s="2241"/>
    </row>
    <row r="235" spans="1:29" s="2206" customFormat="1">
      <c r="A235" s="2241"/>
      <c r="B235" s="2241"/>
      <c r="C235" s="2241"/>
      <c r="D235" s="2241"/>
      <c r="E235" s="2241"/>
      <c r="F235" s="2241"/>
      <c r="G235" s="2241"/>
      <c r="H235" s="2241"/>
      <c r="I235" s="2241"/>
      <c r="J235" s="2241"/>
      <c r="K235" s="2242"/>
      <c r="L235" s="2243"/>
      <c r="M235" s="2241"/>
      <c r="N235" s="2241"/>
      <c r="O235" s="2241"/>
      <c r="P235" s="2241"/>
      <c r="Q235" s="2241"/>
      <c r="R235" s="2241"/>
      <c r="S235" s="2241"/>
      <c r="T235" s="2241"/>
      <c r="U235" s="2241"/>
      <c r="V235" s="2241"/>
      <c r="W235" s="2241"/>
      <c r="X235" s="2241"/>
      <c r="Y235" s="2241"/>
      <c r="Z235" s="2241"/>
      <c r="AA235" s="2241"/>
      <c r="AB235" s="2241"/>
      <c r="AC235" s="2241"/>
    </row>
    <row r="236" spans="1:29" s="2206" customFormat="1">
      <c r="A236" s="2241"/>
      <c r="B236" s="2241"/>
      <c r="C236" s="2241"/>
      <c r="D236" s="2241"/>
      <c r="E236" s="2241"/>
      <c r="F236" s="2241"/>
      <c r="G236" s="2241"/>
      <c r="H236" s="2241"/>
      <c r="I236" s="2241"/>
      <c r="J236" s="2241"/>
      <c r="K236" s="2242"/>
      <c r="L236" s="2243"/>
      <c r="M236" s="2241"/>
      <c r="N236" s="2241"/>
      <c r="O236" s="2241"/>
      <c r="P236" s="2241"/>
      <c r="Q236" s="2241"/>
      <c r="R236" s="2241"/>
      <c r="S236" s="2241"/>
      <c r="T236" s="2241"/>
      <c r="U236" s="2241"/>
      <c r="V236" s="2241"/>
      <c r="W236" s="2241"/>
      <c r="X236" s="2241"/>
      <c r="Y236" s="2241"/>
      <c r="Z236" s="2241"/>
      <c r="AA236" s="2241"/>
      <c r="AB236" s="2241"/>
      <c r="AC236" s="2241"/>
    </row>
    <row r="237" spans="1:29" s="2206" customFormat="1">
      <c r="A237" s="2241"/>
      <c r="B237" s="2241"/>
      <c r="C237" s="2241"/>
      <c r="D237" s="2241"/>
      <c r="E237" s="2241"/>
      <c r="F237" s="2241"/>
      <c r="G237" s="2241"/>
      <c r="H237" s="2241"/>
      <c r="I237" s="2241"/>
      <c r="J237" s="2241"/>
      <c r="K237" s="2242"/>
      <c r="L237" s="2243"/>
      <c r="M237" s="2241"/>
      <c r="N237" s="2241"/>
      <c r="O237" s="2241"/>
      <c r="P237" s="2241"/>
      <c r="Q237" s="2241"/>
      <c r="R237" s="2241"/>
      <c r="S237" s="2241"/>
      <c r="T237" s="2241"/>
      <c r="U237" s="2241"/>
      <c r="V237" s="2241"/>
      <c r="W237" s="2241"/>
      <c r="X237" s="2241"/>
      <c r="Y237" s="2241"/>
      <c r="Z237" s="2241"/>
      <c r="AA237" s="2241"/>
      <c r="AB237" s="2241"/>
      <c r="AC237" s="2241"/>
    </row>
    <row r="238" spans="1:29" s="2206" customFormat="1">
      <c r="A238" s="2241"/>
      <c r="B238" s="2241"/>
      <c r="C238" s="2241"/>
      <c r="D238" s="2241"/>
      <c r="E238" s="2241"/>
      <c r="F238" s="2241"/>
      <c r="G238" s="2241"/>
      <c r="H238" s="2241"/>
      <c r="I238" s="2241"/>
      <c r="J238" s="2241"/>
      <c r="K238" s="2242"/>
      <c r="L238" s="2243"/>
      <c r="M238" s="2241"/>
      <c r="N238" s="2241"/>
      <c r="O238" s="2241"/>
      <c r="P238" s="2241"/>
      <c r="Q238" s="2241"/>
      <c r="R238" s="2241"/>
      <c r="S238" s="2241"/>
      <c r="T238" s="2241"/>
      <c r="U238" s="2241"/>
      <c r="V238" s="2241"/>
      <c r="W238" s="2241"/>
      <c r="X238" s="2241"/>
      <c r="Y238" s="2241"/>
      <c r="Z238" s="2241"/>
      <c r="AA238" s="2241"/>
      <c r="AB238" s="2241"/>
      <c r="AC238" s="2241"/>
    </row>
    <row r="239" spans="1:29" s="2206" customFormat="1">
      <c r="A239" s="2241"/>
      <c r="B239" s="2241"/>
      <c r="C239" s="2241"/>
      <c r="D239" s="2241"/>
      <c r="E239" s="2241"/>
      <c r="F239" s="2241"/>
      <c r="G239" s="2241"/>
      <c r="H239" s="2241"/>
      <c r="I239" s="2241"/>
      <c r="J239" s="2241"/>
      <c r="K239" s="2242"/>
      <c r="L239" s="2243"/>
      <c r="M239" s="2241"/>
      <c r="N239" s="2241"/>
      <c r="O239" s="2241"/>
      <c r="P239" s="2241"/>
      <c r="Q239" s="2241"/>
      <c r="R239" s="2241"/>
      <c r="S239" s="2241"/>
      <c r="T239" s="2241"/>
      <c r="U239" s="2241"/>
      <c r="V239" s="2241"/>
      <c r="W239" s="2241"/>
      <c r="X239" s="2241"/>
      <c r="Y239" s="2241"/>
      <c r="Z239" s="2241"/>
      <c r="AA239" s="2241"/>
      <c r="AB239" s="2241"/>
      <c r="AC239" s="2241"/>
    </row>
    <row r="240" spans="1:29" s="2206" customFormat="1">
      <c r="A240" s="2241"/>
      <c r="B240" s="2241"/>
      <c r="C240" s="2241"/>
      <c r="D240" s="2241"/>
      <c r="E240" s="2241"/>
      <c r="F240" s="2241"/>
      <c r="G240" s="2241"/>
      <c r="H240" s="2241"/>
      <c r="I240" s="2241"/>
      <c r="J240" s="2241"/>
      <c r="K240" s="2242"/>
      <c r="L240" s="2243"/>
      <c r="M240" s="2241"/>
      <c r="N240" s="2241"/>
      <c r="O240" s="2241"/>
      <c r="P240" s="2241"/>
      <c r="Q240" s="2241"/>
      <c r="R240" s="2241"/>
      <c r="S240" s="2241"/>
      <c r="T240" s="2241"/>
      <c r="U240" s="2241"/>
      <c r="V240" s="2241"/>
      <c r="W240" s="2241"/>
      <c r="X240" s="2241"/>
      <c r="Y240" s="2241"/>
      <c r="Z240" s="2241"/>
      <c r="AA240" s="2241"/>
      <c r="AB240" s="2241"/>
      <c r="AC240" s="2241"/>
    </row>
    <row r="241" spans="1:29" s="2206" customFormat="1">
      <c r="A241" s="2241"/>
      <c r="B241" s="2241"/>
      <c r="C241" s="2241"/>
      <c r="D241" s="2241"/>
      <c r="E241" s="2241"/>
      <c r="F241" s="2241"/>
      <c r="G241" s="2241"/>
      <c r="H241" s="2241"/>
      <c r="I241" s="2241"/>
      <c r="J241" s="2241"/>
      <c r="K241" s="2242"/>
      <c r="L241" s="2243"/>
      <c r="M241" s="2241"/>
      <c r="N241" s="2241"/>
      <c r="O241" s="2241"/>
      <c r="P241" s="2241"/>
      <c r="Q241" s="2241"/>
      <c r="R241" s="2241"/>
      <c r="S241" s="2241"/>
      <c r="T241" s="2241"/>
      <c r="U241" s="2241"/>
      <c r="V241" s="2241"/>
      <c r="W241" s="2241"/>
      <c r="X241" s="2241"/>
      <c r="Y241" s="2241"/>
      <c r="Z241" s="2241"/>
      <c r="AA241" s="2241"/>
      <c r="AB241" s="2241"/>
      <c r="AC241" s="2241"/>
    </row>
    <row r="242" spans="1:29" s="2206" customFormat="1">
      <c r="A242" s="2241"/>
      <c r="B242" s="2241"/>
      <c r="C242" s="2241"/>
      <c r="D242" s="2241"/>
      <c r="E242" s="2241"/>
      <c r="F242" s="2241"/>
      <c r="G242" s="2241"/>
      <c r="H242" s="2241"/>
      <c r="I242" s="2241"/>
      <c r="J242" s="2241"/>
      <c r="K242" s="2242"/>
      <c r="L242" s="2243"/>
      <c r="M242" s="2241"/>
      <c r="N242" s="2241"/>
      <c r="O242" s="2241"/>
      <c r="P242" s="2241"/>
      <c r="Q242" s="2241"/>
      <c r="R242" s="2241"/>
      <c r="S242" s="2241"/>
      <c r="T242" s="2241"/>
      <c r="U242" s="2241"/>
      <c r="V242" s="2241"/>
      <c r="W242" s="2241"/>
      <c r="X242" s="2241"/>
      <c r="Y242" s="2241"/>
      <c r="Z242" s="2241"/>
      <c r="AA242" s="2241"/>
      <c r="AB242" s="2241"/>
      <c r="AC242" s="2241"/>
    </row>
    <row r="243" spans="1:29" s="2206" customFormat="1">
      <c r="A243" s="2241"/>
      <c r="B243" s="2241"/>
      <c r="C243" s="2241"/>
      <c r="D243" s="2241"/>
      <c r="E243" s="2241"/>
      <c r="F243" s="2241"/>
      <c r="G243" s="2241"/>
      <c r="H243" s="2241"/>
      <c r="I243" s="2241"/>
      <c r="J243" s="2241"/>
      <c r="K243" s="2242"/>
      <c r="L243" s="2243"/>
      <c r="M243" s="2241"/>
      <c r="N243" s="2241"/>
      <c r="O243" s="2241"/>
      <c r="P243" s="2241"/>
      <c r="Q243" s="2241"/>
      <c r="R243" s="2241"/>
      <c r="S243" s="2241"/>
      <c r="T243" s="2241"/>
      <c r="U243" s="2241"/>
      <c r="V243" s="2241"/>
      <c r="W243" s="2241"/>
      <c r="X243" s="2241"/>
      <c r="Y243" s="2241"/>
      <c r="Z243" s="2241"/>
      <c r="AA243" s="2241"/>
      <c r="AB243" s="2241"/>
      <c r="AC243" s="2241"/>
    </row>
    <row r="244" spans="1:29" s="2206" customFormat="1">
      <c r="A244" s="2241"/>
      <c r="B244" s="2241"/>
      <c r="C244" s="2241"/>
      <c r="D244" s="2241"/>
      <c r="E244" s="2241"/>
      <c r="F244" s="2241"/>
      <c r="G244" s="2241"/>
      <c r="H244" s="2241"/>
      <c r="I244" s="2241"/>
      <c r="J244" s="2241"/>
      <c r="K244" s="2242"/>
      <c r="L244" s="2243"/>
      <c r="M244" s="2241"/>
      <c r="N244" s="2241"/>
      <c r="O244" s="2241"/>
      <c r="P244" s="2241"/>
      <c r="Q244" s="2241"/>
      <c r="R244" s="2241"/>
      <c r="S244" s="2241"/>
      <c r="T244" s="2241"/>
      <c r="U244" s="2241"/>
      <c r="V244" s="2241"/>
      <c r="W244" s="2241"/>
      <c r="X244" s="2241"/>
      <c r="Y244" s="2241"/>
      <c r="Z244" s="2241"/>
      <c r="AA244" s="2241"/>
      <c r="AB244" s="2241"/>
      <c r="AC244" s="2241"/>
    </row>
    <row r="245" spans="1:29" s="2206" customFormat="1">
      <c r="A245" s="2241"/>
      <c r="B245" s="2241"/>
      <c r="C245" s="2241"/>
      <c r="D245" s="2241"/>
      <c r="E245" s="2241"/>
      <c r="F245" s="2241"/>
      <c r="G245" s="2241"/>
      <c r="H245" s="2241"/>
      <c r="I245" s="2241"/>
      <c r="J245" s="2241"/>
      <c r="K245" s="2242"/>
      <c r="L245" s="2243"/>
      <c r="M245" s="2241"/>
      <c r="N245" s="2241"/>
      <c r="O245" s="2241"/>
      <c r="P245" s="2241"/>
      <c r="Q245" s="2241"/>
      <c r="R245" s="2241"/>
      <c r="S245" s="2241"/>
      <c r="T245" s="2241"/>
      <c r="U245" s="2241"/>
      <c r="V245" s="2241"/>
      <c r="W245" s="2241"/>
      <c r="X245" s="2241"/>
      <c r="Y245" s="2241"/>
      <c r="Z245" s="2241"/>
      <c r="AA245" s="2241"/>
      <c r="AB245" s="2241"/>
      <c r="AC245" s="2241"/>
    </row>
    <row r="246" spans="1:29" s="2206" customFormat="1">
      <c r="A246" s="2241"/>
      <c r="B246" s="2241"/>
      <c r="C246" s="2241"/>
      <c r="D246" s="2241"/>
      <c r="E246" s="2241"/>
      <c r="F246" s="2241"/>
      <c r="G246" s="2241"/>
      <c r="H246" s="2241"/>
      <c r="I246" s="2241"/>
      <c r="J246" s="2241"/>
      <c r="K246" s="2242"/>
      <c r="L246" s="2243"/>
      <c r="M246" s="2241"/>
      <c r="N246" s="2241"/>
      <c r="O246" s="2241"/>
      <c r="P246" s="2241"/>
      <c r="Q246" s="2241"/>
      <c r="R246" s="2241"/>
      <c r="S246" s="2241"/>
      <c r="T246" s="2241"/>
      <c r="U246" s="2241"/>
      <c r="V246" s="2241"/>
      <c r="W246" s="2241"/>
      <c r="X246" s="2241"/>
      <c r="Y246" s="2241"/>
      <c r="Z246" s="2241"/>
      <c r="AA246" s="2241"/>
      <c r="AB246" s="2241"/>
      <c r="AC246" s="2241"/>
    </row>
    <row r="247" spans="1:29" s="2206" customFormat="1">
      <c r="A247" s="2241"/>
      <c r="B247" s="2241"/>
      <c r="C247" s="2241"/>
      <c r="D247" s="2241"/>
      <c r="E247" s="2241"/>
      <c r="F247" s="2241"/>
      <c r="G247" s="2241"/>
      <c r="H247" s="2241"/>
      <c r="I247" s="2241"/>
      <c r="J247" s="2241"/>
      <c r="K247" s="2242"/>
      <c r="L247" s="2243"/>
      <c r="M247" s="2241"/>
      <c r="N247" s="2241"/>
      <c r="O247" s="2241"/>
      <c r="P247" s="2241"/>
      <c r="Q247" s="2241"/>
      <c r="R247" s="2241"/>
      <c r="S247" s="2241"/>
      <c r="T247" s="2241"/>
      <c r="U247" s="2241"/>
      <c r="V247" s="2241"/>
      <c r="W247" s="2241"/>
      <c r="X247" s="2241"/>
      <c r="Y247" s="2241"/>
      <c r="Z247" s="2241"/>
      <c r="AA247" s="2241"/>
      <c r="AB247" s="2241"/>
      <c r="AC247" s="2241"/>
    </row>
    <row r="248" spans="1:29" s="2206" customFormat="1">
      <c r="A248" s="2241"/>
      <c r="B248" s="2241"/>
      <c r="C248" s="2241"/>
      <c r="D248" s="2241"/>
      <c r="E248" s="2241"/>
      <c r="F248" s="2241"/>
      <c r="G248" s="2241"/>
      <c r="H248" s="2241"/>
      <c r="I248" s="2241"/>
      <c r="J248" s="2241"/>
      <c r="K248" s="2242"/>
      <c r="L248" s="2243"/>
      <c r="M248" s="2241"/>
      <c r="N248" s="2241"/>
      <c r="O248" s="2241"/>
      <c r="P248" s="2241"/>
      <c r="Q248" s="2241"/>
      <c r="R248" s="2241"/>
      <c r="S248" s="2241"/>
      <c r="T248" s="2241"/>
      <c r="U248" s="2241"/>
      <c r="V248" s="2241"/>
      <c r="W248" s="2241"/>
      <c r="X248" s="2241"/>
      <c r="Y248" s="2241"/>
      <c r="Z248" s="2241"/>
      <c r="AA248" s="2241"/>
      <c r="AB248" s="2241"/>
      <c r="AC248" s="2241"/>
    </row>
    <row r="249" spans="1:29" s="2206" customFormat="1">
      <c r="A249" s="2241"/>
      <c r="B249" s="2241"/>
      <c r="C249" s="2241"/>
      <c r="D249" s="2241"/>
      <c r="E249" s="2241"/>
      <c r="F249" s="2241"/>
      <c r="G249" s="2241"/>
      <c r="H249" s="2241"/>
      <c r="I249" s="2241"/>
      <c r="J249" s="2241"/>
      <c r="K249" s="2242"/>
      <c r="L249" s="2243"/>
      <c r="M249" s="2241"/>
      <c r="N249" s="2241"/>
      <c r="O249" s="2241"/>
      <c r="P249" s="2241"/>
      <c r="Q249" s="2241"/>
      <c r="R249" s="2241"/>
      <c r="S249" s="2241"/>
      <c r="T249" s="2241"/>
      <c r="U249" s="2241"/>
      <c r="V249" s="2241"/>
      <c r="W249" s="2241"/>
      <c r="X249" s="2241"/>
      <c r="Y249" s="2241"/>
      <c r="Z249" s="2241"/>
      <c r="AA249" s="2241"/>
      <c r="AB249" s="2241"/>
      <c r="AC249" s="2241"/>
    </row>
    <row r="250" spans="1:29" s="2206" customFormat="1">
      <c r="A250" s="2241"/>
      <c r="B250" s="2241"/>
      <c r="C250" s="2241"/>
      <c r="D250" s="2241"/>
      <c r="E250" s="2241"/>
      <c r="F250" s="2241"/>
      <c r="G250" s="2241"/>
      <c r="H250" s="2241"/>
      <c r="I250" s="2241"/>
      <c r="J250" s="2241"/>
      <c r="K250" s="2242"/>
      <c r="L250" s="2243"/>
      <c r="M250" s="2241"/>
      <c r="N250" s="2241"/>
      <c r="O250" s="2241"/>
      <c r="P250" s="2241"/>
      <c r="Q250" s="2241"/>
      <c r="R250" s="2241"/>
      <c r="S250" s="2241"/>
      <c r="T250" s="2241"/>
      <c r="U250" s="2241"/>
      <c r="V250" s="2241"/>
      <c r="W250" s="2241"/>
      <c r="X250" s="2241"/>
      <c r="Y250" s="2241"/>
      <c r="Z250" s="2241"/>
      <c r="AA250" s="2241"/>
      <c r="AB250" s="2241"/>
      <c r="AC250" s="2241"/>
    </row>
    <row r="251" spans="1:29" s="2206" customFormat="1">
      <c r="A251" s="2241"/>
      <c r="B251" s="2241"/>
      <c r="C251" s="2241"/>
      <c r="D251" s="2241"/>
      <c r="E251" s="2241"/>
      <c r="F251" s="2241"/>
      <c r="G251" s="2241"/>
      <c r="H251" s="2241"/>
      <c r="I251" s="2241"/>
      <c r="J251" s="2241"/>
      <c r="K251" s="2242"/>
      <c r="L251" s="2243"/>
      <c r="M251" s="2241"/>
      <c r="N251" s="2241"/>
      <c r="O251" s="2241"/>
      <c r="P251" s="2241"/>
      <c r="Q251" s="2241"/>
      <c r="R251" s="2241"/>
      <c r="S251" s="2241"/>
      <c r="T251" s="2241"/>
      <c r="U251" s="2241"/>
      <c r="V251" s="2241"/>
      <c r="W251" s="2241"/>
      <c r="X251" s="2241"/>
      <c r="Y251" s="2241"/>
      <c r="Z251" s="2241"/>
      <c r="AA251" s="2241"/>
      <c r="AB251" s="2241"/>
      <c r="AC251" s="2241"/>
    </row>
    <row r="252" spans="1:29" s="2206" customFormat="1">
      <c r="A252" s="2241"/>
      <c r="B252" s="2241"/>
      <c r="C252" s="2241"/>
      <c r="D252" s="2241"/>
      <c r="E252" s="2241"/>
      <c r="F252" s="2241"/>
      <c r="G252" s="2241"/>
      <c r="H252" s="2241"/>
      <c r="I252" s="2241"/>
      <c r="J252" s="2241"/>
      <c r="K252" s="2242"/>
      <c r="L252" s="2243"/>
      <c r="M252" s="2241"/>
      <c r="N252" s="2241"/>
      <c r="O252" s="2241"/>
      <c r="P252" s="2241"/>
      <c r="Q252" s="2241"/>
      <c r="R252" s="2241"/>
      <c r="S252" s="2241"/>
      <c r="T252" s="2241"/>
      <c r="U252" s="2241"/>
      <c r="V252" s="2241"/>
      <c r="W252" s="2241"/>
      <c r="X252" s="2241"/>
      <c r="Y252" s="2241"/>
      <c r="Z252" s="2241"/>
      <c r="AA252" s="2241"/>
      <c r="AB252" s="2241"/>
      <c r="AC252" s="2241"/>
    </row>
    <row r="253" spans="1:29" s="2206" customFormat="1">
      <c r="A253" s="2241"/>
      <c r="B253" s="2241"/>
      <c r="C253" s="2241"/>
      <c r="D253" s="2241"/>
      <c r="E253" s="2241"/>
      <c r="F253" s="2241"/>
      <c r="G253" s="2241"/>
      <c r="H253" s="2241"/>
      <c r="I253" s="2241"/>
      <c r="J253" s="2241"/>
      <c r="K253" s="2242"/>
      <c r="L253" s="2243"/>
      <c r="M253" s="2241"/>
      <c r="N253" s="2241"/>
      <c r="O253" s="2241"/>
      <c r="P253" s="2241"/>
      <c r="Q253" s="2241"/>
      <c r="R253" s="2241"/>
      <c r="S253" s="2241"/>
      <c r="T253" s="2241"/>
      <c r="U253" s="2241"/>
      <c r="V253" s="2241"/>
      <c r="W253" s="2241"/>
      <c r="X253" s="2241"/>
      <c r="Y253" s="2241"/>
      <c r="Z253" s="2241"/>
      <c r="AA253" s="2241"/>
      <c r="AB253" s="2241"/>
      <c r="AC253" s="2241"/>
    </row>
    <row r="254" spans="1:29" s="2206" customFormat="1">
      <c r="A254" s="2241"/>
      <c r="B254" s="2241"/>
      <c r="C254" s="2241"/>
      <c r="D254" s="2241"/>
      <c r="E254" s="2241"/>
      <c r="F254" s="2241"/>
      <c r="G254" s="2241"/>
      <c r="H254" s="2241"/>
      <c r="I254" s="2241"/>
      <c r="J254" s="2241"/>
      <c r="K254" s="2242"/>
      <c r="L254" s="2243"/>
      <c r="M254" s="2241"/>
      <c r="N254" s="2241"/>
      <c r="O254" s="2241"/>
      <c r="P254" s="2241"/>
      <c r="Q254" s="2241"/>
      <c r="R254" s="2241"/>
      <c r="S254" s="2241"/>
      <c r="T254" s="2241"/>
      <c r="U254" s="2241"/>
      <c r="V254" s="2241"/>
      <c r="W254" s="2241"/>
      <c r="X254" s="2241"/>
      <c r="Y254" s="2241"/>
      <c r="Z254" s="2241"/>
      <c r="AA254" s="2241"/>
      <c r="AB254" s="2241"/>
      <c r="AC254" s="2241"/>
    </row>
    <row r="255" spans="1:29" s="2206" customFormat="1">
      <c r="K255" s="2244"/>
      <c r="L255" s="2245"/>
    </row>
    <row r="256" spans="1:29" s="2206" customFormat="1">
      <c r="K256" s="2244"/>
      <c r="L256" s="2245"/>
    </row>
    <row r="257" spans="11:12" s="2206" customFormat="1">
      <c r="K257" s="2244"/>
      <c r="L257" s="2245"/>
    </row>
    <row r="258" spans="11:12" s="2206" customFormat="1">
      <c r="K258" s="2244"/>
      <c r="L258" s="2245"/>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7" zoomScale="60" zoomScaleNormal="50" workbookViewId="0">
      <selection activeCell="O50" sqref="O50"/>
    </sheetView>
  </sheetViews>
  <sheetFormatPr defaultColWidth="9" defaultRowHeight="14.25"/>
  <cols>
    <col min="1" max="1" width="13.375" style="204" customWidth="1"/>
    <col min="2" max="2" width="15.75" style="204" customWidth="1"/>
    <col min="3" max="3" width="18.6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1042</v>
      </c>
      <c r="B1" s="542"/>
      <c r="C1" s="209" t="s">
        <v>1125</v>
      </c>
      <c r="D1" s="2096" t="s">
        <v>1044</v>
      </c>
      <c r="E1" s="2097"/>
      <c r="F1" s="965"/>
      <c r="G1" s="2097"/>
      <c r="H1" s="2097"/>
      <c r="I1" s="2097"/>
      <c r="J1" s="2097"/>
      <c r="K1" s="216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098">
        <f>F62</f>
        <v>3117</v>
      </c>
      <c r="C2" s="2099"/>
      <c r="D2" s="2099"/>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row>
    <row r="3" spans="1:29" s="198" customFormat="1" ht="28.5" customHeight="1">
      <c r="A3" s="2101" t="s">
        <v>963</v>
      </c>
      <c r="B3" s="220">
        <f>ROUND(B2*10000/'数据-汇总表'!E3,0)</f>
        <v>670</v>
      </c>
      <c r="C3" s="725"/>
      <c r="D3" s="725"/>
      <c r="E3" s="725"/>
      <c r="F3" s="725"/>
      <c r="G3" s="2099"/>
      <c r="H3" s="2099"/>
      <c r="I3" s="2099"/>
      <c r="J3" s="2099"/>
      <c r="K3" s="2163"/>
      <c r="L3" s="387"/>
      <c r="M3" s="385"/>
      <c r="N3" s="385"/>
      <c r="O3" s="385"/>
      <c r="P3" s="385"/>
      <c r="Q3" s="385"/>
      <c r="R3" s="385"/>
      <c r="S3" s="385"/>
      <c r="T3" s="385"/>
      <c r="U3" s="385"/>
      <c r="V3" s="385"/>
      <c r="W3" s="385"/>
      <c r="X3" s="385"/>
      <c r="Y3" s="385"/>
      <c r="Z3" s="385"/>
      <c r="AA3" s="385"/>
      <c r="AB3" s="479"/>
      <c r="AC3" s="479"/>
    </row>
    <row r="4" spans="1:29" s="198" customFormat="1" ht="28.5" customHeight="1">
      <c r="A4" s="2102" t="s">
        <v>1045</v>
      </c>
      <c r="B4" s="724">
        <f>IF(B43="单位面积地价",C45,ROUND(B2*10000/'数据-汇总表'!D3,0))</f>
        <v>1170</v>
      </c>
      <c r="C4" s="725"/>
      <c r="D4" s="725"/>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78</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478"/>
      <c r="AC5" s="479"/>
    </row>
    <row r="6" spans="1:29" ht="15">
      <c r="A6" s="223" t="s">
        <v>1046</v>
      </c>
      <c r="B6" s="224"/>
      <c r="C6" s="3825" t="s">
        <v>1047</v>
      </c>
      <c r="D6" s="3826"/>
      <c r="E6" s="3865" t="s">
        <v>1048</v>
      </c>
      <c r="F6" s="3866"/>
      <c r="G6" s="3825" t="s">
        <v>1049</v>
      </c>
      <c r="H6" s="3826"/>
      <c r="I6" s="3825" t="s">
        <v>1050</v>
      </c>
      <c r="J6" s="3826"/>
      <c r="K6" s="388" t="s">
        <v>1051</v>
      </c>
      <c r="L6" s="389"/>
      <c r="M6" s="390"/>
      <c r="N6" s="390"/>
      <c r="O6" s="390"/>
      <c r="P6" s="3849" t="s">
        <v>1052</v>
      </c>
      <c r="Q6" s="3850"/>
      <c r="R6" s="3855" t="s">
        <v>1048</v>
      </c>
      <c r="S6" s="3856"/>
      <c r="T6" s="3855" t="s">
        <v>1049</v>
      </c>
      <c r="U6" s="3856"/>
      <c r="V6" s="3837" t="s">
        <v>1050</v>
      </c>
      <c r="W6" s="3837"/>
      <c r="X6" s="460"/>
      <c r="Y6" s="3855" t="s">
        <v>1052</v>
      </c>
      <c r="Z6" s="3856"/>
      <c r="AA6" s="3846" t="s">
        <v>1048</v>
      </c>
      <c r="AB6" s="3847" t="s">
        <v>1049</v>
      </c>
      <c r="AC6" s="3846" t="s">
        <v>1050</v>
      </c>
    </row>
    <row r="7" spans="1:29" ht="15">
      <c r="A7" s="225"/>
      <c r="B7" s="226"/>
      <c r="C7" s="3827" t="s">
        <v>1053</v>
      </c>
      <c r="D7" s="3828"/>
      <c r="E7" s="3867" t="str">
        <f>土地案例!A4</f>
        <v>顺义新城3401街区(高丽营镇中关村顺义园三代半产业基地)3-2-4(北区)(3号地A)地块M1工业用地国有建设用地使用权出让</v>
      </c>
      <c r="F7" s="3868"/>
      <c r="G7" s="3827" t="str">
        <f>土地案例!A6</f>
        <v>顺义新城第30街区30-27-02地块M1工业用地国有建设用地使用权出让</v>
      </c>
      <c r="H7" s="3828"/>
      <c r="I7" s="3827" t="str">
        <f>土地案例!A7</f>
        <v>顺义新城3401街区(高丽营镇中关村科技园区顺义园三代半产业基地)2号地 2-1(东区)地块M1工业用地国有建设用地使用权出让</v>
      </c>
      <c r="J7" s="3828"/>
      <c r="K7" s="388"/>
      <c r="L7" s="389"/>
      <c r="M7" s="390"/>
      <c r="N7" s="390"/>
      <c r="O7" s="390"/>
      <c r="P7" s="3851"/>
      <c r="Q7" s="3852"/>
      <c r="R7" s="3857"/>
      <c r="S7" s="3858"/>
      <c r="T7" s="3857"/>
      <c r="U7" s="3858"/>
      <c r="V7" s="3837"/>
      <c r="W7" s="3837"/>
      <c r="X7" s="460"/>
      <c r="Y7" s="3857"/>
      <c r="Z7" s="3858"/>
      <c r="AA7" s="3847"/>
      <c r="AB7" s="3847"/>
      <c r="AC7" s="3847"/>
    </row>
    <row r="8" spans="1:29" ht="15">
      <c r="A8" s="227"/>
      <c r="B8" s="228"/>
      <c r="C8" s="3831" t="s">
        <v>1057</v>
      </c>
      <c r="D8" s="3832"/>
      <c r="E8" s="3869" t="s">
        <v>1057</v>
      </c>
      <c r="F8" s="3870"/>
      <c r="G8" s="3831" t="s">
        <v>1057</v>
      </c>
      <c r="H8" s="3832"/>
      <c r="I8" s="3831" t="s">
        <v>1057</v>
      </c>
      <c r="J8" s="3832"/>
      <c r="K8" s="388" t="s">
        <v>1058</v>
      </c>
      <c r="L8" s="389"/>
      <c r="M8" s="390"/>
      <c r="N8" s="390"/>
      <c r="O8" s="390"/>
      <c r="P8" s="3853"/>
      <c r="Q8" s="3854"/>
      <c r="R8" s="3857"/>
      <c r="S8" s="3858"/>
      <c r="T8" s="3859"/>
      <c r="U8" s="3860"/>
      <c r="V8" s="3837"/>
      <c r="W8" s="3837"/>
      <c r="X8" s="460"/>
      <c r="Y8" s="3859"/>
      <c r="Z8" s="3860"/>
      <c r="AA8" s="3848"/>
      <c r="AB8" s="3848"/>
      <c r="AC8" s="3848"/>
    </row>
    <row r="9" spans="1:29" s="199" customFormat="1" ht="15">
      <c r="A9" s="229"/>
      <c r="B9" s="230" t="s">
        <v>1059</v>
      </c>
      <c r="C9" s="231">
        <f>'数据-取费表'!B2</f>
        <v>45257</v>
      </c>
      <c r="D9" s="232">
        <v>100</v>
      </c>
      <c r="E9" s="233">
        <f>土地案例!L4</f>
        <v>44832.0004976852</v>
      </c>
      <c r="F9" s="234">
        <f>SUMIF(66:66,YEAR(E9)&amp;"-"&amp;INT((MONTH(E9)+2)/3),67:67)</f>
        <v>100</v>
      </c>
      <c r="G9" s="235">
        <f>土地案例!L6</f>
        <v>44760.0004976852</v>
      </c>
      <c r="H9" s="232">
        <f>SUMIF(66:66,YEAR(G9)&amp;"-"&amp;INT((MONTH(G9)+2)/3),67:67)</f>
        <v>100</v>
      </c>
      <c r="I9" s="235">
        <f>土地案例!L7</f>
        <v>44761.0004976852</v>
      </c>
      <c r="J9" s="232">
        <f>SUMIF(66:66,YEAR(I9)&amp;"-"&amp;INT((MONTH(I9)+2)/3),67:67)</f>
        <v>100</v>
      </c>
      <c r="K9" s="391"/>
      <c r="L9" s="392"/>
      <c r="M9" s="393"/>
      <c r="N9" s="393"/>
      <c r="O9" s="393"/>
      <c r="P9" s="3833" t="s">
        <v>1060</v>
      </c>
      <c r="Q9" s="3834"/>
      <c r="R9" s="461" t="s">
        <v>1061</v>
      </c>
      <c r="S9" s="462">
        <f t="shared" ref="S9:S17" si="0">F9</f>
        <v>100</v>
      </c>
      <c r="T9" s="461" t="s">
        <v>1061</v>
      </c>
      <c r="U9" s="462">
        <f t="shared" ref="U9:U17" si="1">H9</f>
        <v>100</v>
      </c>
      <c r="V9" s="461" t="s">
        <v>1061</v>
      </c>
      <c r="W9" s="462">
        <f t="shared" ref="W9:W17" si="2">J9</f>
        <v>100</v>
      </c>
      <c r="X9" s="463"/>
      <c r="Y9" s="3833" t="s">
        <v>1060</v>
      </c>
      <c r="Z9" s="3835"/>
      <c r="AA9" s="480">
        <f>D9/F9</f>
        <v>1</v>
      </c>
      <c r="AB9" s="480">
        <f>D9/H9</f>
        <v>1</v>
      </c>
      <c r="AC9" s="480">
        <f>D9/J9</f>
        <v>1</v>
      </c>
    </row>
    <row r="10" spans="1:29" s="199" customFormat="1" ht="15">
      <c r="A10" s="236"/>
      <c r="B10" s="237" t="s">
        <v>1062</v>
      </c>
      <c r="C10" s="238" t="s">
        <v>1063</v>
      </c>
      <c r="D10" s="232">
        <v>100</v>
      </c>
      <c r="E10" s="238" t="s">
        <v>1063</v>
      </c>
      <c r="F10" s="234">
        <f>SUMIF(69:69,E10,70:70)-SUMIF(69:69,C10,70:70)+100</f>
        <v>100</v>
      </c>
      <c r="G10" s="238" t="s">
        <v>1063</v>
      </c>
      <c r="H10" s="232">
        <f>SUMIF(69:69,G10,70:70)-SUMIF(69:69,C10,70:70)+100</f>
        <v>100</v>
      </c>
      <c r="I10" s="238" t="s">
        <v>1063</v>
      </c>
      <c r="J10" s="232">
        <f>SUMIF(69:69,I10,70:70)-SUMIF(69:69,C10,70:70)+100</f>
        <v>100</v>
      </c>
      <c r="K10" s="391"/>
      <c r="L10" s="392"/>
      <c r="M10" s="393"/>
      <c r="N10" s="393"/>
      <c r="O10" s="393"/>
      <c r="P10" s="3833" t="s">
        <v>1064</v>
      </c>
      <c r="Q10" s="3835"/>
      <c r="R10" s="461" t="s">
        <v>1061</v>
      </c>
      <c r="S10" s="462">
        <f t="shared" si="0"/>
        <v>100</v>
      </c>
      <c r="T10" s="461" t="s">
        <v>1061</v>
      </c>
      <c r="U10" s="462">
        <f t="shared" si="1"/>
        <v>100</v>
      </c>
      <c r="V10" s="461" t="s">
        <v>1061</v>
      </c>
      <c r="W10" s="462">
        <f t="shared" si="2"/>
        <v>100</v>
      </c>
      <c r="X10" s="463"/>
      <c r="Y10" s="3833" t="s">
        <v>1064</v>
      </c>
      <c r="Z10" s="3835"/>
      <c r="AA10" s="480">
        <f t="shared" ref="AA10:AA42" si="3">D10/F10</f>
        <v>1</v>
      </c>
      <c r="AB10" s="480">
        <f t="shared" ref="AB10:AB42" si="4">D10/H10</f>
        <v>1</v>
      </c>
      <c r="AC10" s="480">
        <f t="shared" ref="AC10:AC42" si="5">D10/J10</f>
        <v>1</v>
      </c>
    </row>
    <row r="11" spans="1:29" s="199" customFormat="1" ht="15">
      <c r="A11" s="239"/>
      <c r="B11" s="240" t="s">
        <v>1065</v>
      </c>
      <c r="C11" s="2103" t="s">
        <v>164</v>
      </c>
      <c r="D11" s="242">
        <v>100</v>
      </c>
      <c r="E11" s="2103" t="s">
        <v>164</v>
      </c>
      <c r="F11" s="242">
        <f>SUMIF(71:71,E11,72:72)-SUMIF(71:71,C11,72:72)+100</f>
        <v>100</v>
      </c>
      <c r="G11" s="2103" t="s">
        <v>164</v>
      </c>
      <c r="H11" s="242">
        <f>SUMIF(71:71,G11,72:72)-SUMIF(71:71,C11,72:72)+100</f>
        <v>100</v>
      </c>
      <c r="I11" s="2103" t="s">
        <v>164</v>
      </c>
      <c r="J11" s="242">
        <f>SUMIF(71:71,I11,72:72)-SUMIF(71:71,C11,72:72)+100</f>
        <v>100</v>
      </c>
      <c r="K11" s="391"/>
      <c r="L11" s="392"/>
      <c r="M11" s="393"/>
      <c r="N11" s="393"/>
      <c r="O11" s="394"/>
      <c r="P11" s="3836" t="s">
        <v>1066</v>
      </c>
      <c r="Q11" s="464" t="str">
        <f t="shared" ref="Q11:Q17" si="6">B11</f>
        <v>用途</v>
      </c>
      <c r="R11" s="461" t="s">
        <v>1061</v>
      </c>
      <c r="S11" s="462">
        <f t="shared" si="0"/>
        <v>100</v>
      </c>
      <c r="T11" s="461" t="s">
        <v>1061</v>
      </c>
      <c r="U11" s="462">
        <f t="shared" si="1"/>
        <v>100</v>
      </c>
      <c r="V11" s="461" t="s">
        <v>1061</v>
      </c>
      <c r="W11" s="462">
        <f t="shared" si="2"/>
        <v>100</v>
      </c>
      <c r="X11" s="463"/>
      <c r="Y11" s="3804" t="s">
        <v>1067</v>
      </c>
      <c r="Z11" s="481" t="str">
        <f t="shared" ref="Z11:Z17" si="7">Q11</f>
        <v>用途</v>
      </c>
      <c r="AA11" s="480">
        <f t="shared" si="3"/>
        <v>1</v>
      </c>
      <c r="AB11" s="480">
        <f t="shared" si="4"/>
        <v>1</v>
      </c>
      <c r="AC11" s="480">
        <f t="shared" si="5"/>
        <v>1</v>
      </c>
    </row>
    <row r="12" spans="1:29" s="200" customFormat="1" ht="27">
      <c r="A12" s="244"/>
      <c r="B12" s="237" t="s">
        <v>1068</v>
      </c>
      <c r="C12" s="250">
        <f>'数据-取费表'!F6</f>
        <v>18.66</v>
      </c>
      <c r="D12" s="246">
        <v>100</v>
      </c>
      <c r="E12" s="250">
        <v>20</v>
      </c>
      <c r="F12" s="246">
        <f>ROUND(100/'数据-取费表'!G16,0)</f>
        <v>104</v>
      </c>
      <c r="G12" s="250">
        <v>20</v>
      </c>
      <c r="H12" s="246">
        <f>ROUND(100/'数据-取费表'!G16,0)</f>
        <v>104</v>
      </c>
      <c r="I12" s="250">
        <v>20</v>
      </c>
      <c r="J12" s="246">
        <f>ROUND(100/'数据-取费表'!G16,0)</f>
        <v>104</v>
      </c>
      <c r="K12" s="2164"/>
      <c r="L12" s="396"/>
      <c r="M12" s="397"/>
      <c r="N12" s="397"/>
      <c r="O12" s="398"/>
      <c r="P12" s="3836"/>
      <c r="Q12" s="464" t="str">
        <f t="shared" si="6"/>
        <v>土地使用年限（年）</v>
      </c>
      <c r="R12" s="461" t="s">
        <v>1061</v>
      </c>
      <c r="S12" s="462">
        <f t="shared" si="0"/>
        <v>104</v>
      </c>
      <c r="T12" s="461" t="s">
        <v>1061</v>
      </c>
      <c r="U12" s="462">
        <f t="shared" si="1"/>
        <v>104</v>
      </c>
      <c r="V12" s="461" t="s">
        <v>1061</v>
      </c>
      <c r="W12" s="462">
        <f t="shared" si="2"/>
        <v>104</v>
      </c>
      <c r="X12" s="463"/>
      <c r="Y12" s="3804"/>
      <c r="Z12" s="481" t="str">
        <f t="shared" si="7"/>
        <v>土地使用年限（年）</v>
      </c>
      <c r="AA12" s="480">
        <f t="shared" si="3"/>
        <v>0.96153846153846201</v>
      </c>
      <c r="AB12" s="480">
        <f t="shared" si="4"/>
        <v>0.96153846153846201</v>
      </c>
      <c r="AC12" s="480">
        <f t="shared" si="5"/>
        <v>0.96153846153846201</v>
      </c>
    </row>
    <row r="13" spans="1:29" ht="15">
      <c r="A13" s="543"/>
      <c r="B13" s="237" t="s">
        <v>1069</v>
      </c>
      <c r="C13" s="544">
        <f>'数据-汇总表'!I4</f>
        <v>1.5</v>
      </c>
      <c r="D13" s="246">
        <v>100</v>
      </c>
      <c r="E13" s="544">
        <v>1.5</v>
      </c>
      <c r="F13" s="246">
        <f>LOOKUP(E13,76:76,77:77)-LOOKUP(C13,76:76,77:77)+100</f>
        <v>100</v>
      </c>
      <c r="G13" s="545">
        <v>1.3</v>
      </c>
      <c r="H13" s="246">
        <f>LOOKUP(G13,76:76,77:77)-LOOKUP(C13,76:76,77:77)+100</f>
        <v>100</v>
      </c>
      <c r="I13" s="544">
        <v>1.5</v>
      </c>
      <c r="J13" s="246">
        <f>LOOKUP(I13,76:76,77:77)-LOOKUP(C13,76:76,77:77)+100</f>
        <v>100</v>
      </c>
      <c r="K13" s="2165">
        <v>2</v>
      </c>
      <c r="L13" s="400"/>
      <c r="M13" s="390"/>
      <c r="N13" s="390"/>
      <c r="O13" s="401"/>
      <c r="P13" s="3836"/>
      <c r="Q13" s="464" t="str">
        <f t="shared" si="6"/>
        <v>容积率</v>
      </c>
      <c r="R13" s="461" t="s">
        <v>1061</v>
      </c>
      <c r="S13" s="462">
        <f t="shared" si="0"/>
        <v>100</v>
      </c>
      <c r="T13" s="461" t="s">
        <v>1061</v>
      </c>
      <c r="U13" s="462">
        <f t="shared" si="1"/>
        <v>100</v>
      </c>
      <c r="V13" s="461" t="s">
        <v>1061</v>
      </c>
      <c r="W13" s="462">
        <f t="shared" si="2"/>
        <v>100</v>
      </c>
      <c r="X13" s="463"/>
      <c r="Y13" s="3804"/>
      <c r="Z13" s="481" t="str">
        <f t="shared" si="7"/>
        <v>容积率</v>
      </c>
      <c r="AA13" s="480">
        <f t="shared" si="3"/>
        <v>1</v>
      </c>
      <c r="AB13" s="480">
        <f t="shared" si="4"/>
        <v>1</v>
      </c>
      <c r="AC13" s="480">
        <f t="shared" si="5"/>
        <v>1</v>
      </c>
    </row>
    <row r="14" spans="1:29" s="199" customFormat="1" ht="15">
      <c r="A14" s="248"/>
      <c r="B14" s="249">
        <v>111</v>
      </c>
      <c r="C14" s="250"/>
      <c r="D14" s="252">
        <v>100</v>
      </c>
      <c r="E14" s="371"/>
      <c r="F14" s="246">
        <f>SUMIF(78:78,E14,79:79)-SUMIF(78:78,C14,79:79)+100</f>
        <v>100</v>
      </c>
      <c r="G14" s="2104"/>
      <c r="H14" s="246">
        <f>SUMIF(78:78,G14,79:79)-SUMIF(78:78,C14,79:79)+100</f>
        <v>100</v>
      </c>
      <c r="I14" s="371"/>
      <c r="J14" s="246">
        <f>SUMIF(78:78,I14,79:79)-SUMIF(78:78,C14,79:79)+100</f>
        <v>100</v>
      </c>
      <c r="K14" s="2164"/>
      <c r="L14" s="392"/>
      <c r="M14" s="393"/>
      <c r="N14" s="393"/>
      <c r="O14" s="394"/>
      <c r="P14" s="3836"/>
      <c r="Q14" s="464">
        <f t="shared" si="6"/>
        <v>111</v>
      </c>
      <c r="R14" s="461" t="s">
        <v>1061</v>
      </c>
      <c r="S14" s="462">
        <f t="shared" si="0"/>
        <v>100</v>
      </c>
      <c r="T14" s="461" t="s">
        <v>1061</v>
      </c>
      <c r="U14" s="462">
        <f t="shared" si="1"/>
        <v>100</v>
      </c>
      <c r="V14" s="461" t="s">
        <v>1061</v>
      </c>
      <c r="W14" s="462">
        <f t="shared" si="2"/>
        <v>100</v>
      </c>
      <c r="X14" s="463"/>
      <c r="Y14" s="380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4"/>
      <c r="H15" s="256">
        <f>SUMIF(80:80,G15,81:81)-SUMIF(80:80,C15,81:81)+100</f>
        <v>100</v>
      </c>
      <c r="I15" s="371"/>
      <c r="J15" s="256">
        <f>SUMIF(80:80,I15,81:81)-SUMIF(80:80,C15,81:81)+100</f>
        <v>100</v>
      </c>
      <c r="K15" s="2164"/>
      <c r="L15" s="402"/>
      <c r="M15" s="390"/>
      <c r="N15" s="390"/>
      <c r="O15" s="401"/>
      <c r="P15" s="3836"/>
      <c r="Q15" s="464">
        <f t="shared" si="6"/>
        <v>111</v>
      </c>
      <c r="R15" s="461" t="s">
        <v>1061</v>
      </c>
      <c r="S15" s="462">
        <f t="shared" si="0"/>
        <v>100</v>
      </c>
      <c r="T15" s="461" t="s">
        <v>1061</v>
      </c>
      <c r="U15" s="462">
        <f t="shared" si="1"/>
        <v>100</v>
      </c>
      <c r="V15" s="461" t="s">
        <v>1061</v>
      </c>
      <c r="W15" s="462">
        <f t="shared" si="2"/>
        <v>100</v>
      </c>
      <c r="X15" s="463"/>
      <c r="Y15" s="380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4"/>
      <c r="H16" s="309">
        <f>SUMIF(82:82,G16,83:83)-SUMIF(82:82,C16,83:83)+100</f>
        <v>100</v>
      </c>
      <c r="I16" s="371"/>
      <c r="J16" s="309">
        <f>SUMIF(82:82,I16,83:83)-SUMIF(82:82,C16,83:83)+100</f>
        <v>100</v>
      </c>
      <c r="K16" s="2164"/>
      <c r="L16" s="402"/>
      <c r="M16" s="390"/>
      <c r="N16" s="390"/>
      <c r="O16" s="401"/>
      <c r="P16" s="3836"/>
      <c r="Q16" s="464">
        <f t="shared" si="6"/>
        <v>111</v>
      </c>
      <c r="R16" s="461" t="s">
        <v>1061</v>
      </c>
      <c r="S16" s="462">
        <f t="shared" si="0"/>
        <v>100</v>
      </c>
      <c r="T16" s="461" t="s">
        <v>1061</v>
      </c>
      <c r="U16" s="462">
        <f t="shared" si="1"/>
        <v>100</v>
      </c>
      <c r="V16" s="461" t="s">
        <v>1061</v>
      </c>
      <c r="W16" s="462">
        <f t="shared" si="2"/>
        <v>100</v>
      </c>
      <c r="X16" s="463"/>
      <c r="Y16" s="3804"/>
      <c r="Z16" s="481">
        <f t="shared" si="7"/>
        <v>111</v>
      </c>
      <c r="AA16" s="480">
        <f t="shared" si="3"/>
        <v>1</v>
      </c>
      <c r="AB16" s="480">
        <f t="shared" si="4"/>
        <v>1</v>
      </c>
      <c r="AC16" s="480">
        <f t="shared" si="5"/>
        <v>1</v>
      </c>
    </row>
    <row r="17" spans="1:29" ht="42.75">
      <c r="A17" s="257" t="s">
        <v>1071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5">
        <v>3</v>
      </c>
      <c r="L17" s="402"/>
      <c r="M17" s="390"/>
      <c r="N17" s="390"/>
      <c r="O17" s="401"/>
      <c r="P17" s="3842" t="s">
        <v>1072</v>
      </c>
      <c r="Q17" s="395" t="str">
        <f t="shared" si="6"/>
        <v>产业集聚程度</v>
      </c>
      <c r="R17" s="465" t="s">
        <v>1061</v>
      </c>
      <c r="S17" s="466">
        <f t="shared" si="0"/>
        <v>100</v>
      </c>
      <c r="T17" s="465" t="s">
        <v>1061</v>
      </c>
      <c r="U17" s="466">
        <f t="shared" si="1"/>
        <v>100</v>
      </c>
      <c r="V17" s="465" t="s">
        <v>1061</v>
      </c>
      <c r="W17" s="466">
        <f t="shared" si="2"/>
        <v>100</v>
      </c>
      <c r="X17" s="460"/>
      <c r="Y17" s="3842" t="s">
        <v>1072</v>
      </c>
      <c r="Z17" s="459" t="str">
        <f t="shared" si="7"/>
        <v>产业集聚程度</v>
      </c>
      <c r="AA17" s="471">
        <f t="shared" si="3"/>
        <v>1</v>
      </c>
      <c r="AB17" s="471">
        <f t="shared" si="4"/>
        <v>1</v>
      </c>
      <c r="AC17" s="471">
        <f t="shared" si="5"/>
        <v>1</v>
      </c>
    </row>
    <row r="18" spans="1:29" ht="15">
      <c r="A18" s="264"/>
      <c r="B18" s="265"/>
      <c r="C18" s="266" t="s">
        <v>1126</v>
      </c>
      <c r="D18" s="267"/>
      <c r="E18" s="266" t="s">
        <v>1126</v>
      </c>
      <c r="F18" s="267"/>
      <c r="G18" s="266" t="s">
        <v>1126</v>
      </c>
      <c r="H18" s="269"/>
      <c r="I18" s="266" t="s">
        <v>1126</v>
      </c>
      <c r="J18" s="267"/>
      <c r="K18" s="2164"/>
      <c r="L18" s="402"/>
      <c r="M18" s="390"/>
      <c r="N18" s="390"/>
      <c r="O18" s="401"/>
      <c r="P18" s="3843"/>
      <c r="Q18" s="395"/>
      <c r="R18" s="465"/>
      <c r="S18" s="466"/>
      <c r="T18" s="465"/>
      <c r="U18" s="466"/>
      <c r="V18" s="465"/>
      <c r="W18" s="466"/>
      <c r="X18" s="460"/>
      <c r="Y18" s="3843"/>
      <c r="Z18" s="459"/>
      <c r="AA18" s="471">
        <v>1</v>
      </c>
      <c r="AB18" s="471">
        <v>1</v>
      </c>
      <c r="AC18" s="471">
        <v>1</v>
      </c>
    </row>
    <row r="19" spans="1:29" ht="71.2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5">
        <v>2</v>
      </c>
      <c r="L19" s="402"/>
      <c r="M19" s="390"/>
      <c r="N19" s="390"/>
      <c r="O19" s="401"/>
      <c r="P19" s="3843"/>
      <c r="Q19" s="395" t="str">
        <f>B19</f>
        <v>交通便捷度</v>
      </c>
      <c r="R19" s="465" t="s">
        <v>1061</v>
      </c>
      <c r="S19" s="466">
        <f>F19</f>
        <v>100</v>
      </c>
      <c r="T19" s="465" t="s">
        <v>1061</v>
      </c>
      <c r="U19" s="466">
        <f>H19</f>
        <v>100</v>
      </c>
      <c r="V19" s="465" t="s">
        <v>1061</v>
      </c>
      <c r="W19" s="466">
        <f>J19</f>
        <v>100</v>
      </c>
      <c r="X19" s="460"/>
      <c r="Y19" s="3843"/>
      <c r="Z19" s="459" t="str">
        <f>Q19</f>
        <v>交通便捷度</v>
      </c>
      <c r="AA19" s="471">
        <f t="shared" si="3"/>
        <v>1</v>
      </c>
      <c r="AB19" s="471">
        <f t="shared" si="4"/>
        <v>1</v>
      </c>
      <c r="AC19" s="471">
        <f t="shared" si="5"/>
        <v>1</v>
      </c>
    </row>
    <row r="20" spans="1:29" ht="15">
      <c r="A20" s="264"/>
      <c r="B20" s="551"/>
      <c r="C20" s="266" t="s">
        <v>1127</v>
      </c>
      <c r="D20" s="267"/>
      <c r="E20" s="266" t="s">
        <v>1127</v>
      </c>
      <c r="F20" s="267"/>
      <c r="G20" s="266" t="s">
        <v>1127</v>
      </c>
      <c r="H20" s="267"/>
      <c r="I20" s="266" t="s">
        <v>1127</v>
      </c>
      <c r="J20" s="267"/>
      <c r="K20" s="2164"/>
      <c r="L20" s="402"/>
      <c r="M20" s="390"/>
      <c r="N20" s="390"/>
      <c r="O20" s="401"/>
      <c r="P20" s="3843"/>
      <c r="Q20" s="395"/>
      <c r="R20" s="465"/>
      <c r="S20" s="466"/>
      <c r="T20" s="465"/>
      <c r="U20" s="466"/>
      <c r="V20" s="465"/>
      <c r="W20" s="466"/>
      <c r="X20" s="460"/>
      <c r="Y20" s="3843"/>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6">
        <v>2</v>
      </c>
      <c r="L21" s="402"/>
      <c r="M21" s="390"/>
      <c r="N21" s="390"/>
      <c r="O21" s="401"/>
      <c r="P21" s="3843"/>
      <c r="Q21" s="395" t="str">
        <f t="shared" ref="Q21:Q36" si="8">B21</f>
        <v>区域土地利用方向</v>
      </c>
      <c r="R21" s="465" t="s">
        <v>1061</v>
      </c>
      <c r="S21" s="466">
        <f>F21</f>
        <v>100</v>
      </c>
      <c r="T21" s="465" t="s">
        <v>1061</v>
      </c>
      <c r="U21" s="466">
        <f>H21</f>
        <v>100</v>
      </c>
      <c r="V21" s="465" t="s">
        <v>1061</v>
      </c>
      <c r="W21" s="466">
        <f>J21</f>
        <v>100</v>
      </c>
      <c r="X21" s="460"/>
      <c r="Y21" s="3843"/>
      <c r="Z21" s="459" t="str">
        <f>Q21</f>
        <v>区域土地利用方向</v>
      </c>
      <c r="AA21" s="471">
        <f t="shared" si="3"/>
        <v>1</v>
      </c>
      <c r="AB21" s="471">
        <f t="shared" si="4"/>
        <v>1</v>
      </c>
      <c r="AC21" s="471">
        <f t="shared" si="5"/>
        <v>1</v>
      </c>
    </row>
    <row r="22" spans="1:29" ht="15">
      <c r="A22" s="225"/>
      <c r="B22" s="284"/>
      <c r="C22" s="266" t="s">
        <v>1128</v>
      </c>
      <c r="D22" s="267"/>
      <c r="E22" s="266" t="s">
        <v>1128</v>
      </c>
      <c r="F22" s="268"/>
      <c r="G22" s="266" t="s">
        <v>1128</v>
      </c>
      <c r="H22" s="268"/>
      <c r="I22" s="266" t="s">
        <v>1128</v>
      </c>
      <c r="J22" s="268"/>
      <c r="K22" s="2167"/>
      <c r="L22" s="402"/>
      <c r="M22" s="390"/>
      <c r="N22" s="390"/>
      <c r="O22" s="401"/>
      <c r="P22" s="3843"/>
      <c r="Q22" s="395"/>
      <c r="R22" s="465"/>
      <c r="S22" s="466"/>
      <c r="T22" s="465"/>
      <c r="U22" s="466"/>
      <c r="V22" s="465"/>
      <c r="W22" s="466"/>
      <c r="X22" s="460"/>
      <c r="Y22" s="3843"/>
      <c r="Z22" s="459"/>
      <c r="AA22" s="471"/>
      <c r="AB22" s="471"/>
      <c r="AC22" s="471"/>
    </row>
    <row r="23" spans="1:29" ht="57">
      <c r="A23" s="225"/>
      <c r="B23" s="551" t="s">
        <v>1129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5">
        <v>1</v>
      </c>
      <c r="L23" s="402"/>
      <c r="M23" s="390"/>
      <c r="N23" s="390"/>
      <c r="O23" s="401"/>
      <c r="P23" s="3843"/>
      <c r="Q23" s="395" t="str">
        <f t="shared" si="8"/>
        <v>环境状况</v>
      </c>
      <c r="R23" s="465" t="s">
        <v>1061</v>
      </c>
      <c r="S23" s="466">
        <f>F23</f>
        <v>100</v>
      </c>
      <c r="T23" s="465" t="s">
        <v>1061</v>
      </c>
      <c r="U23" s="466">
        <f>H23</f>
        <v>100</v>
      </c>
      <c r="V23" s="465" t="s">
        <v>1061</v>
      </c>
      <c r="W23" s="466">
        <f>J23</f>
        <v>100</v>
      </c>
      <c r="X23" s="460"/>
      <c r="Y23" s="3843"/>
      <c r="Z23" s="459" t="str">
        <f>Q23</f>
        <v>环境状况</v>
      </c>
      <c r="AA23" s="471">
        <f t="shared" si="3"/>
        <v>1</v>
      </c>
      <c r="AB23" s="471">
        <f t="shared" si="4"/>
        <v>1</v>
      </c>
      <c r="AC23" s="471">
        <f t="shared" si="5"/>
        <v>1</v>
      </c>
    </row>
    <row r="24" spans="1:29" ht="15">
      <c r="A24" s="225"/>
      <c r="B24" s="284"/>
      <c r="C24" s="266" t="s">
        <v>1126</v>
      </c>
      <c r="D24" s="267"/>
      <c r="E24" s="266" t="s">
        <v>1126</v>
      </c>
      <c r="F24" s="267"/>
      <c r="G24" s="266" t="s">
        <v>1126</v>
      </c>
      <c r="H24" s="267"/>
      <c r="I24" s="266" t="s">
        <v>1126</v>
      </c>
      <c r="J24" s="267"/>
      <c r="K24" s="2164"/>
      <c r="L24" s="402"/>
      <c r="M24" s="390"/>
      <c r="N24" s="390"/>
      <c r="O24" s="401"/>
      <c r="P24" s="3843"/>
      <c r="Q24" s="395"/>
      <c r="R24" s="465"/>
      <c r="S24" s="466"/>
      <c r="T24" s="465"/>
      <c r="U24" s="466"/>
      <c r="V24" s="465"/>
      <c r="W24" s="466"/>
      <c r="X24" s="460"/>
      <c r="Y24" s="3843"/>
      <c r="Z24" s="459"/>
      <c r="AA24" s="471">
        <v>1</v>
      </c>
      <c r="AB24" s="471">
        <v>1</v>
      </c>
      <c r="AC24" s="471">
        <v>1</v>
      </c>
    </row>
    <row r="25" spans="1:29" s="199" customFormat="1" ht="28.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5">
        <v>1</v>
      </c>
      <c r="L25" s="392"/>
      <c r="M25" s="393"/>
      <c r="N25" s="393"/>
      <c r="O25" s="394"/>
      <c r="P25" s="3843"/>
      <c r="Q25" s="464" t="str">
        <f t="shared" si="8"/>
        <v>公共配套设施</v>
      </c>
      <c r="R25" s="461" t="s">
        <v>1061</v>
      </c>
      <c r="S25" s="462">
        <f>F25</f>
        <v>100</v>
      </c>
      <c r="T25" s="461" t="s">
        <v>1061</v>
      </c>
      <c r="U25" s="462">
        <f>H25</f>
        <v>100</v>
      </c>
      <c r="V25" s="461" t="s">
        <v>1061</v>
      </c>
      <c r="W25" s="462">
        <f>J25</f>
        <v>100</v>
      </c>
      <c r="X25" s="463"/>
      <c r="Y25" s="3843"/>
      <c r="Z25" s="481" t="str">
        <f>Q25</f>
        <v>公共配套设施</v>
      </c>
      <c r="AA25" s="471">
        <f>D25/F25</f>
        <v>1</v>
      </c>
      <c r="AB25" s="471">
        <f>D25/H25</f>
        <v>1</v>
      </c>
      <c r="AC25" s="471">
        <f>D25/J25</f>
        <v>1</v>
      </c>
    </row>
    <row r="26" spans="1:29" s="199" customFormat="1" ht="15">
      <c r="A26" s="515"/>
      <c r="B26" s="284"/>
      <c r="C26" s="2105" t="s">
        <v>1127</v>
      </c>
      <c r="D26" s="267"/>
      <c r="E26" s="2105" t="s">
        <v>1127</v>
      </c>
      <c r="F26" s="267"/>
      <c r="G26" s="2105" t="s">
        <v>1127</v>
      </c>
      <c r="H26" s="267"/>
      <c r="I26" s="2105" t="s">
        <v>1127</v>
      </c>
      <c r="J26" s="267"/>
      <c r="K26" s="2164"/>
      <c r="L26" s="392"/>
      <c r="M26" s="393"/>
      <c r="N26" s="393"/>
      <c r="O26" s="394"/>
      <c r="P26" s="3843"/>
      <c r="Q26" s="464"/>
      <c r="R26" s="461"/>
      <c r="S26" s="462"/>
      <c r="T26" s="461"/>
      <c r="U26" s="462"/>
      <c r="V26" s="461"/>
      <c r="W26" s="462"/>
      <c r="X26" s="463"/>
      <c r="Y26" s="3843"/>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5">
        <v>1</v>
      </c>
      <c r="L27" s="392"/>
      <c r="M27" s="393"/>
      <c r="N27" s="393"/>
      <c r="O27" s="394"/>
      <c r="P27" s="3843"/>
      <c r="Q27" s="464" t="str">
        <f>B27</f>
        <v>基础设施水平</v>
      </c>
      <c r="R27" s="461" t="s">
        <v>1061</v>
      </c>
      <c r="S27" s="462">
        <f>F27</f>
        <v>100</v>
      </c>
      <c r="T27" s="461" t="s">
        <v>1061</v>
      </c>
      <c r="U27" s="462">
        <f>H27</f>
        <v>100</v>
      </c>
      <c r="V27" s="461" t="s">
        <v>1061</v>
      </c>
      <c r="W27" s="462">
        <f>J27</f>
        <v>100</v>
      </c>
      <c r="X27" s="463"/>
      <c r="Y27" s="3843"/>
      <c r="Z27" s="481" t="str">
        <f>Q27</f>
        <v>基础设施水平</v>
      </c>
      <c r="AA27" s="471">
        <f>D27/F27</f>
        <v>1</v>
      </c>
      <c r="AB27" s="471">
        <f>D27/H27</f>
        <v>1</v>
      </c>
      <c r="AC27" s="471">
        <f>D27/J27</f>
        <v>1</v>
      </c>
    </row>
    <row r="28" spans="1:29" s="199" customFormat="1" ht="15">
      <c r="A28" s="515"/>
      <c r="B28" s="284"/>
      <c r="C28" s="2105" t="s">
        <v>245</v>
      </c>
      <c r="D28" s="267"/>
      <c r="E28" s="2105" t="s">
        <v>245</v>
      </c>
      <c r="F28" s="267"/>
      <c r="G28" s="2105" t="s">
        <v>245</v>
      </c>
      <c r="H28" s="267"/>
      <c r="I28" s="2105" t="s">
        <v>245</v>
      </c>
      <c r="J28" s="267"/>
      <c r="K28" s="2164"/>
      <c r="L28" s="392"/>
      <c r="M28" s="393"/>
      <c r="N28" s="393"/>
      <c r="O28" s="394"/>
      <c r="P28" s="3843"/>
      <c r="Q28" s="464"/>
      <c r="R28" s="461"/>
      <c r="S28" s="462"/>
      <c r="T28" s="461"/>
      <c r="U28" s="462"/>
      <c r="V28" s="461"/>
      <c r="W28" s="462"/>
      <c r="X28" s="463"/>
      <c r="Y28" s="3843"/>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5"/>
      <c r="L29" s="402"/>
      <c r="M29" s="390"/>
      <c r="N29" s="390"/>
      <c r="O29" s="401"/>
      <c r="P29" s="3843"/>
      <c r="Q29" s="395" t="str">
        <f t="shared" si="8"/>
        <v>临街状况</v>
      </c>
      <c r="R29" s="465" t="s">
        <v>1061</v>
      </c>
      <c r="S29" s="466">
        <f t="shared" ref="S29:S42" si="9">F29</f>
        <v>100</v>
      </c>
      <c r="T29" s="465" t="s">
        <v>1061</v>
      </c>
      <c r="U29" s="466">
        <f t="shared" ref="U29:U42" si="10">H29</f>
        <v>100</v>
      </c>
      <c r="V29" s="465" t="s">
        <v>1061</v>
      </c>
      <c r="W29" s="466">
        <f t="shared" ref="W29:W42" si="11">J29</f>
        <v>100</v>
      </c>
      <c r="X29" s="460"/>
      <c r="Y29" s="3843"/>
      <c r="Z29" s="459" t="str">
        <f t="shared" ref="Z29:Z42" si="12">Q29</f>
        <v>临街状况</v>
      </c>
      <c r="AA29" s="471">
        <f t="shared" si="3"/>
        <v>1</v>
      </c>
      <c r="AB29" s="471">
        <f t="shared" si="4"/>
        <v>1</v>
      </c>
      <c r="AC29" s="471">
        <f t="shared" si="5"/>
        <v>1</v>
      </c>
    </row>
    <row r="30" spans="1:29" ht="27">
      <c r="A30" s="264"/>
      <c r="B30" s="551" t="s">
        <v>1074</v>
      </c>
      <c r="C30" s="2106">
        <f>估价对象房地状况!G22</f>
        <v>0</v>
      </c>
      <c r="D30" s="269">
        <v>100</v>
      </c>
      <c r="E30" s="279"/>
      <c r="F30" s="269">
        <f>SUMIF(98:98,E31,99:99)-SUMIF(98:98,C31,99:99)+100</f>
        <v>100</v>
      </c>
      <c r="G30" s="279"/>
      <c r="H30" s="269">
        <f>SUMIF(98:98,G31,99:99)-SUMIF(98:98,C31,99:99)+100</f>
        <v>100</v>
      </c>
      <c r="I30" s="281"/>
      <c r="J30" s="269">
        <f>SUMIF(98:98,I31,99:99)-SUMIF(98:98,C31,99:99)+100</f>
        <v>100</v>
      </c>
      <c r="K30" s="2165"/>
      <c r="L30" s="402"/>
      <c r="M30" s="390"/>
      <c r="N30" s="390"/>
      <c r="O30" s="401"/>
      <c r="P30" s="3843"/>
      <c r="Q30" s="395" t="str">
        <f t="shared" si="8"/>
        <v>毗邻道路的类型与等级</v>
      </c>
      <c r="R30" s="465" t="s">
        <v>1061</v>
      </c>
      <c r="S30" s="466">
        <f t="shared" si="9"/>
        <v>100</v>
      </c>
      <c r="T30" s="465" t="s">
        <v>1061</v>
      </c>
      <c r="U30" s="466">
        <f t="shared" si="10"/>
        <v>100</v>
      </c>
      <c r="V30" s="465" t="s">
        <v>1061</v>
      </c>
      <c r="W30" s="466">
        <f t="shared" si="11"/>
        <v>100</v>
      </c>
      <c r="X30" s="460"/>
      <c r="Y30" s="3843"/>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3"/>
      <c r="Q31" s="395"/>
      <c r="R31" s="465"/>
      <c r="S31" s="466"/>
      <c r="T31" s="465"/>
      <c r="U31" s="466"/>
      <c r="V31" s="465"/>
      <c r="W31" s="466"/>
      <c r="X31" s="460"/>
      <c r="Y31" s="3843"/>
      <c r="Z31" s="459"/>
      <c r="AA31" s="471">
        <v>1</v>
      </c>
      <c r="AB31" s="471">
        <v>1</v>
      </c>
      <c r="AC31" s="471">
        <v>1</v>
      </c>
    </row>
    <row r="32" spans="1:29" ht="15">
      <c r="A32" s="264"/>
      <c r="B32" s="298" t="s">
        <v>1075</v>
      </c>
      <c r="C32" s="210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3"/>
      <c r="Q32" s="395" t="str">
        <f t="shared" si="8"/>
        <v>土地级别</v>
      </c>
      <c r="R32" s="465" t="s">
        <v>1061</v>
      </c>
      <c r="S32" s="466">
        <f t="shared" si="9"/>
        <v>100</v>
      </c>
      <c r="T32" s="465" t="s">
        <v>1061</v>
      </c>
      <c r="U32" s="466">
        <f t="shared" si="10"/>
        <v>100</v>
      </c>
      <c r="V32" s="465" t="s">
        <v>1061</v>
      </c>
      <c r="W32" s="466">
        <f t="shared" si="11"/>
        <v>100</v>
      </c>
      <c r="X32" s="460"/>
      <c r="Y32" s="3843"/>
      <c r="Z32" s="459" t="str">
        <f t="shared" si="12"/>
        <v>土地级别</v>
      </c>
      <c r="AA32" s="471">
        <f t="shared" si="3"/>
        <v>1</v>
      </c>
      <c r="AB32" s="471">
        <f t="shared" si="4"/>
        <v>1</v>
      </c>
      <c r="AC32" s="471">
        <f t="shared" si="5"/>
        <v>1</v>
      </c>
    </row>
    <row r="33" spans="1:29" ht="15">
      <c r="A33" s="225"/>
      <c r="B33" s="552">
        <v>111</v>
      </c>
      <c r="C33" s="2104"/>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3"/>
      <c r="Q33" s="395">
        <f t="shared" si="8"/>
        <v>111</v>
      </c>
      <c r="R33" s="465" t="s">
        <v>1061</v>
      </c>
      <c r="S33" s="466">
        <f t="shared" si="9"/>
        <v>100</v>
      </c>
      <c r="T33" s="465" t="s">
        <v>1061</v>
      </c>
      <c r="U33" s="466">
        <f t="shared" si="10"/>
        <v>100</v>
      </c>
      <c r="V33" s="465" t="s">
        <v>1061</v>
      </c>
      <c r="W33" s="466">
        <f t="shared" si="11"/>
        <v>100</v>
      </c>
      <c r="X33" s="460"/>
      <c r="Y33" s="3843"/>
      <c r="Z33" s="459">
        <f t="shared" si="12"/>
        <v>111</v>
      </c>
      <c r="AA33" s="471">
        <f t="shared" si="3"/>
        <v>1</v>
      </c>
      <c r="AB33" s="471">
        <f t="shared" si="4"/>
        <v>1</v>
      </c>
      <c r="AC33" s="471">
        <f t="shared" si="5"/>
        <v>1</v>
      </c>
    </row>
    <row r="34" spans="1:29" ht="15">
      <c r="A34" s="2108"/>
      <c r="B34" s="2109">
        <v>111</v>
      </c>
      <c r="C34" s="2104"/>
      <c r="D34" s="256">
        <v>100</v>
      </c>
      <c r="E34" s="647"/>
      <c r="F34" s="256">
        <f>SUMIF(104:104,E35,105:105)-SUMIF(104:104,C35,105:105)+100</f>
        <v>100</v>
      </c>
      <c r="G34" s="647"/>
      <c r="H34" s="256">
        <f>SUMIF(104:104,G34,105:105)-SUMIF(104:104,C34,105:105)+100</f>
        <v>100</v>
      </c>
      <c r="I34" s="2104"/>
      <c r="J34" s="256">
        <f>SUMIF(104:104,I34,105:105)-SUMIF(104:104,C34,105:105)+100</f>
        <v>100</v>
      </c>
      <c r="K34" s="399"/>
      <c r="L34" s="402"/>
      <c r="M34" s="390"/>
      <c r="N34" s="390"/>
      <c r="O34" s="401"/>
      <c r="P34" s="3844" t="s">
        <v>1076</v>
      </c>
      <c r="Q34" s="395">
        <f t="shared" si="8"/>
        <v>111</v>
      </c>
      <c r="R34" s="465" t="s">
        <v>1061</v>
      </c>
      <c r="S34" s="466">
        <f t="shared" si="9"/>
        <v>100</v>
      </c>
      <c r="T34" s="465" t="s">
        <v>1061</v>
      </c>
      <c r="U34" s="466">
        <f t="shared" si="10"/>
        <v>100</v>
      </c>
      <c r="V34" s="465" t="s">
        <v>1061</v>
      </c>
      <c r="W34" s="466">
        <f t="shared" si="11"/>
        <v>100</v>
      </c>
      <c r="X34" s="460"/>
      <c r="Y34" s="3845" t="s">
        <v>1076</v>
      </c>
      <c r="Z34" s="459">
        <f t="shared" si="12"/>
        <v>111</v>
      </c>
      <c r="AA34" s="471">
        <f t="shared" si="3"/>
        <v>1</v>
      </c>
      <c r="AB34" s="471">
        <f t="shared" si="4"/>
        <v>1</v>
      </c>
      <c r="AC34" s="471">
        <f t="shared" si="5"/>
        <v>1</v>
      </c>
    </row>
    <row r="35" spans="1:29" s="201" customFormat="1" ht="15">
      <c r="A35" s="2110"/>
      <c r="B35" s="2111">
        <v>111</v>
      </c>
      <c r="C35" s="2112"/>
      <c r="D35" s="2113">
        <v>100</v>
      </c>
      <c r="E35" s="2114"/>
      <c r="F35" s="309">
        <f>SUMIF(106:106,E35,107:107)-SUMIF(106:106,C35,107:107)+100</f>
        <v>100</v>
      </c>
      <c r="G35" s="2114"/>
      <c r="H35" s="309">
        <f>SUMIF(106:106,G35,107:107)-SUMIF(106:106,C35,107:107)+100</f>
        <v>100</v>
      </c>
      <c r="I35" s="2112"/>
      <c r="J35" s="309">
        <f>SUMIF(106:106,I35,107:107)-SUMIF(106:106,C35,107:107)+100</f>
        <v>100</v>
      </c>
      <c r="K35" s="399"/>
      <c r="L35" s="400"/>
      <c r="M35" s="407"/>
      <c r="N35" s="407"/>
      <c r="O35" s="408"/>
      <c r="P35" s="3845"/>
      <c r="Q35" s="395">
        <f t="shared" si="8"/>
        <v>111</v>
      </c>
      <c r="R35" s="468" t="s">
        <v>1061</v>
      </c>
      <c r="S35" s="469">
        <f t="shared" si="9"/>
        <v>100</v>
      </c>
      <c r="T35" s="468" t="s">
        <v>1061</v>
      </c>
      <c r="U35" s="469">
        <f t="shared" si="10"/>
        <v>100</v>
      </c>
      <c r="V35" s="468" t="s">
        <v>1061</v>
      </c>
      <c r="W35" s="469">
        <f t="shared" si="11"/>
        <v>100</v>
      </c>
      <c r="X35" s="470"/>
      <c r="Y35" s="3845"/>
      <c r="Z35" s="482">
        <f t="shared" si="12"/>
        <v>111</v>
      </c>
      <c r="AA35" s="471">
        <f t="shared" si="3"/>
        <v>1</v>
      </c>
      <c r="AB35" s="471">
        <f t="shared" si="4"/>
        <v>1</v>
      </c>
      <c r="AC35" s="471">
        <f t="shared" si="5"/>
        <v>1</v>
      </c>
    </row>
    <row r="36" spans="1:29" ht="15">
      <c r="A36" s="292" t="s">
        <v>1077</v>
      </c>
      <c r="B36" s="284" t="s">
        <v>1078</v>
      </c>
      <c r="C36" s="2115">
        <f>'数据-汇总表'!D3</f>
        <v>26650.41</v>
      </c>
      <c r="D36" s="295">
        <v>100</v>
      </c>
      <c r="E36" s="2115">
        <f>土地案例!E4</f>
        <v>40217.370000000003</v>
      </c>
      <c r="F36" s="295">
        <f>LOOKUP(E36,109:109,110:110)-LOOKUP(C36,109:109,110:110)+100</f>
        <v>100</v>
      </c>
      <c r="G36" s="2115">
        <f>土地案例!E6</f>
        <v>77481.740000000005</v>
      </c>
      <c r="H36" s="295">
        <f>LOOKUP(G36,109:109,110:110)-LOOKUP(C36,109:109,110:110)+100</f>
        <v>101</v>
      </c>
      <c r="I36" s="363">
        <f>土地案例!E7</f>
        <v>65024.44</v>
      </c>
      <c r="J36" s="295">
        <f>LOOKUP(I36,109:109,110:110)-LOOKUP(C36,109:109,110:110)+100</f>
        <v>101</v>
      </c>
      <c r="K36" s="399"/>
      <c r="L36" s="402"/>
      <c r="M36" s="390"/>
      <c r="N36" s="390"/>
      <c r="O36" s="401"/>
      <c r="P36" s="3845"/>
      <c r="Q36" s="395" t="str">
        <f t="shared" si="8"/>
        <v>宗地面积</v>
      </c>
      <c r="R36" s="465" t="s">
        <v>1061</v>
      </c>
      <c r="S36" s="466">
        <f t="shared" si="9"/>
        <v>100</v>
      </c>
      <c r="T36" s="465" t="s">
        <v>1061</v>
      </c>
      <c r="U36" s="466">
        <f t="shared" si="10"/>
        <v>101</v>
      </c>
      <c r="V36" s="465" t="s">
        <v>1061</v>
      </c>
      <c r="W36" s="466">
        <f t="shared" si="11"/>
        <v>101</v>
      </c>
      <c r="X36" s="460"/>
      <c r="Y36" s="3845"/>
      <c r="Z36" s="459" t="str">
        <f t="shared" si="12"/>
        <v>宗地面积</v>
      </c>
      <c r="AA36" s="471">
        <f t="shared" si="3"/>
        <v>1</v>
      </c>
      <c r="AB36" s="471">
        <f t="shared" si="4"/>
        <v>0.99009900990098998</v>
      </c>
      <c r="AC36" s="471">
        <f t="shared" si="5"/>
        <v>0.99009900990098998</v>
      </c>
    </row>
    <row r="37" spans="1:29" ht="15">
      <c r="A37" s="302"/>
      <c r="B37" s="298" t="s">
        <v>1079</v>
      </c>
      <c r="C37" s="590" t="s">
        <v>1130</v>
      </c>
      <c r="D37" s="256">
        <v>100</v>
      </c>
      <c r="E37" s="590" t="s">
        <v>1130</v>
      </c>
      <c r="F37" s="256">
        <f>SUMIF(111:111,E37,112:112)-SUMIF(111:111,C37,112:112)+100</f>
        <v>100</v>
      </c>
      <c r="G37" s="590" t="s">
        <v>1130</v>
      </c>
      <c r="H37" s="256">
        <f>SUMIF(111:111,G37,112:112)-SUMIF(111:111,C37,112:112)+100</f>
        <v>100</v>
      </c>
      <c r="I37" s="590" t="s">
        <v>1130</v>
      </c>
      <c r="J37" s="256">
        <f>SUMIF(111:111,I37,112:112)-SUMIF(111:111,C37,112:112)+100</f>
        <v>100</v>
      </c>
      <c r="K37" s="406"/>
      <c r="L37" s="402"/>
      <c r="M37" s="390"/>
      <c r="N37" s="390"/>
      <c r="O37" s="401"/>
      <c r="P37" s="3845"/>
      <c r="Q37" s="395" t="str">
        <f t="shared" ref="Q37:Q42" si="13">B37</f>
        <v>宗地形状</v>
      </c>
      <c r="R37" s="465" t="s">
        <v>1061</v>
      </c>
      <c r="S37" s="466">
        <f t="shared" si="9"/>
        <v>100</v>
      </c>
      <c r="T37" s="465" t="s">
        <v>1061</v>
      </c>
      <c r="U37" s="466">
        <f t="shared" si="10"/>
        <v>100</v>
      </c>
      <c r="V37" s="465" t="s">
        <v>1061</v>
      </c>
      <c r="W37" s="466">
        <f t="shared" si="11"/>
        <v>100</v>
      </c>
      <c r="X37" s="460"/>
      <c r="Y37" s="3845"/>
      <c r="Z37" s="459" t="str">
        <f t="shared" si="12"/>
        <v>宗地形状</v>
      </c>
      <c r="AA37" s="471">
        <f t="shared" si="3"/>
        <v>1</v>
      </c>
      <c r="AB37" s="471">
        <f t="shared" si="4"/>
        <v>1</v>
      </c>
      <c r="AC37" s="471">
        <f t="shared" si="5"/>
        <v>1</v>
      </c>
    </row>
    <row r="38" spans="1:29" s="199" customFormat="1" ht="15">
      <c r="A38" s="305"/>
      <c r="B38" s="557" t="s">
        <v>1081</v>
      </c>
      <c r="C38" s="2116" t="s">
        <v>1131</v>
      </c>
      <c r="D38" s="246">
        <v>100</v>
      </c>
      <c r="E38" s="2116" t="s">
        <v>286</v>
      </c>
      <c r="F38" s="256">
        <f>SUMIF(113:113,E38,114:114)-SUMIF(113:113,C38,114:114)+100</f>
        <v>100</v>
      </c>
      <c r="G38" s="2116" t="s">
        <v>268</v>
      </c>
      <c r="H38" s="256">
        <f>SUMIF(113:113,G38,114:114)-SUMIF(113:113,C38,114:114)+100</f>
        <v>100</v>
      </c>
      <c r="I38" s="2116" t="s">
        <v>1131</v>
      </c>
      <c r="J38" s="256">
        <f>SUMIF(113:113,I38,114:114)-SUMIF(113:113,C38,114:114)+100</f>
        <v>100</v>
      </c>
      <c r="K38" s="406"/>
      <c r="L38" s="392"/>
      <c r="M38" s="393"/>
      <c r="N38" s="393"/>
      <c r="O38" s="394"/>
      <c r="P38" s="3845"/>
      <c r="Q38" s="395" t="str">
        <f t="shared" si="13"/>
        <v>宗地开发程度</v>
      </c>
      <c r="R38" s="461" t="s">
        <v>1061</v>
      </c>
      <c r="S38" s="462">
        <f t="shared" si="9"/>
        <v>100</v>
      </c>
      <c r="T38" s="461" t="s">
        <v>1061</v>
      </c>
      <c r="U38" s="462">
        <f t="shared" si="10"/>
        <v>100</v>
      </c>
      <c r="V38" s="461" t="s">
        <v>1061</v>
      </c>
      <c r="W38" s="462">
        <f t="shared" si="11"/>
        <v>100</v>
      </c>
      <c r="X38" s="463"/>
      <c r="Y38" s="3845"/>
      <c r="Z38" s="481" t="str">
        <f t="shared" si="12"/>
        <v>宗地开发程度</v>
      </c>
      <c r="AA38" s="480">
        <f t="shared" si="3"/>
        <v>1</v>
      </c>
      <c r="AB38" s="480">
        <f t="shared" si="4"/>
        <v>1</v>
      </c>
      <c r="AC38" s="480">
        <f t="shared" si="5"/>
        <v>1</v>
      </c>
    </row>
    <row r="39" spans="1:29" ht="15">
      <c r="A39" s="302"/>
      <c r="B39" s="298" t="s">
        <v>1082</v>
      </c>
      <c r="C39" s="590" t="s">
        <v>1128</v>
      </c>
      <c r="D39" s="256">
        <v>100</v>
      </c>
      <c r="E39" s="590" t="s">
        <v>1128</v>
      </c>
      <c r="F39" s="256">
        <f>SUMIF(115:115,E39,116:116)-SUMIF(115:115,C39,116:116)+100</f>
        <v>100</v>
      </c>
      <c r="G39" s="590" t="s">
        <v>1128</v>
      </c>
      <c r="H39" s="256">
        <f>SUMIF(115:115,G39,116:116)-SUMIF(115:115,C39,116:116)+100</f>
        <v>100</v>
      </c>
      <c r="I39" s="590" t="s">
        <v>1128</v>
      </c>
      <c r="J39" s="256">
        <f>SUMIF(115:115,I39,116:116)-SUMIF(115:115,C39,116:116)+100</f>
        <v>100</v>
      </c>
      <c r="K39" s="406"/>
      <c r="L39" s="402"/>
      <c r="M39" s="390"/>
      <c r="N39" s="390"/>
      <c r="O39" s="401"/>
      <c r="P39" s="3845" t="s">
        <v>1076</v>
      </c>
      <c r="Q39" s="395" t="str">
        <f t="shared" si="13"/>
        <v>工程地质条件</v>
      </c>
      <c r="R39" s="465" t="s">
        <v>1061</v>
      </c>
      <c r="S39" s="466">
        <f t="shared" si="9"/>
        <v>100</v>
      </c>
      <c r="T39" s="465" t="s">
        <v>1061</v>
      </c>
      <c r="U39" s="466">
        <f t="shared" si="10"/>
        <v>100</v>
      </c>
      <c r="V39" s="465" t="s">
        <v>1061</v>
      </c>
      <c r="W39" s="466">
        <f t="shared" si="11"/>
        <v>100</v>
      </c>
      <c r="X39" s="460"/>
      <c r="Y39" s="3845" t="s">
        <v>1076</v>
      </c>
      <c r="Z39" s="459" t="str">
        <f t="shared" si="12"/>
        <v>工程地质条件</v>
      </c>
      <c r="AA39" s="471">
        <f t="shared" si="3"/>
        <v>1</v>
      </c>
      <c r="AB39" s="471">
        <f t="shared" si="4"/>
        <v>1</v>
      </c>
      <c r="AC39" s="471">
        <f t="shared" si="5"/>
        <v>1</v>
      </c>
    </row>
    <row r="40" spans="1:29" ht="15">
      <c r="A40" s="302"/>
      <c r="B40" s="2109">
        <v>111</v>
      </c>
      <c r="C40" s="2104"/>
      <c r="D40" s="256">
        <v>100</v>
      </c>
      <c r="E40" s="2104"/>
      <c r="F40" s="256">
        <f>SUMIF(117:117,E40,118:118)-SUMIF(117:117,C40,118:118)+100</f>
        <v>100</v>
      </c>
      <c r="G40" s="2104"/>
      <c r="H40" s="256">
        <f>SUMIF(117:117,G40,118:118)-SUMIF(117:117,C40,118:118)+100</f>
        <v>100</v>
      </c>
      <c r="I40" s="371"/>
      <c r="J40" s="256">
        <f>SUMIF(117:117,I40,118:118)-SUMIF(117:117,C40,118:118)+100</f>
        <v>100</v>
      </c>
      <c r="K40" s="399"/>
      <c r="L40" s="402"/>
      <c r="M40" s="390"/>
      <c r="N40" s="390"/>
      <c r="O40" s="401"/>
      <c r="P40" s="3845"/>
      <c r="Q40" s="395">
        <f t="shared" si="13"/>
        <v>111</v>
      </c>
      <c r="R40" s="465" t="s">
        <v>1061</v>
      </c>
      <c r="S40" s="466">
        <f t="shared" si="9"/>
        <v>100</v>
      </c>
      <c r="T40" s="465" t="s">
        <v>1061</v>
      </c>
      <c r="U40" s="466">
        <f t="shared" si="10"/>
        <v>100</v>
      </c>
      <c r="V40" s="465" t="s">
        <v>1061</v>
      </c>
      <c r="W40" s="466">
        <f t="shared" si="11"/>
        <v>100</v>
      </c>
      <c r="X40" s="460"/>
      <c r="Y40" s="3845"/>
      <c r="Z40" s="459">
        <f t="shared" si="12"/>
        <v>111</v>
      </c>
      <c r="AA40" s="471">
        <f t="shared" si="3"/>
        <v>1</v>
      </c>
      <c r="AB40" s="471">
        <f t="shared" si="4"/>
        <v>1</v>
      </c>
      <c r="AC40" s="471">
        <f t="shared" si="5"/>
        <v>1</v>
      </c>
    </row>
    <row r="41" spans="1:29" ht="15">
      <c r="A41" s="302"/>
      <c r="B41" s="2109">
        <v>111</v>
      </c>
      <c r="C41" s="2104"/>
      <c r="D41" s="256">
        <v>100</v>
      </c>
      <c r="E41" s="2104"/>
      <c r="F41" s="256">
        <f>SUMIF(119:119,E41,120:120)-SUMIF(119:119,C41,120:120)+100</f>
        <v>100</v>
      </c>
      <c r="G41" s="2104"/>
      <c r="H41" s="256">
        <f>SUMIF(119:119,G41,120:120)-SUMIF(119:119,C41,120:120)+100</f>
        <v>100</v>
      </c>
      <c r="I41" s="371"/>
      <c r="J41" s="256">
        <f>SUMIF(119:119,I41,120:120)-SUMIF(119:119,C41,120:120)+100</f>
        <v>100</v>
      </c>
      <c r="K41" s="399"/>
      <c r="L41" s="402"/>
      <c r="M41" s="390"/>
      <c r="N41" s="390"/>
      <c r="O41" s="401"/>
      <c r="P41" s="3845"/>
      <c r="Q41" s="395">
        <f t="shared" si="13"/>
        <v>111</v>
      </c>
      <c r="R41" s="465" t="s">
        <v>1061</v>
      </c>
      <c r="S41" s="466">
        <f t="shared" si="9"/>
        <v>100</v>
      </c>
      <c r="T41" s="465" t="s">
        <v>1061</v>
      </c>
      <c r="U41" s="466">
        <f t="shared" si="10"/>
        <v>100</v>
      </c>
      <c r="V41" s="465" t="s">
        <v>1061</v>
      </c>
      <c r="W41" s="466">
        <f t="shared" si="11"/>
        <v>100</v>
      </c>
      <c r="X41" s="460"/>
      <c r="Y41" s="3845"/>
      <c r="Z41" s="459">
        <f t="shared" si="12"/>
        <v>111</v>
      </c>
      <c r="AA41" s="471">
        <f t="shared" si="3"/>
        <v>1</v>
      </c>
      <c r="AB41" s="471">
        <f t="shared" si="4"/>
        <v>1</v>
      </c>
      <c r="AC41" s="471">
        <f t="shared" si="5"/>
        <v>1</v>
      </c>
    </row>
    <row r="42" spans="1:29" s="201" customFormat="1" ht="15">
      <c r="A42" s="297"/>
      <c r="B42" s="2109">
        <v>111</v>
      </c>
      <c r="C42" s="2117"/>
      <c r="D42" s="2113">
        <v>100</v>
      </c>
      <c r="E42" s="2104"/>
      <c r="F42" s="309">
        <f>SUMIF(121:121,E42,122:122)-SUMIF(121:121,C42,122:122)+100</f>
        <v>100</v>
      </c>
      <c r="G42" s="2104"/>
      <c r="H42" s="309">
        <f>SUMIF(121:121,G42,122:122)-SUMIF(121:121,C42,122:122)+100</f>
        <v>100</v>
      </c>
      <c r="I42" s="371"/>
      <c r="J42" s="309">
        <f>SUMIF(121:121,I42,122:122)-SUMIF(121:121,C42,122:122)+100</f>
        <v>100</v>
      </c>
      <c r="K42" s="2168"/>
      <c r="L42" s="400"/>
      <c r="M42" s="407"/>
      <c r="N42" s="407"/>
      <c r="O42" s="408"/>
      <c r="P42" s="3845"/>
      <c r="Q42" s="395">
        <f t="shared" si="13"/>
        <v>111</v>
      </c>
      <c r="R42" s="468" t="s">
        <v>1061</v>
      </c>
      <c r="S42" s="469">
        <f t="shared" si="9"/>
        <v>100</v>
      </c>
      <c r="T42" s="468" t="s">
        <v>1061</v>
      </c>
      <c r="U42" s="469">
        <f t="shared" si="10"/>
        <v>100</v>
      </c>
      <c r="V42" s="468" t="s">
        <v>1061</v>
      </c>
      <c r="W42" s="469">
        <f t="shared" si="11"/>
        <v>100</v>
      </c>
      <c r="X42" s="470"/>
      <c r="Y42" s="3845"/>
      <c r="Z42" s="482">
        <f t="shared" si="12"/>
        <v>111</v>
      </c>
      <c r="AA42" s="471">
        <f t="shared" si="3"/>
        <v>1</v>
      </c>
      <c r="AB42" s="471">
        <f t="shared" si="4"/>
        <v>1</v>
      </c>
      <c r="AC42" s="471">
        <f t="shared" si="5"/>
        <v>1</v>
      </c>
    </row>
    <row r="43" spans="1:29" ht="15">
      <c r="A43" s="312" t="s">
        <v>1083</v>
      </c>
      <c r="B43" s="2118" t="s">
        <v>963</v>
      </c>
      <c r="C43" s="2119" t="s">
        <v>138</v>
      </c>
      <c r="D43" s="2120"/>
      <c r="E43" s="2121">
        <f>土地案例!S4</f>
        <v>823</v>
      </c>
      <c r="F43" s="2122"/>
      <c r="G43" s="2123">
        <f>土地案例!S6</f>
        <v>804</v>
      </c>
      <c r="H43" s="2124"/>
      <c r="I43" s="2121">
        <f>土地案例!S7</f>
        <v>822</v>
      </c>
      <c r="J43" s="2124"/>
      <c r="K43" s="2169"/>
      <c r="L43" s="410"/>
      <c r="M43" s="390"/>
      <c r="N43" s="390"/>
      <c r="O43" s="340"/>
      <c r="P43" s="3836" t="str">
        <f>A43</f>
        <v>成交单价</v>
      </c>
      <c r="Q43" s="3836"/>
      <c r="R43" s="3837">
        <f>E43</f>
        <v>823</v>
      </c>
      <c r="S43" s="3837"/>
      <c r="T43" s="3837">
        <f>G43</f>
        <v>804</v>
      </c>
      <c r="U43" s="3837"/>
      <c r="V43" s="3837">
        <f>I43</f>
        <v>822</v>
      </c>
      <c r="W43" s="3837"/>
      <c r="X43" s="342"/>
      <c r="Y43" s="483"/>
      <c r="Z43" s="342"/>
      <c r="AA43" s="342"/>
      <c r="AB43" s="342"/>
      <c r="AC43" s="342"/>
    </row>
    <row r="44" spans="1:29" ht="15">
      <c r="A44" s="320" t="s">
        <v>1085</v>
      </c>
      <c r="B44" s="2125"/>
      <c r="C44" s="2126">
        <f>R45</f>
        <v>780</v>
      </c>
      <c r="D44" s="323" t="s">
        <v>1086</v>
      </c>
      <c r="E44" s="2126">
        <f>R44</f>
        <v>791</v>
      </c>
      <c r="F44" s="325"/>
      <c r="G44" s="2127">
        <f>T44</f>
        <v>765</v>
      </c>
      <c r="H44" s="325"/>
      <c r="I44" s="2126">
        <f>V44</f>
        <v>783</v>
      </c>
      <c r="J44" s="325"/>
      <c r="K44" s="2170">
        <f>F44+H44+J44</f>
        <v>0</v>
      </c>
      <c r="L44" s="410"/>
      <c r="M44" s="390"/>
      <c r="N44" s="390"/>
      <c r="O44" s="340"/>
      <c r="P44" s="3836" t="str">
        <f>A44</f>
        <v>比较价格（元/平方米）</v>
      </c>
      <c r="Q44" s="3836"/>
      <c r="R44" s="3838">
        <f>ROUND(PRODUCT(R43,AA9:AA42),0)</f>
        <v>791</v>
      </c>
      <c r="S44" s="3838"/>
      <c r="T44" s="3838">
        <f>ROUND(PRODUCT(T43,AB9:AB42),0)</f>
        <v>765</v>
      </c>
      <c r="U44" s="3838"/>
      <c r="V44" s="3838">
        <f>ROUND(PRODUCT(V43,AC9:AC42),0)</f>
        <v>783</v>
      </c>
      <c r="W44" s="3838"/>
      <c r="X44" s="342"/>
      <c r="Y44" s="342"/>
      <c r="Z44" s="342"/>
      <c r="AA44" s="342"/>
      <c r="AB44" s="342"/>
      <c r="AC44" s="342"/>
    </row>
    <row r="45" spans="1:29" ht="15">
      <c r="A45" s="326" t="s">
        <v>1087</v>
      </c>
      <c r="B45" s="327"/>
      <c r="C45" s="2128">
        <f>R45</f>
        <v>780</v>
      </c>
      <c r="D45" s="2128"/>
      <c r="E45" s="2128"/>
      <c r="F45" s="2128"/>
      <c r="G45" s="2128"/>
      <c r="H45" s="2128"/>
      <c r="I45" s="2128"/>
      <c r="J45" s="2128"/>
      <c r="K45" s="2171"/>
      <c r="L45" s="410"/>
      <c r="M45" s="390"/>
      <c r="N45" s="390"/>
      <c r="O45" s="340"/>
      <c r="P45" s="3839" t="str">
        <f>A45</f>
        <v>估价对象XX用房的比较价格（楼面单价，元/平方米）</v>
      </c>
      <c r="Q45" s="3840"/>
      <c r="R45" s="3871">
        <f>ROUND(IF(D44="简单平均",AVERAGE(R44:W44),R44*F44+T44*H44+V44*J44),0)</f>
        <v>780</v>
      </c>
      <c r="S45" s="3871"/>
      <c r="T45" s="3871"/>
      <c r="U45" s="3871"/>
      <c r="V45" s="3871"/>
      <c r="W45" s="387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1088</v>
      </c>
      <c r="D48" s="332"/>
      <c r="E48" s="333">
        <f>IF(E43&lt;E44,E44/E43-1,E43/E44-1)</f>
        <v>4.0455120101137797E-2</v>
      </c>
      <c r="F48" s="334" t="str">
        <f>IF(OR(E48&gt;=0.3,E48&lt;=-0.3),"超过30%","")</f>
        <v/>
      </c>
      <c r="G48" s="333">
        <f>IF(G43&lt;G44,G44/G43-1,G43/G44-1)</f>
        <v>5.09803921568628E-2</v>
      </c>
      <c r="H48" s="334" t="str">
        <f>IF(OR(G48&gt;=0.3,G48&lt;=-0.3),"超过30%","")</f>
        <v/>
      </c>
      <c r="I48" s="333">
        <f>IF(I43&lt;I44,I44/I43-1,I43/I44-1)</f>
        <v>4.9808429118773902E-2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1089</v>
      </c>
      <c r="D49" s="335"/>
      <c r="E49" s="333">
        <f>IF(E44&lt;G44,G44/E44-1,E44/G44-1)</f>
        <v>3.3986928104575299E-2</v>
      </c>
      <c r="F49" s="334" t="str">
        <f>IF(OR(E49&gt;=0.2,E49&lt;=-0.2),"超过20%","")</f>
        <v/>
      </c>
      <c r="G49" s="333">
        <f>IF(G44&lt;I44,I44/G44-1,G44/I44-1)</f>
        <v>2.3529411764705799E-2</v>
      </c>
      <c r="H49" s="334" t="str">
        <f>IF(OR(G49&gt;=0.2,G49&lt;=-0.2),"超过20%","")</f>
        <v/>
      </c>
      <c r="I49" s="333">
        <f>IF(I44&lt;E44,E44/I44-1,I44/E44-1)</f>
        <v>1.02171136653895E-2</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1090</v>
      </c>
      <c r="D50" s="335"/>
      <c r="E50" s="333">
        <f>IF(E43&lt;G43,G43/E43-1,E43/G43-1)</f>
        <v>2.36318407960199E-2</v>
      </c>
      <c r="F50" s="334" t="str">
        <f>IF(OR(E50&gt;=0.3,E50&lt;=-0.3),"超过30%","")</f>
        <v/>
      </c>
      <c r="G50" s="333">
        <f>IF(G43&lt;I43,I43/G43-1,G43/I43-1)</f>
        <v>2.2388059701492501E-2</v>
      </c>
      <c r="H50" s="334" t="str">
        <f>IF(OR(G50&gt;=0.3,G50&lt;=-0.3),"超过30%","")</f>
        <v/>
      </c>
      <c r="I50" s="333">
        <f>IF(I43&lt;E43,E43/I43-1,I43/E43-1)</f>
        <v>1.2165450121655E-3</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30" t="s">
        <v>1091</v>
      </c>
      <c r="B52" s="2131" t="s">
        <v>1092</v>
      </c>
      <c r="C52" s="2132" t="s">
        <v>1093</v>
      </c>
      <c r="D52" s="2133" t="s">
        <v>1094</v>
      </c>
      <c r="E52" s="2134" t="s">
        <v>1095</v>
      </c>
      <c r="F52" s="2135" t="s">
        <v>1096</v>
      </c>
      <c r="G52" s="3872" t="s">
        <v>1097</v>
      </c>
      <c r="H52" s="3873"/>
      <c r="I52" s="2172" t="s">
        <v>425</v>
      </c>
      <c r="J52" s="2173">
        <f>项目基本情况!F41</f>
        <v>0</v>
      </c>
      <c r="K52" s="2174" t="s">
        <v>1098</v>
      </c>
      <c r="L52" s="415"/>
      <c r="M52" s="340"/>
      <c r="N52" s="340"/>
      <c r="O52" s="340"/>
      <c r="P52" s="340"/>
      <c r="Q52" s="340"/>
      <c r="R52" s="340"/>
      <c r="S52" s="340"/>
      <c r="T52" s="340"/>
      <c r="U52" s="340"/>
      <c r="V52" s="340"/>
      <c r="W52" s="340"/>
      <c r="X52" s="340"/>
      <c r="Y52" s="340"/>
      <c r="Z52" s="340"/>
      <c r="AA52" s="340"/>
      <c r="AB52" s="340"/>
      <c r="AC52" s="340"/>
    </row>
    <row r="53" spans="1:29" s="2095" customFormat="1" ht="12.75">
      <c r="A53" s="2136" t="s">
        <v>1099</v>
      </c>
      <c r="B53" s="2137">
        <f>C45</f>
        <v>780</v>
      </c>
      <c r="C53" s="2138">
        <v>1</v>
      </c>
      <c r="D53" s="2139">
        <v>1</v>
      </c>
      <c r="E53" s="2140">
        <f>面积表!C13</f>
        <v>39955.629999999997</v>
      </c>
      <c r="F53" s="2141">
        <f t="shared" ref="F53:F61" si="14">ROUND(B53*E53/10000,0)</f>
        <v>3117</v>
      </c>
      <c r="G53" s="3874"/>
      <c r="H53" s="3875"/>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1100</v>
      </c>
      <c r="B54" s="2143">
        <f>ROUND($C$45*C54*D54,0)</f>
        <v>0</v>
      </c>
      <c r="C54" s="1875">
        <f t="shared" ref="C54:C61" si="15">IF($C$52="北京市系数",I54,J54)</f>
        <v>0</v>
      </c>
      <c r="D54" s="2144">
        <v>0.25</v>
      </c>
      <c r="E54" s="2145"/>
      <c r="F54" s="2141">
        <f t="shared" si="14"/>
        <v>0</v>
      </c>
      <c r="G54" s="2146" t="s">
        <v>1101</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1102</v>
      </c>
      <c r="B55" s="2143">
        <f t="shared" ref="B55:B61" si="16">ROUND($C$45*C55*D55,0)</f>
        <v>0</v>
      </c>
      <c r="C55" s="1875">
        <f t="shared" si="15"/>
        <v>0</v>
      </c>
      <c r="D55" s="2144">
        <v>0.25</v>
      </c>
      <c r="E55" s="2145"/>
      <c r="F55" s="2141">
        <f t="shared" si="14"/>
        <v>0</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1103</v>
      </c>
      <c r="B56" s="2143">
        <f t="shared" si="16"/>
        <v>0</v>
      </c>
      <c r="C56" s="1875">
        <f t="shared" si="15"/>
        <v>0</v>
      </c>
      <c r="D56" s="2144">
        <v>0.25</v>
      </c>
      <c r="E56" s="2145"/>
      <c r="F56" s="2141">
        <f t="shared" si="14"/>
        <v>0</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582</v>
      </c>
      <c r="B57" s="2143">
        <f t="shared" si="16"/>
        <v>0</v>
      </c>
      <c r="C57" s="1875">
        <f t="shared" si="15"/>
        <v>0</v>
      </c>
      <c r="D57" s="2144">
        <v>0.25</v>
      </c>
      <c r="E57" s="2151">
        <f>'数据-汇总表'!E11</f>
        <v>0</v>
      </c>
      <c r="F57" s="2141">
        <f t="shared" si="14"/>
        <v>0</v>
      </c>
      <c r="G57" s="2152" t="s">
        <v>1104</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1105</v>
      </c>
      <c r="B58" s="2143">
        <f t="shared" si="16"/>
        <v>0</v>
      </c>
      <c r="C58" s="1875">
        <f t="shared" si="15"/>
        <v>0</v>
      </c>
      <c r="D58" s="2144">
        <v>0.25</v>
      </c>
      <c r="E58" s="2151">
        <f>'数据-汇总表'!E12</f>
        <v>0</v>
      </c>
      <c r="F58" s="2141">
        <f t="shared" si="14"/>
        <v>0</v>
      </c>
      <c r="G58" s="2153" t="s">
        <v>436</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1106</v>
      </c>
      <c r="B59" s="2143">
        <f t="shared" si="16"/>
        <v>0</v>
      </c>
      <c r="C59" s="1875">
        <f t="shared" si="15"/>
        <v>0</v>
      </c>
      <c r="D59" s="2144">
        <v>0.25</v>
      </c>
      <c r="E59" s="2151">
        <f>'数据-汇总表'!E13</f>
        <v>0</v>
      </c>
      <c r="F59" s="2141">
        <f t="shared" si="14"/>
        <v>0</v>
      </c>
      <c r="G59" s="2153" t="s">
        <v>402</v>
      </c>
      <c r="H59" s="2147">
        <f>IF(G59="商业",项目基本情况!B43,IF(G59="办公",项目基本情况!C43,IF(G59="住宅",项目基本情况!D43,项目基本情况!E43)))</f>
        <v>0</v>
      </c>
      <c r="I59" s="2175">
        <f>SUMIF(修正!$A$57:$A$68,H59,修正!G57:G68)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1107</v>
      </c>
      <c r="B60" s="2143">
        <f t="shared" si="16"/>
        <v>0</v>
      </c>
      <c r="C60" s="1875">
        <f t="shared" si="15"/>
        <v>0</v>
      </c>
      <c r="D60" s="2144">
        <v>0.25</v>
      </c>
      <c r="E60" s="2151">
        <f>'数据-汇总表'!E14</f>
        <v>0</v>
      </c>
      <c r="F60" s="2141">
        <f t="shared" si="14"/>
        <v>0</v>
      </c>
      <c r="G60" s="2152" t="s">
        <v>1101</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1108</v>
      </c>
      <c r="B61" s="2143">
        <f t="shared" si="16"/>
        <v>0</v>
      </c>
      <c r="C61" s="1875">
        <f t="shared" si="15"/>
        <v>0</v>
      </c>
      <c r="D61" s="2144">
        <v>0.25</v>
      </c>
      <c r="E61" s="2151">
        <f>'数据-汇总表'!E15</f>
        <v>0</v>
      </c>
      <c r="F61" s="2141">
        <f t="shared" si="14"/>
        <v>0</v>
      </c>
      <c r="G61" s="2154" t="s">
        <v>1104</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1109</v>
      </c>
      <c r="B62" s="2157" t="s">
        <v>1110</v>
      </c>
      <c r="C62" s="2157" t="s">
        <v>1110</v>
      </c>
      <c r="D62" s="2157" t="s">
        <v>1110</v>
      </c>
      <c r="E62" s="2157">
        <f>IF(B43="楼面地价",SUM(E53:E61),'数据-汇总表'!D3)</f>
        <v>39955.629999999997</v>
      </c>
      <c r="F62" s="2158">
        <f>IF(B43="楼面地价",SUM(F53:F61),ROUND(C45*E62/10000,0))</f>
        <v>3117</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60" t="str">
        <f>YEAR(C9)&amp;"-"&amp;MONTH(C9)&amp;"-1"</f>
        <v>2023-11-1</v>
      </c>
      <c r="D64" s="2161">
        <f>EDATE(C64,-3)</f>
        <v>45139</v>
      </c>
      <c r="E64" s="2161">
        <f t="shared" ref="E64:N64" si="17">EDATE(D64,-3)</f>
        <v>45047</v>
      </c>
      <c r="F64" s="2161">
        <f t="shared" si="17"/>
        <v>44958</v>
      </c>
      <c r="G64" s="2161">
        <f t="shared" si="17"/>
        <v>44866</v>
      </c>
      <c r="H64" s="2161">
        <f t="shared" si="17"/>
        <v>44774</v>
      </c>
      <c r="I64" s="2161">
        <f t="shared" si="17"/>
        <v>44682</v>
      </c>
      <c r="J64" s="2161">
        <f t="shared" si="17"/>
        <v>44593</v>
      </c>
      <c r="K64" s="2161">
        <f t="shared" si="17"/>
        <v>44501</v>
      </c>
      <c r="L64" s="2161">
        <f t="shared" si="17"/>
        <v>44409</v>
      </c>
      <c r="M64" s="2161">
        <f t="shared" si="17"/>
        <v>44317</v>
      </c>
      <c r="N64" s="2161">
        <f t="shared" si="17"/>
        <v>44228</v>
      </c>
      <c r="O64" s="340"/>
      <c r="P64" s="340"/>
      <c r="Q64" s="340"/>
      <c r="R64" s="340"/>
      <c r="S64" s="340"/>
      <c r="T64" s="340"/>
      <c r="U64" s="340"/>
      <c r="V64" s="340"/>
      <c r="W64" s="340"/>
      <c r="X64" s="340"/>
      <c r="Y64" s="340"/>
      <c r="Z64" s="340"/>
      <c r="AA64" s="340"/>
      <c r="AB64" s="340"/>
      <c r="AC64" s="340"/>
    </row>
    <row r="65" spans="1:29" ht="21">
      <c r="A65" s="341" t="s">
        <v>1111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81" t="s">
        <v>1132</v>
      </c>
      <c r="B66" s="34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3"/>
      <c r="P66" s="423"/>
      <c r="Q66" s="472"/>
      <c r="R66" s="472"/>
      <c r="S66" s="472"/>
      <c r="T66" s="472"/>
      <c r="U66" s="472"/>
      <c r="V66" s="472"/>
      <c r="W66" s="472"/>
      <c r="X66" s="472"/>
      <c r="Y66" s="472"/>
      <c r="Z66" s="472"/>
      <c r="AA66" s="472"/>
      <c r="AB66" s="472"/>
      <c r="AC66" s="472"/>
    </row>
    <row r="67" spans="1:29" s="199" customFormat="1" ht="27.75" customHeight="1">
      <c r="A67" s="2183" t="s">
        <v>164</v>
      </c>
      <c r="B67" s="2184"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c r="M67" s="2194"/>
      <c r="N67" s="2195"/>
      <c r="O67" s="431"/>
      <c r="P67" s="426"/>
      <c r="Q67" s="473"/>
      <c r="R67" s="473"/>
      <c r="S67" s="473"/>
      <c r="T67" s="473"/>
      <c r="U67" s="473"/>
      <c r="V67" s="473"/>
      <c r="W67" s="473"/>
      <c r="X67" s="473"/>
      <c r="Y67" s="473"/>
      <c r="Z67" s="473"/>
      <c r="AA67" s="473"/>
      <c r="AB67" s="473"/>
      <c r="AC67" s="473"/>
    </row>
    <row r="68" spans="1:29" s="199" customFormat="1" ht="15">
      <c r="A68" s="353" t="s">
        <v>1133</v>
      </c>
      <c r="B68" s="354"/>
      <c r="C68" s="2185"/>
      <c r="D68" s="2186"/>
      <c r="E68" s="2186"/>
      <c r="F68" s="2186"/>
      <c r="G68" s="2186"/>
      <c r="H68" s="2186"/>
      <c r="I68" s="2186"/>
      <c r="J68" s="2186"/>
      <c r="K68" s="2186"/>
      <c r="L68" s="2186"/>
      <c r="M68" s="2186"/>
      <c r="N68" s="2186"/>
      <c r="O68" s="431"/>
      <c r="P68" s="426"/>
      <c r="Q68" s="426"/>
      <c r="R68" s="473"/>
      <c r="S68" s="473"/>
      <c r="T68" s="473"/>
      <c r="U68" s="473"/>
      <c r="V68" s="473"/>
      <c r="W68" s="473"/>
      <c r="X68" s="473"/>
      <c r="Y68" s="473"/>
      <c r="Z68" s="473"/>
      <c r="AA68" s="473"/>
      <c r="AB68" s="473"/>
      <c r="AC68" s="473"/>
    </row>
    <row r="69" spans="1:29" s="199" customFormat="1" ht="15">
      <c r="A69" s="357" t="s">
        <v>1062</v>
      </c>
      <c r="B69" s="350"/>
      <c r="C69" s="358" t="s">
        <v>1063</v>
      </c>
      <c r="D69" s="359"/>
      <c r="E69" s="359"/>
      <c r="F69" s="359"/>
      <c r="G69" s="359"/>
      <c r="H69" s="359"/>
      <c r="I69" s="359"/>
      <c r="J69" s="359"/>
      <c r="K69" s="359"/>
      <c r="L69" s="429"/>
      <c r="M69" s="430"/>
      <c r="N69" s="219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6"/>
      <c r="O70" s="431"/>
      <c r="P70" s="426"/>
      <c r="Q70" s="426"/>
      <c r="R70" s="473"/>
      <c r="S70" s="473"/>
      <c r="T70" s="473"/>
      <c r="U70" s="473"/>
      <c r="V70" s="473"/>
      <c r="W70" s="473"/>
      <c r="X70" s="473"/>
      <c r="Y70" s="473"/>
      <c r="Z70" s="473"/>
      <c r="AA70" s="473"/>
      <c r="AB70" s="473"/>
      <c r="AC70" s="473"/>
    </row>
    <row r="71" spans="1:29">
      <c r="A71" s="360" t="s">
        <v>1115</v>
      </c>
      <c r="B71" s="361" t="s">
        <v>1116</v>
      </c>
      <c r="C71" s="2187" t="s">
        <v>164</v>
      </c>
      <c r="D71" s="363"/>
      <c r="E71" s="363"/>
      <c r="F71" s="363"/>
      <c r="G71" s="363"/>
      <c r="H71" s="363"/>
      <c r="I71" s="363"/>
      <c r="J71" s="363"/>
      <c r="K71" s="433"/>
      <c r="L71" s="434"/>
      <c r="M71" s="435"/>
      <c r="N71" s="219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8"/>
      <c r="O72" s="439"/>
      <c r="P72" s="437"/>
      <c r="Q72" s="426"/>
      <c r="R72" s="340"/>
      <c r="S72" s="340"/>
      <c r="T72" s="340"/>
      <c r="U72" s="340"/>
      <c r="V72" s="340"/>
      <c r="W72" s="340"/>
      <c r="X72" s="340"/>
      <c r="Y72" s="340"/>
      <c r="Z72" s="340"/>
      <c r="AA72" s="340"/>
      <c r="AB72" s="340"/>
      <c r="AC72" s="340"/>
    </row>
    <row r="73" spans="1:29" ht="27">
      <c r="A73" s="364"/>
      <c r="B73" s="367" t="s">
        <v>1117</v>
      </c>
      <c r="C73" s="381"/>
      <c r="D73" s="381"/>
      <c r="E73" s="381"/>
      <c r="F73" s="381"/>
      <c r="G73" s="381"/>
      <c r="H73" s="381"/>
      <c r="I73" s="381"/>
      <c r="J73" s="381"/>
      <c r="K73" s="456"/>
      <c r="L73" s="457"/>
      <c r="M73" s="458"/>
      <c r="N73" s="219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8"/>
      <c r="O74" s="439"/>
      <c r="P74" s="437"/>
      <c r="Q74" s="426"/>
      <c r="R74" s="340"/>
      <c r="S74" s="340"/>
      <c r="T74" s="340"/>
      <c r="U74" s="340"/>
      <c r="V74" s="340"/>
      <c r="W74" s="340"/>
      <c r="X74" s="340"/>
      <c r="Y74" s="340"/>
      <c r="Z74" s="340"/>
      <c r="AA74" s="340"/>
      <c r="AB74" s="340"/>
      <c r="AC74" s="340"/>
    </row>
    <row r="75" spans="1:29" ht="15">
      <c r="A75" s="364"/>
      <c r="B75" s="486" t="s">
        <v>1118</v>
      </c>
      <c r="C75" s="558" t="str">
        <f>C76&amp;"（含）"&amp;"-"&amp;D76</f>
        <v>0（含）-1</v>
      </c>
      <c r="D75" s="558" t="str">
        <f t="shared" ref="D75:L75" si="19">D76&amp;"（含）"&amp;"-"&amp;E76</f>
        <v>1（含）-2</v>
      </c>
      <c r="E75" s="558" t="str">
        <f t="shared" si="19"/>
        <v>2（含）-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8"/>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2</v>
      </c>
      <c r="F76" s="371"/>
      <c r="G76" s="371"/>
      <c r="H76" s="371"/>
      <c r="I76" s="371"/>
      <c r="J76" s="371"/>
      <c r="K76" s="443"/>
      <c r="L76" s="444"/>
      <c r="M76" s="445"/>
      <c r="N76" s="219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98</v>
      </c>
      <c r="E77" s="378">
        <f t="shared" si="20"/>
        <v>96</v>
      </c>
      <c r="F77" s="378">
        <f t="shared" si="20"/>
        <v>94</v>
      </c>
      <c r="G77" s="378">
        <f t="shared" si="20"/>
        <v>92</v>
      </c>
      <c r="H77" s="378">
        <f t="shared" si="20"/>
        <v>90</v>
      </c>
      <c r="I77" s="378">
        <f t="shared" si="20"/>
        <v>88</v>
      </c>
      <c r="J77" s="378">
        <f t="shared" si="20"/>
        <v>86</v>
      </c>
      <c r="K77" s="378">
        <f t="shared" si="20"/>
        <v>84</v>
      </c>
      <c r="L77" s="378">
        <f t="shared" si="20"/>
        <v>82</v>
      </c>
      <c r="M77" s="378">
        <f t="shared" si="20"/>
        <v>80</v>
      </c>
      <c r="N77" s="219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9"/>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9"/>
      <c r="O83" s="448"/>
      <c r="P83" s="449"/>
      <c r="Q83" s="474"/>
      <c r="R83" s="475"/>
      <c r="S83" s="475"/>
      <c r="T83" s="475"/>
      <c r="U83" s="475"/>
      <c r="V83" s="475"/>
      <c r="W83" s="475"/>
      <c r="X83" s="475"/>
      <c r="Y83" s="475"/>
      <c r="Z83" s="475"/>
      <c r="AA83" s="475"/>
      <c r="AB83" s="475"/>
      <c r="AC83" s="475"/>
    </row>
    <row r="84" spans="1:29">
      <c r="A84" s="360" t="s">
        <v>1119</v>
      </c>
      <c r="B84" s="361" t="s">
        <v>226</v>
      </c>
      <c r="C84" s="377" t="s">
        <v>244</v>
      </c>
      <c r="D84" s="377" t="s">
        <v>256</v>
      </c>
      <c r="E84" s="377" t="s">
        <v>267</v>
      </c>
      <c r="F84" s="377" t="s">
        <v>277</v>
      </c>
      <c r="G84" s="377" t="s">
        <v>285</v>
      </c>
      <c r="H84" s="362"/>
      <c r="I84" s="362"/>
      <c r="J84" s="362"/>
      <c r="K84" s="451"/>
      <c r="L84" s="452"/>
      <c r="M84" s="453"/>
      <c r="N84" s="2197"/>
      <c r="O84" s="436"/>
      <c r="P84" s="454"/>
      <c r="Q84" s="426"/>
      <c r="R84" s="340"/>
      <c r="S84" s="340"/>
      <c r="T84" s="340"/>
      <c r="U84" s="340"/>
      <c r="V84" s="340"/>
      <c r="W84" s="340"/>
      <c r="X84" s="340"/>
      <c r="Y84" s="340"/>
      <c r="Z84" s="340"/>
      <c r="AA84" s="340"/>
      <c r="AB84" s="340"/>
      <c r="AC84" s="340"/>
    </row>
    <row r="85" spans="1:29" ht="15">
      <c r="A85" s="364"/>
      <c r="B85" s="369"/>
      <c r="C85" s="378">
        <v>100</v>
      </c>
      <c r="D85" s="378">
        <f>C85-$K17</f>
        <v>97</v>
      </c>
      <c r="E85" s="378">
        <f>D85-$K17</f>
        <v>94</v>
      </c>
      <c r="F85" s="378">
        <f>E85-$K17</f>
        <v>91</v>
      </c>
      <c r="G85" s="378">
        <f>F85-$K17</f>
        <v>88</v>
      </c>
      <c r="H85" s="378"/>
      <c r="I85" s="378"/>
      <c r="J85" s="378"/>
      <c r="K85" s="378"/>
      <c r="L85" s="378"/>
      <c r="M85" s="455"/>
      <c r="N85" s="219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7"/>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9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200"/>
      <c r="M88" s="501"/>
      <c r="N88" s="219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198"/>
      <c r="O89" s="439"/>
      <c r="P89" s="437"/>
      <c r="Q89" s="426"/>
      <c r="R89" s="473"/>
      <c r="S89" s="473"/>
      <c r="T89" s="473"/>
      <c r="U89" s="473"/>
      <c r="V89" s="473"/>
      <c r="W89" s="473"/>
      <c r="X89" s="473"/>
      <c r="Y89" s="473"/>
      <c r="Z89" s="473"/>
      <c r="AA89" s="473"/>
      <c r="AB89" s="473"/>
      <c r="AC89" s="473"/>
    </row>
    <row r="90" spans="1:29" s="199" customFormat="1" ht="27">
      <c r="A90" s="487"/>
      <c r="B90" s="367" t="s">
        <v>1073</v>
      </c>
      <c r="C90" s="377" t="s">
        <v>244</v>
      </c>
      <c r="D90" s="377" t="s">
        <v>256</v>
      </c>
      <c r="E90" s="377" t="s">
        <v>267</v>
      </c>
      <c r="F90" s="377" t="s">
        <v>277</v>
      </c>
      <c r="G90" s="377" t="s">
        <v>285</v>
      </c>
      <c r="H90" s="380"/>
      <c r="I90" s="380"/>
      <c r="J90" s="380"/>
      <c r="K90" s="380"/>
      <c r="L90" s="380"/>
      <c r="M90" s="501"/>
      <c r="N90" s="219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99</v>
      </c>
      <c r="E91" s="378">
        <f>D91-$K23</f>
        <v>98</v>
      </c>
      <c r="F91" s="378">
        <f>E91-$K23</f>
        <v>97</v>
      </c>
      <c r="G91" s="378">
        <f>F91-$K23</f>
        <v>96</v>
      </c>
      <c r="H91" s="378"/>
      <c r="I91" s="378"/>
      <c r="J91" s="378"/>
      <c r="K91" s="378"/>
      <c r="L91" s="378"/>
      <c r="M91" s="455"/>
      <c r="N91" s="219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9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99</v>
      </c>
      <c r="E93" s="378">
        <f>D93-$K25</f>
        <v>98</v>
      </c>
      <c r="F93" s="378">
        <f>E93-$K25</f>
        <v>97</v>
      </c>
      <c r="G93" s="378">
        <f>F93-$K25</f>
        <v>96</v>
      </c>
      <c r="H93" s="660"/>
      <c r="I93" s="660"/>
      <c r="J93" s="660"/>
      <c r="K93" s="660"/>
      <c r="L93" s="660"/>
      <c r="M93" s="661"/>
      <c r="N93" s="219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9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2201"/>
      <c r="N95" s="219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1120</v>
      </c>
      <c r="D96" s="381" t="s">
        <v>1121</v>
      </c>
      <c r="E96" s="381" t="s">
        <v>1122</v>
      </c>
      <c r="F96" s="381" t="s">
        <v>1123</v>
      </c>
      <c r="G96" s="381"/>
      <c r="H96" s="381"/>
      <c r="I96" s="381"/>
      <c r="J96" s="381"/>
      <c r="K96" s="456"/>
      <c r="L96" s="457"/>
      <c r="M96" s="458"/>
      <c r="N96" s="219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8"/>
      <c r="O97" s="439"/>
      <c r="P97" s="437"/>
      <c r="Q97" s="426"/>
      <c r="R97" s="340"/>
      <c r="S97" s="340"/>
      <c r="T97" s="340"/>
      <c r="U97" s="340"/>
      <c r="V97" s="340"/>
      <c r="W97" s="340"/>
      <c r="X97" s="340"/>
      <c r="Y97" s="340"/>
      <c r="Z97" s="340"/>
      <c r="AA97" s="340"/>
      <c r="AB97" s="340"/>
      <c r="AC97" s="340"/>
    </row>
    <row r="98" spans="1:29" ht="27">
      <c r="A98" s="364"/>
      <c r="B98" s="367" t="s">
        <v>1074</v>
      </c>
      <c r="C98" s="374"/>
      <c r="D98" s="374"/>
      <c r="E98" s="374"/>
      <c r="F98" s="374"/>
      <c r="G98" s="374"/>
      <c r="H98" s="368"/>
      <c r="I98" s="368"/>
      <c r="J98" s="368"/>
      <c r="K98" s="440"/>
      <c r="L98" s="441"/>
      <c r="M98" s="442"/>
      <c r="N98" s="219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8"/>
      <c r="O99" s="439"/>
      <c r="P99" s="437"/>
      <c r="Q99" s="426"/>
      <c r="R99" s="340"/>
      <c r="S99" s="340"/>
      <c r="T99" s="340"/>
      <c r="U99" s="340"/>
      <c r="V99" s="340"/>
      <c r="W99" s="340"/>
      <c r="X99" s="340"/>
      <c r="Y99" s="340"/>
      <c r="Z99" s="340"/>
      <c r="AA99" s="340"/>
      <c r="AB99" s="340"/>
      <c r="AC99" s="340"/>
    </row>
    <row r="100" spans="1:29" ht="15">
      <c r="A100" s="364"/>
      <c r="B100" s="367" t="s">
        <v>1075</v>
      </c>
      <c r="C100" s="368"/>
      <c r="D100" s="368"/>
      <c r="E100" s="368"/>
      <c r="F100" s="368"/>
      <c r="G100" s="368"/>
      <c r="H100" s="368"/>
      <c r="I100" s="368"/>
      <c r="J100" s="368"/>
      <c r="K100" s="440"/>
      <c r="L100" s="441"/>
      <c r="M100" s="442"/>
      <c r="N100" s="219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7"/>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8"/>
      <c r="O103" s="439"/>
      <c r="P103" s="437"/>
      <c r="Q103" s="426"/>
      <c r="R103" s="340"/>
      <c r="S103" s="340"/>
      <c r="T103" s="340"/>
      <c r="U103" s="340"/>
      <c r="V103" s="340"/>
      <c r="W103" s="340"/>
      <c r="X103" s="340"/>
      <c r="Y103" s="340"/>
      <c r="Z103" s="340"/>
      <c r="AA103" s="340"/>
      <c r="AB103" s="340"/>
      <c r="AC103" s="340"/>
    </row>
    <row r="104" spans="1:29">
      <c r="A104" s="2108"/>
      <c r="B104" s="367">
        <f>B34</f>
        <v>111</v>
      </c>
      <c r="C104" s="374"/>
      <c r="D104" s="374"/>
      <c r="E104" s="374"/>
      <c r="F104" s="374"/>
      <c r="G104" s="368"/>
      <c r="H104" s="368"/>
      <c r="I104" s="368"/>
      <c r="J104" s="368"/>
      <c r="K104" s="440"/>
      <c r="L104" s="441"/>
      <c r="M104" s="442"/>
      <c r="N104" s="219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8"/>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8"/>
      <c r="H107" s="2188"/>
      <c r="I107" s="2188"/>
      <c r="J107" s="2188"/>
      <c r="K107" s="2188"/>
      <c r="L107" s="2188"/>
      <c r="M107" s="2202"/>
      <c r="N107" s="2198"/>
      <c r="O107" s="439"/>
      <c r="P107" s="449"/>
      <c r="Q107" s="474"/>
      <c r="R107" s="475"/>
      <c r="S107" s="475"/>
      <c r="T107" s="475"/>
      <c r="U107" s="475"/>
      <c r="V107" s="475"/>
      <c r="W107" s="475"/>
      <c r="X107" s="475"/>
      <c r="Y107" s="475"/>
      <c r="Z107" s="475"/>
      <c r="AA107" s="475"/>
      <c r="AB107" s="475"/>
      <c r="AC107" s="475"/>
    </row>
    <row r="108" spans="1:29" ht="28.5">
      <c r="A108" s="360" t="s">
        <v>1124</v>
      </c>
      <c r="B108" s="361" t="s">
        <v>1078</v>
      </c>
      <c r="C108" s="362" t="str">
        <f t="shared" ref="C108:L108" si="24">C109&amp;"(含)"&amp;"-"&amp;D109</f>
        <v>0(含)-20000</v>
      </c>
      <c r="D108" s="362" t="str">
        <f t="shared" si="24"/>
        <v>20000(含)-50000</v>
      </c>
      <c r="E108" s="362" t="str">
        <f t="shared" si="24"/>
        <v>50000(含)-80000</v>
      </c>
      <c r="F108" s="362" t="str">
        <f t="shared" si="24"/>
        <v>80000(含)-100000</v>
      </c>
      <c r="G108" s="362" t="str">
        <f t="shared" si="24"/>
        <v>100000(含)-</v>
      </c>
      <c r="H108" s="362" t="str">
        <f t="shared" si="24"/>
        <v>(含)-</v>
      </c>
      <c r="I108" s="362" t="str">
        <f t="shared" si="24"/>
        <v>(含)-</v>
      </c>
      <c r="J108" s="362" t="str">
        <f t="shared" si="24"/>
        <v>(含)-</v>
      </c>
      <c r="K108" s="2203" t="str">
        <f t="shared" si="24"/>
        <v>(含)-</v>
      </c>
      <c r="L108" s="2204" t="str">
        <f t="shared" si="24"/>
        <v>(含)-</v>
      </c>
      <c r="M108" s="2205" t="str">
        <f>M109&amp;"(含)"&amp;"-"&amp;P109</f>
        <v>(含)-</v>
      </c>
      <c r="N108" s="2197"/>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20000</v>
      </c>
      <c r="E109" s="491">
        <v>50000</v>
      </c>
      <c r="F109" s="491">
        <v>80000</v>
      </c>
      <c r="G109" s="491">
        <v>100000</v>
      </c>
      <c r="H109" s="491"/>
      <c r="I109" s="491"/>
      <c r="J109" s="502"/>
      <c r="K109" s="502"/>
      <c r="L109" s="503"/>
      <c r="M109" s="504"/>
      <c r="N109" s="2197"/>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f>C110+1</f>
        <v>101</v>
      </c>
      <c r="E110" s="567">
        <f>D110+1</f>
        <v>102</v>
      </c>
      <c r="F110" s="567">
        <f>E110+1</f>
        <v>103</v>
      </c>
      <c r="G110" s="567">
        <f>F110+1</f>
        <v>104</v>
      </c>
      <c r="H110" s="567"/>
      <c r="I110" s="567"/>
      <c r="J110" s="567"/>
      <c r="K110" s="567"/>
      <c r="L110" s="567"/>
      <c r="M110" s="576"/>
      <c r="N110" s="2198"/>
      <c r="O110" s="439"/>
      <c r="P110" s="437"/>
      <c r="Q110" s="426"/>
      <c r="R110" s="340"/>
      <c r="S110" s="340"/>
      <c r="T110" s="340"/>
      <c r="U110" s="340"/>
      <c r="V110" s="340"/>
      <c r="W110" s="340"/>
      <c r="X110" s="340"/>
      <c r="Y110" s="340"/>
      <c r="Z110" s="340"/>
      <c r="AA110" s="340"/>
      <c r="AB110" s="340"/>
      <c r="AC110" s="340"/>
    </row>
    <row r="111" spans="1:29">
      <c r="A111" s="490"/>
      <c r="B111" s="367" t="s">
        <v>1079</v>
      </c>
      <c r="C111" s="2189" t="s">
        <v>1130</v>
      </c>
      <c r="D111" s="368"/>
      <c r="E111" s="368"/>
      <c r="F111" s="368"/>
      <c r="G111" s="368"/>
      <c r="H111" s="368"/>
      <c r="I111" s="368"/>
      <c r="J111" s="368"/>
      <c r="K111" s="440"/>
      <c r="L111" s="441"/>
      <c r="M111" s="442"/>
      <c r="N111" s="219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8"/>
      <c r="O112" s="439"/>
      <c r="P112" s="437"/>
      <c r="Q112" s="426"/>
      <c r="R112" s="340"/>
      <c r="S112" s="340"/>
      <c r="T112" s="340"/>
      <c r="U112" s="340"/>
      <c r="V112" s="340"/>
      <c r="W112" s="340"/>
      <c r="X112" s="340"/>
      <c r="Y112" s="340"/>
      <c r="Z112" s="340"/>
      <c r="AA112" s="340"/>
      <c r="AB112" s="340"/>
      <c r="AC112" s="340"/>
    </row>
    <row r="113" spans="1:29" s="201" customFormat="1">
      <c r="A113" s="492"/>
      <c r="B113" s="379" t="s">
        <v>1081</v>
      </c>
      <c r="C113" s="2190" t="s">
        <v>268</v>
      </c>
      <c r="D113" s="2190" t="s">
        <v>278</v>
      </c>
      <c r="E113" s="2190" t="s">
        <v>286</v>
      </c>
      <c r="F113" s="2190" t="s">
        <v>1131</v>
      </c>
      <c r="G113" s="2190"/>
      <c r="H113" s="368"/>
      <c r="I113" s="368"/>
      <c r="J113" s="368"/>
      <c r="K113" s="440"/>
      <c r="L113" s="441"/>
      <c r="M113" s="442"/>
      <c r="N113" s="219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9"/>
      <c r="O114" s="448"/>
      <c r="P114" s="449"/>
      <c r="Q114" s="474"/>
      <c r="R114" s="475"/>
      <c r="S114" s="475"/>
      <c r="T114" s="475"/>
      <c r="U114" s="475"/>
      <c r="V114" s="475"/>
      <c r="W114" s="475"/>
      <c r="X114" s="475"/>
      <c r="Y114" s="475"/>
      <c r="Z114" s="475"/>
      <c r="AA114" s="475"/>
      <c r="AB114" s="475"/>
      <c r="AC114" s="475"/>
    </row>
    <row r="115" spans="1:29">
      <c r="A115" s="490"/>
      <c r="B115" s="367" t="s">
        <v>1082</v>
      </c>
      <c r="C115" s="2191" t="s">
        <v>1128</v>
      </c>
      <c r="D115" s="374"/>
      <c r="E115" s="368"/>
      <c r="F115" s="368"/>
      <c r="G115" s="368"/>
      <c r="H115" s="368"/>
      <c r="I115" s="368"/>
      <c r="J115" s="368"/>
      <c r="K115" s="440"/>
      <c r="L115" s="441"/>
      <c r="M115" s="442"/>
      <c r="N115" s="219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9"/>
      <c r="O121" s="448"/>
      <c r="P121" s="449"/>
      <c r="Q121" s="474"/>
      <c r="R121" s="475"/>
      <c r="S121" s="475"/>
      <c r="T121" s="475"/>
      <c r="U121" s="475"/>
      <c r="V121" s="475"/>
      <c r="W121" s="475"/>
      <c r="X121" s="475"/>
      <c r="Y121" s="475"/>
      <c r="Z121" s="475"/>
      <c r="AA121" s="475"/>
      <c r="AB121" s="475"/>
      <c r="AC121" s="475"/>
    </row>
    <row r="122" spans="1:29" s="201" customFormat="1" ht="15">
      <c r="A122" s="561"/>
      <c r="B122" s="2192"/>
      <c r="C122" s="563"/>
      <c r="D122" s="563"/>
      <c r="E122" s="563"/>
      <c r="F122" s="563"/>
      <c r="G122" s="567"/>
      <c r="H122" s="567"/>
      <c r="I122" s="567"/>
      <c r="J122" s="567"/>
      <c r="K122" s="567"/>
      <c r="L122" s="567"/>
      <c r="M122" s="576"/>
      <c r="N122" s="219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698" customWidth="1"/>
    <col min="2" max="2" width="24.625" style="1697" customWidth="1"/>
    <col min="3" max="4" width="12" style="1699"/>
    <col min="5" max="5" width="14.625" style="1699" customWidth="1"/>
    <col min="6" max="8" width="12" style="1699"/>
    <col min="9" max="9" width="12.25" style="1699" customWidth="1"/>
    <col min="10" max="10" width="12" style="1699"/>
    <col min="11" max="11" width="9.625" style="1695" customWidth="1"/>
    <col min="12" max="12" width="15.75" style="1699" customWidth="1"/>
    <col min="13" max="14" width="10.625" style="1699" customWidth="1"/>
    <col min="15" max="17" width="12" style="1699"/>
    <col min="18" max="18" width="12" style="1698"/>
    <col min="19" max="22" width="15.5" style="1698" customWidth="1"/>
    <col min="23" max="28" width="12" style="1699"/>
    <col min="29" max="29" width="9.375" style="1698" customWidth="1"/>
    <col min="30" max="35" width="9.375" style="1700" customWidth="1"/>
    <col min="36" max="39" width="9.375" style="1698" customWidth="1"/>
    <col min="40" max="41" width="9.375" style="1699" customWidth="1"/>
    <col min="42" max="16384" width="12" style="1699"/>
  </cols>
  <sheetData>
    <row r="1" spans="1:39" ht="20.25">
      <c r="A1" s="1701" t="s">
        <v>1134</v>
      </c>
      <c r="B1" s="1702"/>
      <c r="C1" s="1703" t="s">
        <v>444</v>
      </c>
      <c r="D1" s="1704">
        <f>SUM(D33:D34,D37:D42)</f>
        <v>0</v>
      </c>
      <c r="E1" s="1703" t="s">
        <v>447</v>
      </c>
      <c r="F1" s="1705"/>
      <c r="G1" s="1706"/>
      <c r="H1" s="1706"/>
      <c r="I1" s="1706"/>
      <c r="J1" s="1706"/>
      <c r="K1" s="1913"/>
      <c r="L1" s="1914" t="s">
        <v>1135</v>
      </c>
      <c r="M1" s="1915">
        <f>SUMPRODUCT((区片价!B5:B9=I2)*(区片价!C3:G3=E2)*(区片价!C5:G9))</f>
        <v>0</v>
      </c>
      <c r="N1" s="1916">
        <f>SUMPRODUCT((因素修正幅度!B5:B9=I2)*(因素修正幅度!C3:G3=E2)*(因素修正幅度!C5:G9))</f>
        <v>0</v>
      </c>
      <c r="O1" s="1913"/>
      <c r="P1" s="1913"/>
      <c r="Q1" s="1913"/>
      <c r="R1" s="2017" t="s">
        <v>1136</v>
      </c>
      <c r="S1" s="2017" t="s">
        <v>1137</v>
      </c>
      <c r="T1" s="2017" t="s">
        <v>1138</v>
      </c>
      <c r="U1" s="2017" t="s">
        <v>1139</v>
      </c>
      <c r="V1" s="2017" t="s">
        <v>668</v>
      </c>
      <c r="W1" s="1913"/>
      <c r="X1" s="1913"/>
      <c r="Y1" s="1913"/>
      <c r="Z1" s="1913"/>
      <c r="AA1" s="1913"/>
      <c r="AB1" s="1913"/>
      <c r="AC1" s="2026"/>
    </row>
    <row r="2" spans="1:39" ht="15.75">
      <c r="A2" s="1703" t="s">
        <v>1140</v>
      </c>
      <c r="B2" s="1707" t="e">
        <f>C30</f>
        <v>#DIV/0!</v>
      </c>
      <c r="C2" s="1708" t="s">
        <v>997</v>
      </c>
      <c r="D2" s="1709" t="s">
        <v>352</v>
      </c>
      <c r="E2" s="1710"/>
      <c r="F2" s="1709" t="s">
        <v>215</v>
      </c>
      <c r="G2" s="1711">
        <f>IF(E2="商业",项目基本情况!B43,IF(E2="办公",项目基本情况!C43,IF(E2="住宅",项目基本情况!D43,IF(E2="工业",项目基本情况!E43,项目基本情况!F43))))</f>
        <v>0</v>
      </c>
      <c r="H2" s="1709" t="s">
        <v>478</v>
      </c>
      <c r="I2" s="1917">
        <f>IF(E2="商业",项目基本情况!B44,IF(E2="办公",项目基本情况!C44,IF(E2="住宅",项目基本情况!D44,IF(E2="工业",项目基本情况!E44,项目基本情况!F44))))</f>
        <v>0</v>
      </c>
      <c r="J2" s="1918"/>
      <c r="K2" s="1919"/>
      <c r="L2" s="1920" t="s">
        <v>1141</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75">
      <c r="A3" s="1712" t="s">
        <v>963</v>
      </c>
      <c r="B3" s="1707" t="e">
        <f>ROUND(B2*10000/D1,0)</f>
        <v>#DIV/0!</v>
      </c>
      <c r="C3" s="1708" t="s">
        <v>1142</v>
      </c>
      <c r="D3" s="1709" t="s">
        <v>1143</v>
      </c>
      <c r="E3" s="1713"/>
      <c r="F3" s="1714"/>
      <c r="G3" s="1715">
        <f>IF(F3="宗地容积率",'数据-汇总表'!I4,IF(F3="估价对象容积率",'数据-汇总表'!I6,'数据-汇总表'!I7))</f>
        <v>0</v>
      </c>
      <c r="H3" s="1716" t="s">
        <v>1144</v>
      </c>
      <c r="I3" s="1923"/>
      <c r="J3" s="1918" t="s">
        <v>1145</v>
      </c>
      <c r="K3" s="1919"/>
      <c r="L3" s="1920" t="s">
        <v>1146</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28.5">
      <c r="A4" s="1717" t="s">
        <v>1147</v>
      </c>
      <c r="B4" s="1718" t="e">
        <f>ROUND(B2*10000/F1,0)</f>
        <v>#DIV/0!</v>
      </c>
      <c r="C4" s="1719" t="s">
        <v>1142</v>
      </c>
      <c r="D4" s="1719" t="e">
        <f>ROUND(B2/(F1/666.67),0)</f>
        <v>#DIV/0!</v>
      </c>
      <c r="E4" s="1719" t="s">
        <v>1148</v>
      </c>
      <c r="F4" s="1720"/>
      <c r="G4" s="1720"/>
      <c r="H4" s="1720"/>
      <c r="I4" s="1720"/>
      <c r="J4" s="1924"/>
      <c r="K4" s="1925"/>
      <c r="L4" s="1920" t="s">
        <v>1149</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897</v>
      </c>
      <c r="B5" s="1722" t="s">
        <v>1150</v>
      </c>
      <c r="C5" s="1723" t="e">
        <f>ROUND(IF(E2="商业",C6*C7*C17+C20,(IF(E2="住宅",C6*C13*C17+C20,IF(E2="办公",C6*C12*C17+C20,C6+C20)))),0)</f>
        <v>#DIV/0!</v>
      </c>
      <c r="D5" s="1724" t="e">
        <f>ROUND(C6*C17+C20,0)</f>
        <v>#DIV/0!</v>
      </c>
      <c r="E5" s="1724"/>
      <c r="F5" s="1725"/>
      <c r="G5" s="1726"/>
      <c r="H5" s="1726"/>
      <c r="I5" s="1726"/>
      <c r="J5" s="1926"/>
      <c r="K5" s="1927"/>
      <c r="L5" s="1920" t="s">
        <v>1151</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1152</v>
      </c>
      <c r="B6" s="1728" t="s">
        <v>1150</v>
      </c>
      <c r="C6" s="1729">
        <f>SUMIF(L1:L12,G2,M1:M12)</f>
        <v>0</v>
      </c>
      <c r="D6" s="1730" t="s">
        <v>1153</v>
      </c>
      <c r="E6" s="1728"/>
      <c r="F6" s="1728"/>
      <c r="G6" s="1731"/>
      <c r="H6" s="1731"/>
      <c r="I6" s="1731"/>
      <c r="J6" s="1929"/>
      <c r="K6" s="1930"/>
      <c r="L6" s="1920" t="s">
        <v>1154</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15">
      <c r="A7" s="1732" t="s">
        <v>1155</v>
      </c>
      <c r="B7" s="1733" t="s">
        <v>1156</v>
      </c>
      <c r="C7" s="1734" t="e">
        <f>IF(C8="不临65条商业街",1,ROUND(1+(1.6*E8+1.2*E9+0.8*E10+0.4*E11)*C9,4))</f>
        <v>#DIV/0!</v>
      </c>
      <c r="D7" s="1735" t="s">
        <v>1157</v>
      </c>
      <c r="E7" s="1736"/>
      <c r="F7" s="1737"/>
      <c r="G7" s="1737"/>
      <c r="H7" s="1737"/>
      <c r="I7" s="1737"/>
      <c r="J7" s="1932"/>
      <c r="K7" s="1930"/>
      <c r="L7" s="1920" t="s">
        <v>1158</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1159</v>
      </c>
      <c r="X7" s="2021">
        <f>G2</f>
        <v>0</v>
      </c>
      <c r="Y7" s="2021" t="s">
        <v>1160</v>
      </c>
      <c r="Z7" s="2030">
        <f>G3</f>
        <v>0</v>
      </c>
      <c r="AA7" s="2023"/>
      <c r="AB7" s="2023"/>
      <c r="AC7" s="1961"/>
      <c r="AD7" s="2031"/>
      <c r="AE7" s="2031"/>
      <c r="AF7" s="2031"/>
      <c r="AG7" s="2031"/>
      <c r="AH7" s="2031"/>
      <c r="AI7" s="2031"/>
      <c r="AJ7" s="2039"/>
    </row>
    <row r="8" spans="1:39" ht="15">
      <c r="A8" s="1738"/>
      <c r="B8" s="1716" t="s">
        <v>1161</v>
      </c>
      <c r="C8" s="1739"/>
      <c r="D8" s="1740" t="s">
        <v>1162</v>
      </c>
      <c r="E8" s="1741" t="e">
        <f>ROUND(C11/E7,4)</f>
        <v>#DIV/0!</v>
      </c>
      <c r="F8" s="1742" t="s">
        <v>1163</v>
      </c>
      <c r="G8" s="1743"/>
      <c r="H8" s="1743"/>
      <c r="I8" s="1743"/>
      <c r="J8" s="1933"/>
      <c r="K8" s="1930"/>
      <c r="L8" s="1920" t="s">
        <v>1164</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76" t="s">
        <v>1165</v>
      </c>
      <c r="X8" s="3877"/>
      <c r="Y8" s="1848" t="s">
        <v>1166</v>
      </c>
      <c r="Z8" s="1848" t="s">
        <v>1167</v>
      </c>
      <c r="AA8" s="1848" t="s">
        <v>1168</v>
      </c>
      <c r="AB8" s="1848" t="s">
        <v>1169</v>
      </c>
      <c r="AC8" s="1848" t="s">
        <v>1170</v>
      </c>
      <c r="AD8" s="1848" t="s">
        <v>1171</v>
      </c>
      <c r="AE8" s="1848" t="s">
        <v>1172</v>
      </c>
      <c r="AF8" s="1848" t="s">
        <v>1173</v>
      </c>
      <c r="AG8" s="1848" t="s">
        <v>1174</v>
      </c>
      <c r="AH8" s="1848" t="s">
        <v>1175</v>
      </c>
      <c r="AI8" s="1848" t="s">
        <v>1176</v>
      </c>
      <c r="AJ8" s="1848" t="s">
        <v>1177</v>
      </c>
    </row>
    <row r="9" spans="1:39" ht="15">
      <c r="A9" s="1738"/>
      <c r="B9" s="1716" t="s">
        <v>1178</v>
      </c>
      <c r="C9" s="1744">
        <f>SUMIF(修正!C71:C139,C8,修正!E71:E139)</f>
        <v>0</v>
      </c>
      <c r="D9" s="1745" t="s">
        <v>1179</v>
      </c>
      <c r="E9" s="1745" t="e">
        <f>ROUND(C11/E7,4)</f>
        <v>#DIV/0!</v>
      </c>
      <c r="F9" s="1742" t="s">
        <v>1180</v>
      </c>
      <c r="G9" s="1743"/>
      <c r="H9" s="1743"/>
      <c r="I9" s="1743"/>
      <c r="J9" s="1933"/>
      <c r="K9" s="1930"/>
      <c r="L9" s="1920" t="s">
        <v>1181</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90"/>
      <c r="X9" s="2022" t="s">
        <v>1182</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1183</v>
      </c>
      <c r="C10" s="1745">
        <f>SUMIF(修正!C71:C139,C8,修正!F71:F139)</f>
        <v>0</v>
      </c>
      <c r="D10" s="1745" t="s">
        <v>1184</v>
      </c>
      <c r="E10" s="1745" t="e">
        <f>ROUND(C11/E7,4)</f>
        <v>#DIV/0!</v>
      </c>
      <c r="F10" s="1742" t="s">
        <v>1185</v>
      </c>
      <c r="G10" s="1743"/>
      <c r="H10" s="1743"/>
      <c r="I10" s="1743"/>
      <c r="J10" s="1933"/>
      <c r="K10" s="1930"/>
      <c r="L10" s="1920" t="s">
        <v>1186</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90"/>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1187</v>
      </c>
      <c r="C11" s="1747">
        <f>C10/4</f>
        <v>0</v>
      </c>
      <c r="D11" s="1747" t="s">
        <v>1188</v>
      </c>
      <c r="E11" s="1747" t="e">
        <f>ROUND(C11/E7,4)</f>
        <v>#DIV/0!</v>
      </c>
      <c r="F11" s="1748" t="s">
        <v>1189</v>
      </c>
      <c r="G11" s="1749"/>
      <c r="H11" s="1749"/>
      <c r="I11" s="1749"/>
      <c r="J11" s="1934"/>
      <c r="K11" s="1930"/>
      <c r="L11" s="1920" t="s">
        <v>1190</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4.75">
      <c r="A12" s="1732" t="s">
        <v>950</v>
      </c>
      <c r="B12" s="1750" t="s">
        <v>1191</v>
      </c>
      <c r="C12" s="1751">
        <v>1.02</v>
      </c>
      <c r="D12" s="1752" t="s">
        <v>1192</v>
      </c>
      <c r="E12" s="1753" t="s">
        <v>1193</v>
      </c>
      <c r="F12" s="1754"/>
      <c r="G12" s="1755"/>
      <c r="H12" s="1755"/>
      <c r="I12" s="1755"/>
      <c r="J12" s="1935"/>
      <c r="K12" s="1930"/>
      <c r="L12" s="1936" t="s">
        <v>1194</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15">
      <c r="A13" s="1732" t="s">
        <v>953</v>
      </c>
      <c r="B13" s="1756" t="s">
        <v>1195</v>
      </c>
      <c r="C13" s="1734">
        <f>ROUND(C16*D16*E16*F16*G16*H16*I16*J16,4)</f>
        <v>0</v>
      </c>
      <c r="D13" s="1757" t="s">
        <v>1196</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1197</v>
      </c>
      <c r="C14" s="1602" t="s">
        <v>1198</v>
      </c>
      <c r="D14" s="1577" t="s">
        <v>1199</v>
      </c>
      <c r="E14" s="1072" t="s">
        <v>1200</v>
      </c>
      <c r="F14" s="1760" t="s">
        <v>1201</v>
      </c>
      <c r="G14" s="1760" t="s">
        <v>1201</v>
      </c>
      <c r="H14" s="1761" t="s">
        <v>1201</v>
      </c>
      <c r="I14" s="1941" t="s">
        <v>1201</v>
      </c>
      <c r="J14" s="1941" t="s">
        <v>1201</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1202</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1203</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957</v>
      </c>
      <c r="B17" s="1769" t="s">
        <v>1204</v>
      </c>
      <c r="C17" s="1770">
        <f>ROUND(IF(OR(E2="工业",E2="公共服务"),1,IF(AND(E18=0,E19=0),1,IF(AND(E18=J24,E19=G19),0.8,IF(E19=0,1+E17*(-0.2),1+E17*G17*(-0.2))))),4)</f>
        <v>1</v>
      </c>
      <c r="D17" s="1771" t="s">
        <v>1205</v>
      </c>
      <c r="E17" s="1770" t="e">
        <f>ROUND(G18/I18,2)</f>
        <v>#DIV/0!</v>
      </c>
      <c r="F17" s="1771" t="s">
        <v>1206</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25">
      <c r="A18" s="1759"/>
      <c r="B18" s="1574"/>
      <c r="C18" s="1772"/>
      <c r="D18" s="1773" t="s">
        <v>1207</v>
      </c>
      <c r="E18" s="1774"/>
      <c r="F18" s="1775" t="s">
        <v>1208</v>
      </c>
      <c r="G18" s="1772">
        <f>ROUND(1-(1/(POWER(1+G24,E18))),4)</f>
        <v>0</v>
      </c>
      <c r="H18" s="1775" t="s">
        <v>1209</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25">
      <c r="A19" s="1776"/>
      <c r="B19" s="1580"/>
      <c r="C19" s="1777"/>
      <c r="D19" s="1777" t="s">
        <v>1210</v>
      </c>
      <c r="E19" s="1778"/>
      <c r="F19" s="1779" t="s">
        <v>1211</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25">
      <c r="A20" s="3882" t="s">
        <v>958</v>
      </c>
      <c r="B20" s="1733" t="s">
        <v>1212</v>
      </c>
      <c r="C20" s="1780" t="e">
        <f>ROUND(IF(F21="与级别开发程度一致",0,(G21-E21)/C21),0)</f>
        <v>#DIV/0!</v>
      </c>
      <c r="D20" s="3878" t="s">
        <v>1213</v>
      </c>
      <c r="E20" s="3879"/>
      <c r="F20" s="3878" t="s">
        <v>1214</v>
      </c>
      <c r="G20" s="3879"/>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25">
      <c r="A21" s="3883"/>
      <c r="B21" s="1782" t="s">
        <v>1215</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5">
      <c r="A22" s="1788" t="s">
        <v>906</v>
      </c>
      <c r="B22" s="1789" t="s">
        <v>1216</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7">
      <c r="A23" s="1795" t="s">
        <v>911</v>
      </c>
      <c r="B23" s="1796" t="s">
        <v>1217</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1218</v>
      </c>
      <c r="E23" s="1799">
        <v>44197</v>
      </c>
      <c r="F23" s="1798" t="s">
        <v>417</v>
      </c>
      <c r="G23" s="1800">
        <f>'数据-取费表'!B2</f>
        <v>45257</v>
      </c>
      <c r="H23" s="1801" t="s">
        <v>1219</v>
      </c>
      <c r="I23" s="1955" t="str">
        <f>IF(H23="季度增幅（自定义）",SUMIF(N25:N28,E2,O25:O28),"")</f>
        <v/>
      </c>
      <c r="J23" s="1956"/>
      <c r="K23" s="1927"/>
      <c r="L23" s="1957" t="s">
        <v>1220</v>
      </c>
      <c r="M23" s="1958">
        <f>ROUND(SUMIF(地价!B2:F2,E2,地价!B41:F41),0)</f>
        <v>0</v>
      </c>
      <c r="N23" s="1959" t="s">
        <v>1221</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4">
      <c r="A24" s="1788" t="s">
        <v>914</v>
      </c>
      <c r="B24" s="1802" t="s">
        <v>360</v>
      </c>
      <c r="C24" s="1803" t="e">
        <f>ROUND(POWER(1+G24,J24-I24)*(POWER(1+G24,I24)-1)/(POWER(1+G24,J24)-1),4)</f>
        <v>#DIV/0!</v>
      </c>
      <c r="D24" s="1804" t="s">
        <v>1222</v>
      </c>
      <c r="E24" s="1805">
        <f>存贷款利率!E24/100</f>
        <v>4.3499999999999997E-2</v>
      </c>
      <c r="F24" s="1804" t="s">
        <v>1223</v>
      </c>
      <c r="G24" s="1806">
        <f>SUMIF(M30:Q30,E2,M33:Q33)</f>
        <v>0</v>
      </c>
      <c r="H24" s="1804" t="s">
        <v>1224</v>
      </c>
      <c r="I24" s="1962" t="e">
        <f>SUMIF('数据-取费表'!C6:C15,E2,'数据-取费表'!F6:F15)/COUNTIF('数据-取费表'!C6:C15,E2)</f>
        <v>#DIV/0!</v>
      </c>
      <c r="J24" s="1963">
        <f>IF(E2="住宅",70,IF(E2="商业",40,50))</f>
        <v>50</v>
      </c>
      <c r="K24" s="1946"/>
      <c r="L24" s="1964" t="s">
        <v>1225</v>
      </c>
      <c r="M24" s="1965">
        <f>ROUND(SUMPRODUCT((地价!A4:A41=YEAR(G23)&amp;"-"&amp;ROUNDUP(MONTH(G23)/3,0))*(地价!B2:F2=E2)*(地价!B4:F41)),0)</f>
        <v>0</v>
      </c>
      <c r="N24" s="1966" t="s">
        <v>1226</v>
      </c>
      <c r="O24" s="1967" t="s">
        <v>1227</v>
      </c>
      <c r="P24" s="1968" t="s">
        <v>1228</v>
      </c>
      <c r="Q24" s="2025"/>
      <c r="R24" s="1978"/>
      <c r="S24" s="1978"/>
      <c r="T24" s="1978"/>
      <c r="U24" s="1978"/>
      <c r="V24" s="1978"/>
      <c r="W24" s="1978"/>
      <c r="X24" s="1978"/>
      <c r="Y24" s="2035"/>
      <c r="Z24" s="2035"/>
      <c r="AA24" s="2035"/>
      <c r="AB24" s="2035"/>
      <c r="AC24" s="2035"/>
      <c r="AD24" s="2035"/>
    </row>
    <row r="25" spans="1:40" ht="14.25">
      <c r="A25" s="1807" t="s">
        <v>938</v>
      </c>
      <c r="B25" s="1808" t="s">
        <v>176</v>
      </c>
      <c r="C25" s="1809">
        <f>IF(B25="容积率修正",IF(G3&lt;10,D26,J26),C27)</f>
        <v>0</v>
      </c>
      <c r="D25" s="1810"/>
      <c r="E25" s="1810"/>
      <c r="F25" s="1810"/>
      <c r="G25" s="1810"/>
      <c r="H25" s="1810"/>
      <c r="I25" s="1810"/>
      <c r="J25" s="1969"/>
      <c r="K25" s="1927"/>
      <c r="L25" s="1810"/>
      <c r="M25" s="1810"/>
      <c r="N25" s="1970" t="s">
        <v>435</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25">
      <c r="A26" s="1811" t="s">
        <v>1152</v>
      </c>
      <c r="B26" s="1812" t="s">
        <v>1229</v>
      </c>
      <c r="C26" s="1813" t="s">
        <v>1230</v>
      </c>
      <c r="D26" s="1814">
        <f>IF(E26=G26,F26,IF(G3&lt;10,ROUND(F26+(H26-F26)*(G3-E26)/(G26-E26),4),"——"))</f>
        <v>0</v>
      </c>
      <c r="E26" s="1715">
        <f>ROUNDDOWN(G3,1)</f>
        <v>0</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0</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1231</v>
      </c>
      <c r="J26" s="1814" t="str">
        <f>IF(G3&gt;=10,D116,"——")</f>
        <v>——</v>
      </c>
      <c r="K26" s="1973"/>
      <c r="L26" s="1810"/>
      <c r="M26" s="1810"/>
      <c r="N26" s="1970" t="s">
        <v>436</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5">
      <c r="A27" s="1811" t="s">
        <v>1155</v>
      </c>
      <c r="B27" s="1812" t="s">
        <v>1232</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5">
      <c r="A28" s="1820" t="s">
        <v>1233</v>
      </c>
      <c r="B28" s="1722" t="s">
        <v>1234</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25">
      <c r="A29" s="1820" t="s">
        <v>1235</v>
      </c>
      <c r="B29" s="1824" t="s">
        <v>1236</v>
      </c>
      <c r="C29" s="1825"/>
      <c r="D29" s="1826"/>
      <c r="E29" s="1826"/>
      <c r="F29" s="1827"/>
      <c r="G29" s="1826"/>
      <c r="H29" s="1826"/>
      <c r="I29" s="1826"/>
      <c r="J29" s="1977"/>
      <c r="K29" s="1930"/>
      <c r="L29" s="1978"/>
      <c r="M29" s="1978"/>
      <c r="N29" s="1979" t="s">
        <v>1113</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3.5">
      <c r="A30" s="1828"/>
      <c r="B30" s="1812" t="s">
        <v>1237</v>
      </c>
      <c r="C30" s="1829" t="e">
        <f>IF(B25="容积率修正",E33+SUM(E37:E42),SUM(V2:V16)+SUM(E37:E42))</f>
        <v>#DIV/0!</v>
      </c>
      <c r="D30" s="1830"/>
      <c r="E30" s="1831"/>
      <c r="F30" s="1832"/>
      <c r="G30" s="1831"/>
      <c r="H30" s="1831"/>
      <c r="I30" s="1831"/>
      <c r="J30" s="1982"/>
      <c r="K30" s="1930"/>
      <c r="L30" s="1983" t="s">
        <v>352</v>
      </c>
      <c r="M30" s="1984" t="s">
        <v>435</v>
      </c>
      <c r="N30" s="1984" t="s">
        <v>436</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3.5">
      <c r="A31" s="1828"/>
      <c r="B31" s="1833" t="s">
        <v>1238</v>
      </c>
      <c r="C31" s="1834" t="e">
        <f>E34+SUM(I37:I42)</f>
        <v>#DIV/0!</v>
      </c>
      <c r="D31" s="1835"/>
      <c r="E31" s="1836"/>
      <c r="F31" s="1837"/>
      <c r="G31" s="1836"/>
      <c r="H31" s="1836"/>
      <c r="I31" s="1836"/>
      <c r="J31" s="1986"/>
      <c r="K31" s="1930"/>
      <c r="L31" s="1987" t="s">
        <v>1239</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3.5">
      <c r="A32" s="1838"/>
      <c r="B32" s="1839" t="s">
        <v>1240</v>
      </c>
      <c r="C32" s="1840" t="s">
        <v>1241</v>
      </c>
      <c r="D32" s="1840" t="s">
        <v>444</v>
      </c>
      <c r="E32" s="1841" t="s">
        <v>668</v>
      </c>
      <c r="F32" s="1842"/>
      <c r="G32" s="1843"/>
      <c r="H32" s="1843"/>
      <c r="I32" s="1843"/>
      <c r="J32" s="1990"/>
      <c r="K32" s="1930"/>
      <c r="L32" s="1991" t="s">
        <v>1223</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2.75">
      <c r="A33" s="1844"/>
      <c r="B33" s="1845" t="s">
        <v>1242</v>
      </c>
      <c r="C33" s="1846" t="e">
        <f>ROUND(C5*C22*C23*C24*C25*C28,0)</f>
        <v>#DIV/0!</v>
      </c>
      <c r="D33" s="1847"/>
      <c r="E33" s="1848" t="e">
        <f>ROUND(C33*D33/10000,0)</f>
        <v>#DIV/0!</v>
      </c>
      <c r="F33" s="1849" t="s">
        <v>1243</v>
      </c>
      <c r="G33" s="1850"/>
      <c r="H33" s="1850"/>
      <c r="I33" s="1850"/>
      <c r="J33" s="1994"/>
      <c r="K33" s="1995"/>
      <c r="L33" s="1996" t="s">
        <v>1244</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12.75">
      <c r="A34" s="1851"/>
      <c r="B34" s="1852" t="s">
        <v>1245</v>
      </c>
      <c r="C34" s="1787" t="e">
        <f>ROUND(IF(E2="工业",C33*M42,IF(B25="楼层修正",SUM(V2:V16)*M41*10000/D34,C33*M41)),0)</f>
        <v>#DIV/0!</v>
      </c>
      <c r="D34" s="1853"/>
      <c r="E34" s="1848" t="e">
        <f>ROUND(IF(B25="楼层修正",SUM(V2:V16)*#REF!,C34*D34/10000),0)</f>
        <v>#DIV/0!</v>
      </c>
      <c r="F34" s="1854" t="s">
        <v>1246</v>
      </c>
      <c r="G34" s="1855"/>
      <c r="H34" s="1855"/>
      <c r="I34" s="1855"/>
      <c r="J34" s="1998"/>
      <c r="K34" s="1930"/>
      <c r="L34" s="1996" t="s">
        <v>1247</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1248</v>
      </c>
      <c r="C35" s="1858" t="s">
        <v>1249</v>
      </c>
      <c r="D35" s="1843"/>
      <c r="E35" s="1858"/>
      <c r="F35" s="1858"/>
      <c r="G35" s="1859" t="s">
        <v>1250</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24">
      <c r="A36" s="1844"/>
      <c r="B36" s="1860"/>
      <c r="C36" s="1861" t="s">
        <v>1241</v>
      </c>
      <c r="D36" s="1862" t="s">
        <v>444</v>
      </c>
      <c r="E36" s="1862" t="s">
        <v>668</v>
      </c>
      <c r="F36" s="1704" t="s">
        <v>1251</v>
      </c>
      <c r="G36" s="1863" t="s">
        <v>1241</v>
      </c>
      <c r="H36" s="1863" t="s">
        <v>444</v>
      </c>
      <c r="I36" s="1863" t="s">
        <v>668</v>
      </c>
      <c r="J36" s="2000"/>
      <c r="K36" s="2001" t="s">
        <v>1252</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12.75">
      <c r="A37" s="3884"/>
      <c r="B37" s="1864" t="s">
        <v>1253</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4"/>
      <c r="K37" s="2004" t="s">
        <v>1254</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2.75">
      <c r="A38" s="3885"/>
      <c r="B38" s="1867" t="s">
        <v>1255</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5"/>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2.75">
      <c r="A39" s="3885"/>
      <c r="B39" s="1868" t="s">
        <v>1256</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5"/>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2.75">
      <c r="A40" s="1869"/>
      <c r="B40" s="1867" t="s">
        <v>1257</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1258</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2.75">
      <c r="A41" s="1869"/>
      <c r="B41" s="1867" t="s">
        <v>1259</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1260</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2.75">
      <c r="A42" s="1851"/>
      <c r="B42" s="1870" t="s">
        <v>1261</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1262</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12.75">
      <c r="A44" s="1700"/>
      <c r="B44" s="1874" t="s">
        <v>1263</v>
      </c>
      <c r="C44" s="1154" t="e">
        <f>ROUND(POWER(1+E44,H44-G44)*(POWER(1+E44,G44)-1)/(POWER(1+E44,H44)-1),4)</f>
        <v>#DIV/0!</v>
      </c>
      <c r="D44" s="1875" t="s">
        <v>1264</v>
      </c>
      <c r="E44" s="1876">
        <f>G24</f>
        <v>0</v>
      </c>
      <c r="F44" s="1875" t="s">
        <v>1265</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25">
      <c r="A47" s="1879" t="s">
        <v>1266</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5">
      <c r="A48" s="1883" t="s">
        <v>435</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1267</v>
      </c>
      <c r="B49" s="1890" t="s">
        <v>1268</v>
      </c>
      <c r="C49" s="1891" t="s">
        <v>1269</v>
      </c>
      <c r="D49" s="1892" t="s">
        <v>1270</v>
      </c>
      <c r="E49" s="1893" t="s">
        <v>1271</v>
      </c>
      <c r="F49" s="1894" t="s">
        <v>1272</v>
      </c>
      <c r="G49" s="1892" t="s">
        <v>1273</v>
      </c>
      <c r="H49" s="1895" t="s">
        <v>1274</v>
      </c>
      <c r="I49" s="1892" t="s">
        <v>1275</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1276</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36">
      <c r="A51" s="1889" t="s">
        <v>715</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36">
      <c r="A52" s="1904" t="s">
        <v>1277</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1278</v>
      </c>
      <c r="B53" s="1905" t="s">
        <v>1279</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1280</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24">
      <c r="A55" s="1889" t="s">
        <v>1281</v>
      </c>
      <c r="B55" s="1906" t="s">
        <v>1282</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1283</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1284</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24">
      <c r="A58" s="1909" t="s">
        <v>1285</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5">
      <c r="A59" s="1883" t="s">
        <v>436</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1267</v>
      </c>
      <c r="B60" s="1890"/>
      <c r="C60" s="1891" t="s">
        <v>1269</v>
      </c>
      <c r="D60" s="1892" t="s">
        <v>1270</v>
      </c>
      <c r="E60" s="1893" t="s">
        <v>1271</v>
      </c>
      <c r="F60" s="1894" t="s">
        <v>1272</v>
      </c>
      <c r="G60" s="1892" t="s">
        <v>1273</v>
      </c>
      <c r="H60" s="1895" t="s">
        <v>1274</v>
      </c>
      <c r="I60" s="1892" t="s">
        <v>1275</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717</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36">
      <c r="A62" s="1889" t="s">
        <v>715</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36">
      <c r="A63" s="1904" t="s">
        <v>1277</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1278</v>
      </c>
      <c r="B64" s="1905" t="s">
        <v>1279</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1280</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24">
      <c r="A66" s="1889" t="s">
        <v>1281</v>
      </c>
      <c r="B66" s="1906" t="s">
        <v>1282</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1283</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1284</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24">
      <c r="A69" s="1909" t="s">
        <v>1285</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5">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1267</v>
      </c>
      <c r="B71" s="1890"/>
      <c r="C71" s="1891" t="s">
        <v>1269</v>
      </c>
      <c r="D71" s="1892" t="s">
        <v>1270</v>
      </c>
      <c r="E71" s="1893" t="s">
        <v>1271</v>
      </c>
      <c r="F71" s="1894" t="s">
        <v>1272</v>
      </c>
      <c r="G71" s="1892" t="s">
        <v>1273</v>
      </c>
      <c r="H71" s="1895" t="s">
        <v>1274</v>
      </c>
      <c r="I71" s="1892" t="s">
        <v>1275</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709</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36">
      <c r="A73" s="1889" t="s">
        <v>715</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36">
      <c r="A74" s="1904" t="s">
        <v>1277</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4.25">
      <c r="A75" s="1889" t="s">
        <v>1286</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1283</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1284</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24">
      <c r="A78" s="1889" t="s">
        <v>1281</v>
      </c>
      <c r="B78" s="1906" t="s">
        <v>1282</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24">
      <c r="A79" s="1889" t="s">
        <v>1285</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24">
      <c r="A80" s="1909" t="s">
        <v>1287</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5">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1267</v>
      </c>
      <c r="B82" s="1890"/>
      <c r="C82" s="1891" t="s">
        <v>1269</v>
      </c>
      <c r="D82" s="1892" t="s">
        <v>1270</v>
      </c>
      <c r="E82" s="1893" t="s">
        <v>1271</v>
      </c>
      <c r="F82" s="1894" t="s">
        <v>1272</v>
      </c>
      <c r="G82" s="1892" t="s">
        <v>1273</v>
      </c>
      <c r="H82" s="1895" t="s">
        <v>1274</v>
      </c>
      <c r="I82" s="1892" t="s">
        <v>1275</v>
      </c>
      <c r="J82" s="2013" t="s">
        <v>248</v>
      </c>
      <c r="K82" s="2013" t="s">
        <v>260</v>
      </c>
      <c r="L82" s="2013" t="s">
        <v>270</v>
      </c>
      <c r="M82" s="2013" t="s">
        <v>280</v>
      </c>
      <c r="N82" s="2013" t="s">
        <v>287</v>
      </c>
      <c r="AE82" s="1696"/>
      <c r="AF82" s="1696"/>
      <c r="AG82" s="1696"/>
      <c r="AH82" s="1696"/>
      <c r="AI82" s="1696"/>
      <c r="AJ82" s="1696"/>
    </row>
    <row r="83" spans="1:36" s="1697" customFormat="1" ht="24">
      <c r="A83" s="1889" t="s">
        <v>711</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36">
      <c r="A84" s="1889" t="s">
        <v>715</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727</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4.25">
      <c r="A86" s="1889" t="s">
        <v>1286</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1283</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1284</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24">
      <c r="A89" s="1889" t="s">
        <v>1281</v>
      </c>
      <c r="B89" s="1906" t="s">
        <v>1282</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721</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5">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1288</v>
      </c>
      <c r="B92" s="2051"/>
      <c r="C92" s="2051" t="s">
        <v>1289</v>
      </c>
      <c r="D92" s="2051" t="s">
        <v>1290</v>
      </c>
      <c r="E92" s="2052" t="s">
        <v>1291</v>
      </c>
      <c r="F92" s="2053" t="s">
        <v>1272</v>
      </c>
      <c r="G92" s="1892" t="s">
        <v>1273</v>
      </c>
      <c r="H92" s="1895" t="s">
        <v>1274</v>
      </c>
      <c r="I92" s="1892" t="s">
        <v>1275</v>
      </c>
      <c r="J92" s="2013" t="s">
        <v>248</v>
      </c>
      <c r="K92" s="2013" t="s">
        <v>260</v>
      </c>
      <c r="L92" s="2013" t="s">
        <v>270</v>
      </c>
      <c r="M92" s="2013" t="s">
        <v>280</v>
      </c>
      <c r="N92" s="2013" t="s">
        <v>287</v>
      </c>
      <c r="AE92" s="1696"/>
      <c r="AF92" s="1696"/>
      <c r="AG92" s="1696"/>
      <c r="AH92" s="1696"/>
      <c r="AI92" s="1696"/>
      <c r="AJ92" s="1696"/>
    </row>
    <row r="93" spans="1:36" s="1697" customFormat="1" ht="24">
      <c r="A93" s="2054" t="s">
        <v>1292</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36">
      <c r="A94" s="2051" t="s">
        <v>1293</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36">
      <c r="A95" s="2054" t="s">
        <v>1277</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6.75">
      <c r="A96" s="2051" t="s">
        <v>1294</v>
      </c>
      <c r="B96" s="2057" t="s">
        <v>1295</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1296</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24">
      <c r="A98" s="2051" t="s">
        <v>1297</v>
      </c>
      <c r="B98" s="1905" t="s">
        <v>1282</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1298</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1299</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24">
      <c r="A101" s="2051" t="s">
        <v>1300</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4.25">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80" t="s">
        <v>1301</v>
      </c>
      <c r="B104" s="3880"/>
      <c r="C104" s="3880"/>
      <c r="D104" s="3880"/>
      <c r="E104" s="3880"/>
      <c r="F104" s="3880"/>
      <c r="G104" s="3880"/>
      <c r="H104" s="3880"/>
      <c r="I104" s="3880"/>
      <c r="J104" s="3880"/>
      <c r="K104" s="1693"/>
      <c r="L104" s="1693"/>
      <c r="M104" s="1693"/>
      <c r="N104" s="1693"/>
    </row>
    <row r="105" spans="1:36">
      <c r="A105" s="3886" t="s">
        <v>352</v>
      </c>
      <c r="B105" s="3886" t="s">
        <v>1302</v>
      </c>
      <c r="C105" s="2062" t="s">
        <v>1137</v>
      </c>
      <c r="D105" s="2063"/>
      <c r="E105" s="2063"/>
      <c r="F105" s="2063"/>
      <c r="G105" s="2063"/>
      <c r="H105" s="2063"/>
      <c r="I105" s="2063"/>
      <c r="J105" s="2090"/>
      <c r="K105" s="1657"/>
      <c r="L105" s="1657"/>
      <c r="M105" s="1657"/>
      <c r="N105" s="1657"/>
    </row>
    <row r="106" spans="1:36">
      <c r="A106" s="3886"/>
      <c r="B106" s="3886"/>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87" t="s">
        <v>1303</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88"/>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88"/>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88"/>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88"/>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88"/>
      <c r="B112" s="2064" t="s">
        <v>1304</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89"/>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1" t="s">
        <v>1305</v>
      </c>
      <c r="B114" s="3881"/>
      <c r="C114" s="3881"/>
      <c r="D114" s="3881"/>
      <c r="E114" s="3881"/>
      <c r="F114" s="3881"/>
      <c r="G114" s="3881"/>
      <c r="H114" s="3881"/>
      <c r="I114" s="3881"/>
      <c r="J114" s="3881"/>
      <c r="K114" s="2068"/>
      <c r="L114" s="2068"/>
      <c r="M114" s="2068"/>
      <c r="N114" s="2068"/>
    </row>
    <row r="117" spans="1:14" ht="24.75">
      <c r="A117" s="2069" t="s">
        <v>1306</v>
      </c>
      <c r="B117" s="2070">
        <f>G3</f>
        <v>0</v>
      </c>
      <c r="C117" s="2071" t="s">
        <v>1307</v>
      </c>
      <c r="D117" s="2072" t="e">
        <f>SUMPRODUCT((A118:A122=F116)*(B117:M117=H116)*B118:M122)</f>
        <v>#VALUE!</v>
      </c>
      <c r="E117" s="2073" t="s">
        <v>352</v>
      </c>
      <c r="F117" s="2074">
        <f>E2</f>
        <v>0</v>
      </c>
      <c r="G117" s="2073" t="s">
        <v>215</v>
      </c>
      <c r="H117" s="2074">
        <f>G2</f>
        <v>0</v>
      </c>
      <c r="I117" s="2073"/>
      <c r="J117" s="1541"/>
      <c r="K117" s="1541"/>
      <c r="L117" s="1541"/>
      <c r="M117" s="1541"/>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1308</v>
      </c>
      <c r="B119" s="2080">
        <f>ROUND(0.9968-0.011*B117,4)</f>
        <v>0.99680000000000002</v>
      </c>
      <c r="C119" s="2080">
        <f>B119</f>
        <v>0.99680000000000002</v>
      </c>
      <c r="D119" s="2080">
        <f>ROUND(0.949-0.014*B117,4)</f>
        <v>0.94899999999999995</v>
      </c>
      <c r="E119" s="2080">
        <f>D119</f>
        <v>0.94899999999999995</v>
      </c>
      <c r="F119" s="2080">
        <f>E119</f>
        <v>0.94899999999999995</v>
      </c>
      <c r="G119" s="2080">
        <f>F119</f>
        <v>0.94899999999999995</v>
      </c>
      <c r="H119" s="2080">
        <f>G119</f>
        <v>0.94899999999999995</v>
      </c>
      <c r="I119" s="2080">
        <f>ROUND(0.8486-0.018*B117,4)</f>
        <v>0.84860000000000002</v>
      </c>
      <c r="J119" s="2080">
        <f t="shared" ref="J119:M123" si="35">I119</f>
        <v>0.84860000000000002</v>
      </c>
      <c r="K119" s="2080">
        <f t="shared" si="35"/>
        <v>0.84860000000000002</v>
      </c>
      <c r="L119" s="2080">
        <f t="shared" si="35"/>
        <v>0.84860000000000002</v>
      </c>
      <c r="M119" s="2093">
        <f t="shared" si="35"/>
        <v>0.84860000000000002</v>
      </c>
    </row>
    <row r="120" spans="1:14" ht="12.75">
      <c r="A120" s="2079" t="s">
        <v>1309</v>
      </c>
      <c r="B120" s="2080">
        <f>ROUND(0.993-0.0112*B117,4)</f>
        <v>0.99299999999999999</v>
      </c>
      <c r="C120" s="2080">
        <f>B120</f>
        <v>0.99299999999999999</v>
      </c>
      <c r="D120" s="2080">
        <f>ROUND(0.9415-0.0142*B117,4)</f>
        <v>0.9415</v>
      </c>
      <c r="E120" s="2080">
        <f t="shared" ref="E120:H121" si="36">D120</f>
        <v>0.9415</v>
      </c>
      <c r="F120" s="2080">
        <f t="shared" si="36"/>
        <v>0.9415</v>
      </c>
      <c r="G120" s="2080">
        <f t="shared" si="36"/>
        <v>0.9415</v>
      </c>
      <c r="H120" s="2080">
        <f t="shared" si="36"/>
        <v>0.9415</v>
      </c>
      <c r="I120" s="2080">
        <f>ROUND(0.838-0.0182*B117,4)</f>
        <v>0.83799999999999997</v>
      </c>
      <c r="J120" s="2080">
        <f t="shared" si="35"/>
        <v>0.83799999999999997</v>
      </c>
      <c r="K120" s="2080">
        <f t="shared" si="35"/>
        <v>0.83799999999999997</v>
      </c>
      <c r="L120" s="2080">
        <f t="shared" si="35"/>
        <v>0.83799999999999997</v>
      </c>
      <c r="M120" s="2093">
        <f t="shared" si="35"/>
        <v>0.83799999999999997</v>
      </c>
    </row>
    <row r="121" spans="1:14" ht="12.75">
      <c r="A121" s="2079" t="s">
        <v>1310</v>
      </c>
      <c r="B121" s="2080">
        <f>ROUND(0.9448-0.0115*B117,4)</f>
        <v>0.94479999999999997</v>
      </c>
      <c r="C121" s="2080">
        <f>B121</f>
        <v>0.94479999999999997</v>
      </c>
      <c r="D121" s="2080">
        <f>ROUND(0.937-0.0145*B117,4)</f>
        <v>0.93700000000000006</v>
      </c>
      <c r="E121" s="2080">
        <f t="shared" si="36"/>
        <v>0.93700000000000006</v>
      </c>
      <c r="F121" s="2080">
        <f t="shared" si="36"/>
        <v>0.93700000000000006</v>
      </c>
      <c r="G121" s="2080">
        <f t="shared" si="36"/>
        <v>0.93700000000000006</v>
      </c>
      <c r="H121" s="2080">
        <f t="shared" si="36"/>
        <v>0.93700000000000006</v>
      </c>
      <c r="I121" s="2080">
        <f>ROUND(0.7965-0.0185*B117,4)</f>
        <v>0.79649999999999999</v>
      </c>
      <c r="J121" s="2080">
        <f t="shared" si="35"/>
        <v>0.79649999999999999</v>
      </c>
      <c r="K121" s="2080">
        <f t="shared" si="35"/>
        <v>0.79649999999999999</v>
      </c>
      <c r="L121" s="2080">
        <f t="shared" si="35"/>
        <v>0.79649999999999999</v>
      </c>
      <c r="M121" s="2093">
        <f t="shared" si="35"/>
        <v>0.79649999999999999</v>
      </c>
    </row>
    <row r="122" spans="1:14" ht="12.75">
      <c r="A122" s="2081" t="s">
        <v>1311</v>
      </c>
      <c r="B122" s="2082">
        <f>ROUND(0.7836-0.012*B117,4)</f>
        <v>0.78359999999999996</v>
      </c>
      <c r="C122" s="2082">
        <f>B122</f>
        <v>0.78359999999999996</v>
      </c>
      <c r="D122" s="2082">
        <f>ROUND(0.753-0.015*B117,4)</f>
        <v>0.753</v>
      </c>
      <c r="E122" s="2082">
        <f>D122</f>
        <v>0.753</v>
      </c>
      <c r="F122" s="2082">
        <f>E122</f>
        <v>0.753</v>
      </c>
      <c r="G122" s="2082">
        <f>ROUND(0.6612-0.018*B117,4)</f>
        <v>0.66120000000000001</v>
      </c>
      <c r="H122" s="2082">
        <f>G122</f>
        <v>0.66120000000000001</v>
      </c>
      <c r="I122" s="2082">
        <f>ROUND(0.5905-0.019*B117,4)</f>
        <v>0.59050000000000002</v>
      </c>
      <c r="J122" s="2082">
        <f t="shared" si="35"/>
        <v>0.59050000000000002</v>
      </c>
      <c r="K122" s="2082">
        <f t="shared" si="35"/>
        <v>0.59050000000000002</v>
      </c>
      <c r="L122" s="2082">
        <f t="shared" si="35"/>
        <v>0.59050000000000002</v>
      </c>
      <c r="M122" s="2094">
        <f t="shared" si="35"/>
        <v>0.59050000000000002</v>
      </c>
    </row>
    <row r="123" spans="1:14" ht="12.75">
      <c r="A123" s="2083" t="s">
        <v>297</v>
      </c>
      <c r="B123" s="2080">
        <f>ROUND(0.9404-0.0106*B117,4)</f>
        <v>0.94040000000000001</v>
      </c>
      <c r="C123" s="2080">
        <f>B123</f>
        <v>0.94040000000000001</v>
      </c>
      <c r="D123" s="2080">
        <f>ROUND(0.8955-0.0135*B117,4)</f>
        <v>0.89549999999999996</v>
      </c>
      <c r="E123" s="2080">
        <f t="shared" ref="E123:H123" si="37">D123</f>
        <v>0.89549999999999996</v>
      </c>
      <c r="F123" s="2080">
        <f t="shared" si="37"/>
        <v>0.89549999999999996</v>
      </c>
      <c r="G123" s="2080">
        <f t="shared" si="37"/>
        <v>0.89549999999999996</v>
      </c>
      <c r="H123" s="2080">
        <f t="shared" si="37"/>
        <v>0.89549999999999996</v>
      </c>
      <c r="I123" s="2080">
        <f>ROUND(0.7632-0.0166*B117,4)</f>
        <v>0.76319999999999999</v>
      </c>
      <c r="J123" s="2080">
        <f t="shared" si="35"/>
        <v>0.76319999999999999</v>
      </c>
      <c r="K123" s="2080">
        <f t="shared" si="35"/>
        <v>0.76319999999999999</v>
      </c>
      <c r="L123" s="2080">
        <f t="shared" si="35"/>
        <v>0.76319999999999999</v>
      </c>
      <c r="M123" s="2093">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1"/>
    <col min="2" max="9" width="13.875" style="1623"/>
    <col min="10" max="16384" width="13.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435</v>
      </c>
      <c r="B2" s="1627">
        <v>3.5</v>
      </c>
      <c r="C2" s="1627">
        <v>3.5</v>
      </c>
      <c r="D2" s="1628">
        <v>2.5</v>
      </c>
      <c r="E2" s="1628">
        <v>2.5</v>
      </c>
      <c r="F2" s="1628">
        <v>2.5</v>
      </c>
      <c r="G2" s="1628">
        <v>2.5</v>
      </c>
      <c r="H2" s="1628">
        <v>2.5</v>
      </c>
      <c r="I2" s="1627">
        <v>2</v>
      </c>
      <c r="J2" s="1627">
        <v>2</v>
      </c>
      <c r="K2" s="1627">
        <v>2</v>
      </c>
      <c r="L2" s="1627">
        <v>2</v>
      </c>
      <c r="M2" s="1679">
        <v>2</v>
      </c>
    </row>
    <row r="3" spans="1:13">
      <c r="A3" s="1629" t="s">
        <v>436</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1312</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1313</v>
      </c>
      <c r="B8" s="1638">
        <v>80</v>
      </c>
      <c r="C8" s="1638">
        <v>80</v>
      </c>
      <c r="D8" s="1638">
        <v>70</v>
      </c>
      <c r="E8" s="1638">
        <v>70</v>
      </c>
      <c r="F8" s="1638">
        <v>70</v>
      </c>
      <c r="G8" s="1638">
        <v>70</v>
      </c>
      <c r="H8" s="1638">
        <v>70</v>
      </c>
      <c r="I8" s="1638">
        <v>60</v>
      </c>
      <c r="J8" s="1638">
        <v>60</v>
      </c>
      <c r="K8" s="1638">
        <v>60</v>
      </c>
      <c r="L8" s="1638">
        <v>60</v>
      </c>
      <c r="M8" s="1685">
        <v>60</v>
      </c>
    </row>
    <row r="9" spans="1:13">
      <c r="A9" s="1639" t="s">
        <v>1314</v>
      </c>
      <c r="B9" s="1640">
        <v>70</v>
      </c>
      <c r="C9" s="1640">
        <v>70</v>
      </c>
      <c r="D9" s="1640">
        <v>60</v>
      </c>
      <c r="E9" s="1640">
        <v>60</v>
      </c>
      <c r="F9" s="1640">
        <v>60</v>
      </c>
      <c r="G9" s="1640">
        <v>60</v>
      </c>
      <c r="H9" s="1640">
        <v>60</v>
      </c>
      <c r="I9" s="1640">
        <v>50</v>
      </c>
      <c r="J9" s="1640">
        <v>50</v>
      </c>
      <c r="K9" s="1640">
        <v>50</v>
      </c>
      <c r="L9" s="1640">
        <v>50</v>
      </c>
      <c r="M9" s="1686">
        <v>50</v>
      </c>
    </row>
    <row r="10" spans="1:13">
      <c r="A10" s="1639" t="s">
        <v>1315</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1316</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1317</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1318</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1319</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1320</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1213</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1321</v>
      </c>
      <c r="B18" s="1647"/>
      <c r="C18" s="1648"/>
      <c r="D18" s="1648"/>
      <c r="E18" s="1647"/>
      <c r="F18" s="1648"/>
      <c r="G18" s="1648"/>
    </row>
    <row r="19" spans="1:13">
      <c r="A19" s="1642" t="s">
        <v>1322</v>
      </c>
      <c r="B19" s="1649" t="s">
        <v>1323</v>
      </c>
      <c r="C19" s="1650" t="s">
        <v>1324</v>
      </c>
      <c r="D19" s="1651"/>
      <c r="E19" s="1640" t="s">
        <v>1216</v>
      </c>
      <c r="F19" s="1652"/>
      <c r="G19" s="1652"/>
    </row>
    <row r="20" spans="1:13" s="1622" customFormat="1">
      <c r="A20" s="3891" t="s">
        <v>435</v>
      </c>
      <c r="B20" s="3897" t="s">
        <v>1325</v>
      </c>
      <c r="C20" s="1653" t="s">
        <v>1326</v>
      </c>
      <c r="D20" s="1654"/>
      <c r="E20" s="1655">
        <v>1</v>
      </c>
      <c r="F20" s="1656" t="s">
        <v>1327</v>
      </c>
      <c r="G20" s="1657"/>
      <c r="H20" s="1623"/>
      <c r="I20" s="1623"/>
    </row>
    <row r="21" spans="1:13" s="1622" customFormat="1">
      <c r="A21" s="3892"/>
      <c r="B21" s="3898"/>
      <c r="C21" s="1658" t="s">
        <v>1328</v>
      </c>
      <c r="D21" s="1659"/>
      <c r="E21" s="1660">
        <v>1</v>
      </c>
      <c r="F21" s="1656" t="s">
        <v>1329</v>
      </c>
      <c r="G21" s="1657"/>
      <c r="H21" s="1623"/>
      <c r="I21" s="1623"/>
    </row>
    <row r="22" spans="1:13" s="1622" customFormat="1">
      <c r="A22" s="3892"/>
      <c r="B22" s="3898"/>
      <c r="C22" s="1658" t="s">
        <v>1330</v>
      </c>
      <c r="D22" s="1659"/>
      <c r="E22" s="1660">
        <v>0.9</v>
      </c>
      <c r="F22" s="1656" t="s">
        <v>1331</v>
      </c>
      <c r="G22" s="1657"/>
      <c r="H22" s="1623"/>
      <c r="I22" s="1623"/>
    </row>
    <row r="23" spans="1:13" s="1622" customFormat="1">
      <c r="A23" s="3892"/>
      <c r="B23" s="3898"/>
      <c r="C23" s="1658" t="s">
        <v>1332</v>
      </c>
      <c r="D23" s="1659"/>
      <c r="E23" s="1660">
        <v>0.9</v>
      </c>
      <c r="F23" s="1656" t="s">
        <v>1333</v>
      </c>
      <c r="G23" s="1657"/>
      <c r="H23" s="1623"/>
      <c r="I23" s="1623"/>
    </row>
    <row r="24" spans="1:13" s="1622" customFormat="1">
      <c r="A24" s="3892"/>
      <c r="B24" s="3898"/>
      <c r="C24" s="1658" t="s">
        <v>1334</v>
      </c>
      <c r="D24" s="1659"/>
      <c r="E24" s="1660">
        <v>0.8</v>
      </c>
      <c r="F24" s="1656" t="s">
        <v>1335</v>
      </c>
      <c r="G24" s="1657"/>
      <c r="H24" s="1623"/>
      <c r="I24" s="1623"/>
    </row>
    <row r="25" spans="1:13" s="1622" customFormat="1">
      <c r="A25" s="3893"/>
      <c r="B25" s="3899"/>
      <c r="C25" s="1661" t="s">
        <v>1336</v>
      </c>
      <c r="D25" s="1662"/>
      <c r="E25" s="1663">
        <v>0.8</v>
      </c>
      <c r="F25" s="1656" t="s">
        <v>1337</v>
      </c>
      <c r="G25" s="1657"/>
      <c r="H25" s="1623"/>
      <c r="I25" s="1623"/>
    </row>
    <row r="26" spans="1:13" s="1622" customFormat="1">
      <c r="A26" s="1664" t="s">
        <v>436</v>
      </c>
      <c r="B26" s="1665" t="s">
        <v>1325</v>
      </c>
      <c r="C26" s="1666" t="s">
        <v>1338</v>
      </c>
      <c r="D26" s="1667"/>
      <c r="E26" s="1668">
        <v>1</v>
      </c>
      <c r="F26" s="1656" t="s">
        <v>1339</v>
      </c>
      <c r="G26" s="1657"/>
      <c r="H26" s="1623"/>
      <c r="I26" s="1623"/>
    </row>
    <row r="27" spans="1:13" s="1622" customFormat="1">
      <c r="A27" s="3894" t="s">
        <v>297</v>
      </c>
      <c r="B27" s="3897" t="s">
        <v>297</v>
      </c>
      <c r="C27" s="1653" t="s">
        <v>1340</v>
      </c>
      <c r="D27" s="1654"/>
      <c r="E27" s="1655">
        <v>1</v>
      </c>
      <c r="F27" s="1656" t="s">
        <v>1341</v>
      </c>
      <c r="G27" s="1657"/>
      <c r="H27" s="1623"/>
      <c r="I27" s="1623"/>
    </row>
    <row r="28" spans="1:13" s="1622" customFormat="1">
      <c r="A28" s="3895"/>
      <c r="B28" s="3898"/>
      <c r="C28" s="1658" t="s">
        <v>1342</v>
      </c>
      <c r="D28" s="1659"/>
      <c r="E28" s="1660">
        <v>1</v>
      </c>
      <c r="F28" s="1656" t="s">
        <v>1343</v>
      </c>
      <c r="G28" s="1657"/>
      <c r="H28" s="1623"/>
      <c r="I28" s="1623"/>
    </row>
    <row r="29" spans="1:13" s="1622" customFormat="1">
      <c r="A29" s="3895"/>
      <c r="B29" s="3898"/>
      <c r="C29" s="1658" t="s">
        <v>1344</v>
      </c>
      <c r="D29" s="1659"/>
      <c r="E29" s="1660">
        <v>0.8</v>
      </c>
      <c r="F29" s="1656" t="s">
        <v>1345</v>
      </c>
      <c r="G29" s="1657"/>
      <c r="H29" s="1623"/>
      <c r="I29" s="1623"/>
    </row>
    <row r="30" spans="1:13" s="1622" customFormat="1">
      <c r="A30" s="3895"/>
      <c r="B30" s="3898"/>
      <c r="C30" s="1658" t="s">
        <v>1346</v>
      </c>
      <c r="D30" s="1659"/>
      <c r="E30" s="1660">
        <v>0.8</v>
      </c>
      <c r="F30" s="1656" t="s">
        <v>1347</v>
      </c>
      <c r="G30" s="1657"/>
      <c r="H30" s="1623"/>
      <c r="I30" s="1623"/>
    </row>
    <row r="31" spans="1:13" s="1622" customFormat="1">
      <c r="A31" s="3895"/>
      <c r="B31" s="3898"/>
      <c r="C31" s="1658" t="s">
        <v>1348</v>
      </c>
      <c r="D31" s="1659"/>
      <c r="E31" s="1660">
        <v>0.8</v>
      </c>
      <c r="F31" s="1656" t="s">
        <v>1349</v>
      </c>
      <c r="G31" s="1657"/>
      <c r="H31" s="1623"/>
      <c r="I31" s="1623"/>
    </row>
    <row r="32" spans="1:13" s="1622" customFormat="1">
      <c r="A32" s="3895"/>
      <c r="B32" s="3898"/>
      <c r="C32" s="1658" t="s">
        <v>1350</v>
      </c>
      <c r="D32" s="1659"/>
      <c r="E32" s="1660">
        <v>0.7</v>
      </c>
      <c r="F32" s="1656" t="s">
        <v>1351</v>
      </c>
      <c r="G32" s="1657"/>
      <c r="H32" s="1623"/>
      <c r="I32" s="1623"/>
    </row>
    <row r="33" spans="1:9" s="1622" customFormat="1">
      <c r="A33" s="3895"/>
      <c r="B33" s="3898"/>
      <c r="C33" s="1658" t="s">
        <v>1352</v>
      </c>
      <c r="D33" s="1659"/>
      <c r="E33" s="1660">
        <v>0.8</v>
      </c>
      <c r="F33" s="1656" t="s">
        <v>1353</v>
      </c>
      <c r="G33" s="1657"/>
      <c r="H33" s="1623"/>
      <c r="I33" s="1623"/>
    </row>
    <row r="34" spans="1:9" s="1622" customFormat="1">
      <c r="A34" s="3895"/>
      <c r="B34" s="3898"/>
      <c r="C34" s="1658" t="s">
        <v>1354</v>
      </c>
      <c r="D34" s="1659"/>
      <c r="E34" s="1660">
        <v>0.6</v>
      </c>
      <c r="F34" s="1656" t="s">
        <v>1355</v>
      </c>
      <c r="G34" s="1657"/>
      <c r="H34" s="1623"/>
      <c r="I34" s="1623"/>
    </row>
    <row r="35" spans="1:9" s="1622" customFormat="1">
      <c r="A35" s="3895"/>
      <c r="B35" s="3898"/>
      <c r="C35" s="1658" t="s">
        <v>1356</v>
      </c>
      <c r="D35" s="1659"/>
      <c r="E35" s="1660">
        <v>0.2</v>
      </c>
      <c r="F35" s="1656" t="s">
        <v>1357</v>
      </c>
      <c r="G35" s="1657"/>
      <c r="H35" s="1623"/>
      <c r="I35" s="1623"/>
    </row>
    <row r="36" spans="1:9" s="1622" customFormat="1">
      <c r="A36" s="3895"/>
      <c r="B36" s="3898"/>
      <c r="C36" s="1658" t="s">
        <v>1358</v>
      </c>
      <c r="D36" s="1659"/>
      <c r="E36" s="1660">
        <v>0.2</v>
      </c>
      <c r="F36" s="1656" t="s">
        <v>1359</v>
      </c>
      <c r="G36" s="1657"/>
      <c r="H36" s="1623"/>
      <c r="I36" s="1623"/>
    </row>
    <row r="37" spans="1:9" s="1622" customFormat="1">
      <c r="A37" s="3895"/>
      <c r="B37" s="3900" t="s">
        <v>1360</v>
      </c>
      <c r="C37" s="1658" t="s">
        <v>1361</v>
      </c>
      <c r="D37" s="1659"/>
      <c r="E37" s="1660">
        <v>0.6</v>
      </c>
      <c r="F37" s="1656" t="s">
        <v>1362</v>
      </c>
      <c r="G37" s="1657"/>
      <c r="H37" s="1623"/>
      <c r="I37" s="1623"/>
    </row>
    <row r="38" spans="1:9" s="1622" customFormat="1">
      <c r="A38" s="3895"/>
      <c r="B38" s="3898"/>
      <c r="C38" s="1658" t="s">
        <v>1363</v>
      </c>
      <c r="D38" s="1659"/>
      <c r="E38" s="1660">
        <v>0.6</v>
      </c>
      <c r="F38" s="1656" t="s">
        <v>1364</v>
      </c>
      <c r="G38" s="1657"/>
      <c r="H38" s="1623"/>
      <c r="I38" s="1623"/>
    </row>
    <row r="39" spans="1:9" s="1622" customFormat="1">
      <c r="A39" s="3896"/>
      <c r="B39" s="3899"/>
      <c r="C39" s="1661" t="s">
        <v>1365</v>
      </c>
      <c r="D39" s="1662"/>
      <c r="E39" s="1663">
        <v>0.6</v>
      </c>
      <c r="F39" s="1656" t="s">
        <v>1366</v>
      </c>
      <c r="G39" s="1657"/>
      <c r="H39" s="1623"/>
      <c r="I39" s="1623"/>
    </row>
    <row r="40" spans="1:9" s="1622" customFormat="1">
      <c r="A40" s="1664" t="s">
        <v>402</v>
      </c>
      <c r="B40" s="1665" t="s">
        <v>402</v>
      </c>
      <c r="C40" s="1666" t="s">
        <v>1367</v>
      </c>
      <c r="D40" s="1667"/>
      <c r="E40" s="1668">
        <v>1</v>
      </c>
      <c r="F40" s="1656" t="s">
        <v>1368</v>
      </c>
      <c r="G40" s="1657"/>
      <c r="H40" s="1623"/>
      <c r="I40" s="1623"/>
    </row>
    <row r="41" spans="1:9" s="1622" customFormat="1">
      <c r="A41" s="3891" t="s">
        <v>164</v>
      </c>
      <c r="B41" s="3897" t="s">
        <v>1369</v>
      </c>
      <c r="C41" s="1653" t="s">
        <v>1370</v>
      </c>
      <c r="D41" s="1654"/>
      <c r="E41" s="1655">
        <v>1</v>
      </c>
      <c r="F41" s="1656" t="s">
        <v>1371</v>
      </c>
      <c r="G41" s="1657"/>
      <c r="H41" s="1623"/>
      <c r="I41" s="1623"/>
    </row>
    <row r="42" spans="1:9" s="1622" customFormat="1">
      <c r="A42" s="3892"/>
      <c r="B42" s="3898"/>
      <c r="C42" s="1658" t="s">
        <v>1372</v>
      </c>
      <c r="D42" s="1659"/>
      <c r="E42" s="1660">
        <v>1</v>
      </c>
      <c r="F42" s="1656" t="s">
        <v>1373</v>
      </c>
      <c r="G42" s="1657"/>
      <c r="H42" s="1623"/>
      <c r="I42" s="1623"/>
    </row>
    <row r="43" spans="1:9" s="1622" customFormat="1">
      <c r="A43" s="3892"/>
      <c r="B43" s="3901"/>
      <c r="C43" s="1658" t="s">
        <v>1374</v>
      </c>
      <c r="D43" s="1659"/>
      <c r="E43" s="1660">
        <v>1.5</v>
      </c>
      <c r="F43" s="1656" t="s">
        <v>1375</v>
      </c>
      <c r="G43" s="1657"/>
      <c r="H43" s="1623"/>
      <c r="I43" s="1623"/>
    </row>
    <row r="44" spans="1:9" s="1622" customFormat="1">
      <c r="A44" s="3892"/>
      <c r="B44" s="1669" t="s">
        <v>297</v>
      </c>
      <c r="C44" s="1658" t="s">
        <v>1312</v>
      </c>
      <c r="D44" s="1659"/>
      <c r="E44" s="1660">
        <v>2</v>
      </c>
      <c r="F44" s="1656" t="s">
        <v>1376</v>
      </c>
      <c r="G44" s="1657"/>
      <c r="H44" s="1623"/>
      <c r="I44" s="1623"/>
    </row>
    <row r="45" spans="1:9" s="1622" customFormat="1">
      <c r="A45" s="3892"/>
      <c r="B45" s="3900" t="s">
        <v>1377</v>
      </c>
      <c r="C45" s="1658" t="s">
        <v>1378</v>
      </c>
      <c r="D45" s="1659"/>
      <c r="E45" s="1660">
        <v>1</v>
      </c>
      <c r="F45" s="1656" t="s">
        <v>1379</v>
      </c>
      <c r="G45" s="1657"/>
      <c r="H45" s="1623"/>
      <c r="I45" s="1623"/>
    </row>
    <row r="46" spans="1:9" s="1622" customFormat="1">
      <c r="A46" s="3892"/>
      <c r="B46" s="3898"/>
      <c r="C46" s="1658" t="s">
        <v>1380</v>
      </c>
      <c r="D46" s="1659"/>
      <c r="E46" s="1660">
        <v>1</v>
      </c>
      <c r="F46" s="1656" t="s">
        <v>1381</v>
      </c>
      <c r="G46" s="1657"/>
      <c r="H46" s="1623"/>
      <c r="I46" s="1623"/>
    </row>
    <row r="47" spans="1:9" s="1622" customFormat="1">
      <c r="A47" s="3892"/>
      <c r="B47" s="3898"/>
      <c r="C47" s="1658" t="s">
        <v>1382</v>
      </c>
      <c r="D47" s="1659"/>
      <c r="E47" s="1660">
        <v>1</v>
      </c>
      <c r="F47" s="1656" t="s">
        <v>1383</v>
      </c>
      <c r="G47" s="1657"/>
      <c r="H47" s="1623"/>
      <c r="I47" s="1623"/>
    </row>
    <row r="48" spans="1:9" s="1622" customFormat="1">
      <c r="A48" s="3892"/>
      <c r="B48" s="3898"/>
      <c r="C48" s="1658" t="s">
        <v>1384</v>
      </c>
      <c r="D48" s="1659"/>
      <c r="E48" s="1660">
        <v>1</v>
      </c>
      <c r="F48" s="1656" t="s">
        <v>1385</v>
      </c>
      <c r="G48" s="1657"/>
      <c r="H48" s="1623"/>
      <c r="I48" s="1623"/>
    </row>
    <row r="49" spans="1:9" s="1622" customFormat="1">
      <c r="A49" s="3892"/>
      <c r="B49" s="3898"/>
      <c r="C49" s="1658" t="s">
        <v>1386</v>
      </c>
      <c r="D49" s="1659"/>
      <c r="E49" s="1660">
        <v>1</v>
      </c>
      <c r="F49" s="1656" t="s">
        <v>1387</v>
      </c>
      <c r="G49" s="1657"/>
      <c r="H49" s="1623"/>
      <c r="I49" s="1623"/>
    </row>
    <row r="50" spans="1:9" s="1622" customFormat="1">
      <c r="A50" s="3892"/>
      <c r="B50" s="3898"/>
      <c r="C50" s="1658" t="s">
        <v>1388</v>
      </c>
      <c r="D50" s="1659"/>
      <c r="E50" s="1660">
        <v>1</v>
      </c>
      <c r="F50" s="1656" t="s">
        <v>1389</v>
      </c>
      <c r="G50" s="1657"/>
      <c r="H50" s="1623"/>
      <c r="I50" s="1623"/>
    </row>
    <row r="51" spans="1:9" s="1622" customFormat="1">
      <c r="A51" s="3893"/>
      <c r="B51" s="3899"/>
      <c r="C51" s="1661" t="s">
        <v>1390</v>
      </c>
      <c r="D51" s="1662"/>
      <c r="E51" s="1663">
        <v>1</v>
      </c>
      <c r="F51" s="1656" t="s">
        <v>1391</v>
      </c>
      <c r="G51" s="1657"/>
      <c r="H51" s="1623"/>
      <c r="I51" s="1623"/>
    </row>
    <row r="52" spans="1:9" s="1622" customFormat="1">
      <c r="A52" s="1670"/>
      <c r="B52" s="1670"/>
      <c r="C52" s="1670"/>
      <c r="D52" s="1670"/>
      <c r="E52" s="1670"/>
      <c r="F52" s="1671"/>
      <c r="G52" s="1671"/>
      <c r="H52" s="1623"/>
      <c r="I52" s="1623"/>
    </row>
    <row r="54" spans="1:9">
      <c r="A54" s="1672"/>
      <c r="B54" s="1643" t="s">
        <v>543</v>
      </c>
      <c r="C54" s="1643" t="s">
        <v>543</v>
      </c>
      <c r="D54" s="1643" t="s">
        <v>543</v>
      </c>
      <c r="E54" s="1673" t="s">
        <v>543</v>
      </c>
      <c r="F54" s="1673" t="s">
        <v>1259</v>
      </c>
      <c r="G54" s="1673" t="s">
        <v>543</v>
      </c>
      <c r="I54" s="1561"/>
    </row>
    <row r="55" spans="1:9">
      <c r="A55" s="1674"/>
      <c r="B55" s="1673" t="s">
        <v>435</v>
      </c>
      <c r="C55" s="1673" t="s">
        <v>435</v>
      </c>
      <c r="D55" s="1673" t="s">
        <v>435</v>
      </c>
      <c r="E55" s="1643" t="s">
        <v>436</v>
      </c>
      <c r="F55" s="1643" t="s">
        <v>164</v>
      </c>
      <c r="G55" s="1643" t="s">
        <v>437</v>
      </c>
      <c r="I55" s="1561"/>
    </row>
    <row r="56" spans="1:9">
      <c r="A56" s="1675"/>
      <c r="B56" s="1643">
        <v>1</v>
      </c>
      <c r="C56" s="1643">
        <v>2</v>
      </c>
      <c r="D56" s="1643">
        <v>3</v>
      </c>
      <c r="E56" s="1676" t="s">
        <v>1392</v>
      </c>
      <c r="F56" s="1676" t="s">
        <v>1392</v>
      </c>
      <c r="G56" s="1676" t="s">
        <v>1392</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1393</v>
      </c>
      <c r="E70" s="1647"/>
      <c r="F70" s="1647"/>
    </row>
    <row r="71" spans="1:8" s="1623" customFormat="1">
      <c r="A71" s="1689" t="s">
        <v>1394</v>
      </c>
      <c r="B71" s="1689" t="s">
        <v>1395</v>
      </c>
      <c r="C71" s="1689" t="s">
        <v>1396</v>
      </c>
      <c r="D71" s="1689" t="s">
        <v>1397</v>
      </c>
      <c r="E71" s="1689" t="s">
        <v>1178</v>
      </c>
      <c r="F71" s="1689" t="s">
        <v>1398</v>
      </c>
    </row>
    <row r="72" spans="1:8" s="1623" customFormat="1">
      <c r="A72" s="1689"/>
      <c r="B72" s="1689"/>
      <c r="C72" s="1689" t="s">
        <v>1399</v>
      </c>
      <c r="D72" s="1689"/>
      <c r="E72" s="1690" t="s">
        <v>138</v>
      </c>
      <c r="F72" s="1689" t="s">
        <v>138</v>
      </c>
    </row>
    <row r="73" spans="1:8" s="1623" customFormat="1">
      <c r="A73" s="1669">
        <v>1</v>
      </c>
      <c r="B73" s="3900" t="s">
        <v>1400</v>
      </c>
      <c r="C73" s="1640" t="s">
        <v>1401</v>
      </c>
      <c r="D73" s="1640" t="s">
        <v>1402</v>
      </c>
      <c r="E73" s="1691">
        <v>0.2</v>
      </c>
      <c r="F73" s="1669">
        <v>25</v>
      </c>
      <c r="H73" s="1623">
        <f>SUMIF(C71:C139,基准地价!C8,E71:E139)</f>
        <v>0</v>
      </c>
    </row>
    <row r="74" spans="1:8" s="1623" customFormat="1" ht="24">
      <c r="A74" s="1669">
        <v>2</v>
      </c>
      <c r="B74" s="3898"/>
      <c r="C74" s="1640" t="s">
        <v>1403</v>
      </c>
      <c r="D74" s="1640" t="s">
        <v>1404</v>
      </c>
      <c r="E74" s="1691">
        <v>0.2</v>
      </c>
      <c r="F74" s="1669">
        <v>25</v>
      </c>
    </row>
    <row r="75" spans="1:8" s="1623" customFormat="1" ht="24">
      <c r="A75" s="1669">
        <v>3</v>
      </c>
      <c r="B75" s="3898"/>
      <c r="C75" s="1640" t="s">
        <v>1405</v>
      </c>
      <c r="D75" s="1640" t="s">
        <v>1406</v>
      </c>
      <c r="E75" s="1691">
        <v>0.2</v>
      </c>
      <c r="F75" s="1669">
        <v>25</v>
      </c>
    </row>
    <row r="76" spans="1:8" s="1623" customFormat="1">
      <c r="A76" s="1669">
        <v>4</v>
      </c>
      <c r="B76" s="3898"/>
      <c r="C76" s="1640" t="s">
        <v>1407</v>
      </c>
      <c r="D76" s="1640" t="s">
        <v>1408</v>
      </c>
      <c r="E76" s="1691">
        <v>0.15</v>
      </c>
      <c r="F76" s="1669">
        <v>20</v>
      </c>
    </row>
    <row r="77" spans="1:8" s="1623" customFormat="1" ht="24">
      <c r="A77" s="1669">
        <v>5</v>
      </c>
      <c r="B77" s="3898"/>
      <c r="C77" s="1640" t="s">
        <v>1409</v>
      </c>
      <c r="D77" s="1640" t="s">
        <v>1410</v>
      </c>
      <c r="E77" s="1691">
        <v>0.15</v>
      </c>
      <c r="F77" s="1669">
        <v>20</v>
      </c>
    </row>
    <row r="78" spans="1:8" s="1623" customFormat="1" ht="24">
      <c r="A78" s="1669">
        <v>6</v>
      </c>
      <c r="B78" s="3898"/>
      <c r="C78" s="1640" t="s">
        <v>1411</v>
      </c>
      <c r="D78" s="1640" t="s">
        <v>1412</v>
      </c>
      <c r="E78" s="1691">
        <v>0.15</v>
      </c>
      <c r="F78" s="1669">
        <v>20</v>
      </c>
    </row>
    <row r="79" spans="1:8" s="1623" customFormat="1" ht="24">
      <c r="A79" s="1669">
        <v>7</v>
      </c>
      <c r="B79" s="3898"/>
      <c r="C79" s="1640" t="s">
        <v>1413</v>
      </c>
      <c r="D79" s="1640" t="s">
        <v>1414</v>
      </c>
      <c r="E79" s="1691">
        <v>0.15</v>
      </c>
      <c r="F79" s="1669">
        <v>20</v>
      </c>
    </row>
    <row r="80" spans="1:8" s="1623" customFormat="1" ht="24">
      <c r="A80" s="1669">
        <v>8</v>
      </c>
      <c r="B80" s="3898"/>
      <c r="C80" s="1640" t="s">
        <v>1415</v>
      </c>
      <c r="D80" s="1640" t="s">
        <v>1416</v>
      </c>
      <c r="E80" s="1691">
        <v>0.1</v>
      </c>
      <c r="F80" s="1669">
        <v>15</v>
      </c>
    </row>
    <row r="81" spans="1:6" s="1623" customFormat="1" ht="24">
      <c r="A81" s="1669">
        <v>9</v>
      </c>
      <c r="B81" s="3898"/>
      <c r="C81" s="1640" t="s">
        <v>1417</v>
      </c>
      <c r="D81" s="1640" t="s">
        <v>1418</v>
      </c>
      <c r="E81" s="1691">
        <v>0.1</v>
      </c>
      <c r="F81" s="1669">
        <v>15</v>
      </c>
    </row>
    <row r="82" spans="1:6" s="1623" customFormat="1" ht="24">
      <c r="A82" s="1669">
        <v>10</v>
      </c>
      <c r="B82" s="3898"/>
      <c r="C82" s="1640" t="s">
        <v>1419</v>
      </c>
      <c r="D82" s="1640" t="s">
        <v>1420</v>
      </c>
      <c r="E82" s="1691">
        <v>0.1</v>
      </c>
      <c r="F82" s="1669">
        <v>15</v>
      </c>
    </row>
    <row r="83" spans="1:6" s="1623" customFormat="1" ht="24">
      <c r="A83" s="1669">
        <v>11</v>
      </c>
      <c r="B83" s="3898"/>
      <c r="C83" s="1640" t="s">
        <v>1421</v>
      </c>
      <c r="D83" s="1640" t="s">
        <v>1422</v>
      </c>
      <c r="E83" s="1691">
        <v>0.1</v>
      </c>
      <c r="F83" s="1669">
        <v>15</v>
      </c>
    </row>
    <row r="84" spans="1:6" s="1623" customFormat="1" ht="24">
      <c r="A84" s="1669">
        <v>12</v>
      </c>
      <c r="B84" s="3898"/>
      <c r="C84" s="1640" t="s">
        <v>1423</v>
      </c>
      <c r="D84" s="1640" t="s">
        <v>1424</v>
      </c>
      <c r="E84" s="1691">
        <v>0.1</v>
      </c>
      <c r="F84" s="1669">
        <v>15</v>
      </c>
    </row>
    <row r="85" spans="1:6" s="1623" customFormat="1">
      <c r="A85" s="1669">
        <v>13</v>
      </c>
      <c r="B85" s="3898"/>
      <c r="C85" s="1640" t="s">
        <v>1425</v>
      </c>
      <c r="D85" s="1640" t="s">
        <v>1426</v>
      </c>
      <c r="E85" s="1691">
        <v>0.1</v>
      </c>
      <c r="F85" s="1669">
        <v>15</v>
      </c>
    </row>
    <row r="86" spans="1:6" s="1623" customFormat="1">
      <c r="A86" s="1669">
        <v>14</v>
      </c>
      <c r="B86" s="3898"/>
      <c r="C86" s="1640" t="s">
        <v>1427</v>
      </c>
      <c r="D86" s="1640" t="s">
        <v>1428</v>
      </c>
      <c r="E86" s="1691">
        <v>0.1</v>
      </c>
      <c r="F86" s="1669">
        <v>15</v>
      </c>
    </row>
    <row r="87" spans="1:6" s="1623" customFormat="1">
      <c r="A87" s="1669">
        <v>15</v>
      </c>
      <c r="B87" s="3898"/>
      <c r="C87" s="1640" t="s">
        <v>1429</v>
      </c>
      <c r="D87" s="1640" t="s">
        <v>1430</v>
      </c>
      <c r="E87" s="1691">
        <v>0.1</v>
      </c>
      <c r="F87" s="1669">
        <v>15</v>
      </c>
    </row>
    <row r="88" spans="1:6" s="1623" customFormat="1" ht="24">
      <c r="A88" s="1669">
        <v>16</v>
      </c>
      <c r="B88" s="3898"/>
      <c r="C88" s="1640" t="s">
        <v>1431</v>
      </c>
      <c r="D88" s="1640" t="s">
        <v>1432</v>
      </c>
      <c r="E88" s="1691">
        <v>0.1</v>
      </c>
      <c r="F88" s="1669">
        <v>15</v>
      </c>
    </row>
    <row r="89" spans="1:6" s="1623" customFormat="1" ht="24">
      <c r="A89" s="1669">
        <v>17</v>
      </c>
      <c r="B89" s="3901"/>
      <c r="C89" s="1640" t="s">
        <v>1433</v>
      </c>
      <c r="D89" s="1640" t="s">
        <v>1434</v>
      </c>
      <c r="E89" s="1691">
        <v>0.1</v>
      </c>
      <c r="F89" s="1669">
        <v>15</v>
      </c>
    </row>
    <row r="90" spans="1:6" s="1623" customFormat="1">
      <c r="A90" s="1669">
        <v>18</v>
      </c>
      <c r="B90" s="3900" t="s">
        <v>1435</v>
      </c>
      <c r="C90" s="1640" t="s">
        <v>1436</v>
      </c>
      <c r="D90" s="1640" t="s">
        <v>1437</v>
      </c>
      <c r="E90" s="1691">
        <v>0.2</v>
      </c>
      <c r="F90" s="1669">
        <v>25</v>
      </c>
    </row>
    <row r="91" spans="1:6" s="1623" customFormat="1" ht="24">
      <c r="A91" s="1669">
        <v>19</v>
      </c>
      <c r="B91" s="3898"/>
      <c r="C91" s="1640" t="s">
        <v>1438</v>
      </c>
      <c r="D91" s="1640" t="s">
        <v>1439</v>
      </c>
      <c r="E91" s="1691">
        <v>0.2</v>
      </c>
      <c r="F91" s="1669">
        <v>25</v>
      </c>
    </row>
    <row r="92" spans="1:6" s="1623" customFormat="1">
      <c r="A92" s="1669">
        <v>20</v>
      </c>
      <c r="B92" s="3898"/>
      <c r="C92" s="1640" t="s">
        <v>1440</v>
      </c>
      <c r="D92" s="1640" t="s">
        <v>1441</v>
      </c>
      <c r="E92" s="1691">
        <v>0.15</v>
      </c>
      <c r="F92" s="1669">
        <v>20</v>
      </c>
    </row>
    <row r="93" spans="1:6" s="1623" customFormat="1" ht="24">
      <c r="A93" s="1669">
        <v>21</v>
      </c>
      <c r="B93" s="3898"/>
      <c r="C93" s="1640" t="s">
        <v>1442</v>
      </c>
      <c r="D93" s="1640" t="s">
        <v>1443</v>
      </c>
      <c r="E93" s="1691">
        <v>0.15</v>
      </c>
      <c r="F93" s="1669">
        <v>20</v>
      </c>
    </row>
    <row r="94" spans="1:6" s="1623" customFormat="1" ht="24">
      <c r="A94" s="1669">
        <v>22</v>
      </c>
      <c r="B94" s="3898"/>
      <c r="C94" s="1640" t="s">
        <v>1444</v>
      </c>
      <c r="D94" s="1640" t="s">
        <v>1445</v>
      </c>
      <c r="E94" s="1691">
        <v>0.15</v>
      </c>
      <c r="F94" s="1669">
        <v>20</v>
      </c>
    </row>
    <row r="95" spans="1:6" s="1623" customFormat="1" ht="36">
      <c r="A95" s="1669">
        <v>23</v>
      </c>
      <c r="B95" s="3898"/>
      <c r="C95" s="1640" t="s">
        <v>1446</v>
      </c>
      <c r="D95" s="1640" t="s">
        <v>1447</v>
      </c>
      <c r="E95" s="1691">
        <v>0.15</v>
      </c>
      <c r="F95" s="1669">
        <v>20</v>
      </c>
    </row>
    <row r="96" spans="1:6" s="1623" customFormat="1">
      <c r="A96" s="1669">
        <v>24</v>
      </c>
      <c r="B96" s="3898"/>
      <c r="C96" s="1640" t="s">
        <v>1448</v>
      </c>
      <c r="D96" s="1640" t="s">
        <v>1449</v>
      </c>
      <c r="E96" s="1691">
        <v>0.1</v>
      </c>
      <c r="F96" s="1669">
        <v>15</v>
      </c>
    </row>
    <row r="97" spans="1:6" s="1623" customFormat="1" ht="24">
      <c r="A97" s="1669">
        <v>25</v>
      </c>
      <c r="B97" s="3898"/>
      <c r="C97" s="1640" t="s">
        <v>1450</v>
      </c>
      <c r="D97" s="1640" t="s">
        <v>1451</v>
      </c>
      <c r="E97" s="1691">
        <v>0.1</v>
      </c>
      <c r="F97" s="1669">
        <v>15</v>
      </c>
    </row>
    <row r="98" spans="1:6" s="1623" customFormat="1" ht="24">
      <c r="A98" s="1669">
        <v>26</v>
      </c>
      <c r="B98" s="3898"/>
      <c r="C98" s="1640" t="s">
        <v>1452</v>
      </c>
      <c r="D98" s="1640" t="s">
        <v>1453</v>
      </c>
      <c r="E98" s="1691">
        <v>0.1</v>
      </c>
      <c r="F98" s="1669">
        <v>15</v>
      </c>
    </row>
    <row r="99" spans="1:6" s="1623" customFormat="1" ht="24">
      <c r="A99" s="1669">
        <v>27</v>
      </c>
      <c r="B99" s="3898"/>
      <c r="C99" s="1640" t="s">
        <v>1454</v>
      </c>
      <c r="D99" s="1640" t="s">
        <v>1455</v>
      </c>
      <c r="E99" s="1691">
        <v>0.1</v>
      </c>
      <c r="F99" s="1669">
        <v>15</v>
      </c>
    </row>
    <row r="100" spans="1:6" s="1623" customFormat="1" ht="24">
      <c r="A100" s="1669">
        <v>28</v>
      </c>
      <c r="B100" s="3898"/>
      <c r="C100" s="1640" t="s">
        <v>1456</v>
      </c>
      <c r="D100" s="1640" t="s">
        <v>1457</v>
      </c>
      <c r="E100" s="1691">
        <v>0.1</v>
      </c>
      <c r="F100" s="1669">
        <v>15</v>
      </c>
    </row>
    <row r="101" spans="1:6" s="1623" customFormat="1" ht="24">
      <c r="A101" s="1669">
        <v>29</v>
      </c>
      <c r="B101" s="3898"/>
      <c r="C101" s="1640" t="s">
        <v>1458</v>
      </c>
      <c r="D101" s="1640" t="s">
        <v>1459</v>
      </c>
      <c r="E101" s="1691">
        <v>0.1</v>
      </c>
      <c r="F101" s="1669">
        <v>15</v>
      </c>
    </row>
    <row r="102" spans="1:6" s="1623" customFormat="1" ht="24">
      <c r="A102" s="1669">
        <v>30</v>
      </c>
      <c r="B102" s="3898"/>
      <c r="C102" s="1640" t="s">
        <v>1460</v>
      </c>
      <c r="D102" s="1640" t="s">
        <v>1461</v>
      </c>
      <c r="E102" s="1691">
        <v>0.1</v>
      </c>
      <c r="F102" s="1669">
        <v>15</v>
      </c>
    </row>
    <row r="103" spans="1:6" s="1623" customFormat="1" ht="24">
      <c r="A103" s="1669">
        <v>31</v>
      </c>
      <c r="B103" s="3898"/>
      <c r="C103" s="1640" t="s">
        <v>1462</v>
      </c>
      <c r="D103" s="1640" t="s">
        <v>1463</v>
      </c>
      <c r="E103" s="1691">
        <v>0.1</v>
      </c>
      <c r="F103" s="1669">
        <v>15</v>
      </c>
    </row>
    <row r="104" spans="1:6" s="1623" customFormat="1" ht="24">
      <c r="A104" s="1669">
        <v>32</v>
      </c>
      <c r="B104" s="3898"/>
      <c r="C104" s="1640" t="s">
        <v>1464</v>
      </c>
      <c r="D104" s="1640" t="s">
        <v>1465</v>
      </c>
      <c r="E104" s="1691">
        <v>0.1</v>
      </c>
      <c r="F104" s="1669">
        <v>15</v>
      </c>
    </row>
    <row r="105" spans="1:6" s="1623" customFormat="1" ht="24">
      <c r="A105" s="1669">
        <v>33</v>
      </c>
      <c r="B105" s="3898"/>
      <c r="C105" s="1640" t="s">
        <v>1466</v>
      </c>
      <c r="D105" s="1640" t="s">
        <v>1467</v>
      </c>
      <c r="E105" s="1691">
        <v>0.1</v>
      </c>
      <c r="F105" s="1669">
        <v>15</v>
      </c>
    </row>
    <row r="106" spans="1:6" s="1623" customFormat="1" ht="24">
      <c r="A106" s="1669">
        <v>34</v>
      </c>
      <c r="B106" s="3901"/>
      <c r="C106" s="1640" t="s">
        <v>1468</v>
      </c>
      <c r="D106" s="1640" t="s">
        <v>1469</v>
      </c>
      <c r="E106" s="1691">
        <v>0.1</v>
      </c>
      <c r="F106" s="1669">
        <v>15</v>
      </c>
    </row>
    <row r="107" spans="1:6" s="1623" customFormat="1" ht="24">
      <c r="A107" s="1669">
        <v>35</v>
      </c>
      <c r="B107" s="3900" t="s">
        <v>1470</v>
      </c>
      <c r="C107" s="1669" t="s">
        <v>1471</v>
      </c>
      <c r="D107" s="1640" t="s">
        <v>1472</v>
      </c>
      <c r="E107" s="1691">
        <v>0.15</v>
      </c>
      <c r="F107" s="1669">
        <v>20</v>
      </c>
    </row>
    <row r="108" spans="1:6" s="1623" customFormat="1" ht="24">
      <c r="A108" s="1669">
        <v>36</v>
      </c>
      <c r="B108" s="3898"/>
      <c r="C108" s="1669" t="s">
        <v>1473</v>
      </c>
      <c r="D108" s="1640" t="s">
        <v>1474</v>
      </c>
      <c r="E108" s="1691">
        <v>0.15</v>
      </c>
      <c r="F108" s="1669">
        <v>20</v>
      </c>
    </row>
    <row r="109" spans="1:6" s="1623" customFormat="1" ht="24">
      <c r="A109" s="1669">
        <v>37</v>
      </c>
      <c r="B109" s="3898"/>
      <c r="C109" s="1669" t="s">
        <v>1475</v>
      </c>
      <c r="D109" s="1640" t="s">
        <v>1476</v>
      </c>
      <c r="E109" s="1691">
        <v>0.15</v>
      </c>
      <c r="F109" s="1669">
        <v>20</v>
      </c>
    </row>
    <row r="110" spans="1:6" s="1623" customFormat="1">
      <c r="A110" s="1669">
        <v>38</v>
      </c>
      <c r="B110" s="3898"/>
      <c r="C110" s="1669" t="s">
        <v>1477</v>
      </c>
      <c r="D110" s="1640" t="s">
        <v>1478</v>
      </c>
      <c r="E110" s="1691">
        <v>0.1</v>
      </c>
      <c r="F110" s="1669">
        <v>15</v>
      </c>
    </row>
    <row r="111" spans="1:6" s="1623" customFormat="1" ht="24">
      <c r="A111" s="1669">
        <v>39</v>
      </c>
      <c r="B111" s="3898"/>
      <c r="C111" s="1669" t="s">
        <v>1479</v>
      </c>
      <c r="D111" s="1640" t="s">
        <v>1480</v>
      </c>
      <c r="E111" s="1691">
        <v>0.1</v>
      </c>
      <c r="F111" s="1669">
        <v>15</v>
      </c>
    </row>
    <row r="112" spans="1:6" s="1623" customFormat="1" ht="24">
      <c r="A112" s="1669">
        <v>40</v>
      </c>
      <c r="B112" s="3901"/>
      <c r="C112" s="1669" t="s">
        <v>1481</v>
      </c>
      <c r="D112" s="1640" t="s">
        <v>1482</v>
      </c>
      <c r="E112" s="1691">
        <v>0.1</v>
      </c>
      <c r="F112" s="1669">
        <v>15</v>
      </c>
    </row>
    <row r="113" spans="1:6" s="1623" customFormat="1" ht="24">
      <c r="A113" s="1669">
        <v>41</v>
      </c>
      <c r="B113" s="3902" t="s">
        <v>1483</v>
      </c>
      <c r="C113" s="1669" t="s">
        <v>1484</v>
      </c>
      <c r="D113" s="1640" t="s">
        <v>1485</v>
      </c>
      <c r="E113" s="1691">
        <v>0.1</v>
      </c>
      <c r="F113" s="1669">
        <v>15</v>
      </c>
    </row>
    <row r="114" spans="1:6" s="1623" customFormat="1">
      <c r="A114" s="1669">
        <v>42</v>
      </c>
      <c r="B114" s="3902"/>
      <c r="C114" s="1669" t="s">
        <v>1486</v>
      </c>
      <c r="D114" s="1640" t="s">
        <v>1487</v>
      </c>
      <c r="E114" s="1691">
        <v>0.1</v>
      </c>
      <c r="F114" s="1669">
        <v>15</v>
      </c>
    </row>
    <row r="115" spans="1:6" s="1623" customFormat="1" ht="24">
      <c r="A115" s="1669">
        <v>43</v>
      </c>
      <c r="B115" s="3902"/>
      <c r="C115" s="1669" t="s">
        <v>1488</v>
      </c>
      <c r="D115" s="1640" t="s">
        <v>1489</v>
      </c>
      <c r="E115" s="1691">
        <v>0.1</v>
      </c>
      <c r="F115" s="1669">
        <v>15</v>
      </c>
    </row>
    <row r="116" spans="1:6" s="1623" customFormat="1" ht="24">
      <c r="A116" s="1669">
        <v>44</v>
      </c>
      <c r="B116" s="3900" t="s">
        <v>1490</v>
      </c>
      <c r="C116" s="1669" t="s">
        <v>1491</v>
      </c>
      <c r="D116" s="1640" t="s">
        <v>1492</v>
      </c>
      <c r="E116" s="1691">
        <v>0.1</v>
      </c>
      <c r="F116" s="1669">
        <v>15</v>
      </c>
    </row>
    <row r="117" spans="1:6" s="1623" customFormat="1" ht="24">
      <c r="A117" s="1669">
        <v>45</v>
      </c>
      <c r="B117" s="3901"/>
      <c r="C117" s="1640" t="s">
        <v>1493</v>
      </c>
      <c r="D117" s="1640" t="s">
        <v>1494</v>
      </c>
      <c r="E117" s="1691">
        <v>0.1</v>
      </c>
      <c r="F117" s="1669">
        <v>15</v>
      </c>
    </row>
    <row r="118" spans="1:6" s="1623" customFormat="1" ht="24">
      <c r="A118" s="1669">
        <v>46</v>
      </c>
      <c r="B118" s="3900" t="s">
        <v>1495</v>
      </c>
      <c r="C118" s="1669" t="s">
        <v>1496</v>
      </c>
      <c r="D118" s="1640" t="s">
        <v>1497</v>
      </c>
      <c r="E118" s="1691">
        <v>0.1</v>
      </c>
      <c r="F118" s="1669">
        <v>15</v>
      </c>
    </row>
    <row r="119" spans="1:6" s="1623" customFormat="1" ht="24">
      <c r="A119" s="1669">
        <v>47</v>
      </c>
      <c r="B119" s="3901"/>
      <c r="C119" s="1669" t="s">
        <v>1498</v>
      </c>
      <c r="D119" s="1640" t="s">
        <v>1499</v>
      </c>
      <c r="E119" s="1691">
        <v>0.1</v>
      </c>
      <c r="F119" s="1669">
        <v>15</v>
      </c>
    </row>
    <row r="120" spans="1:6" s="1623" customFormat="1" ht="24">
      <c r="A120" s="1669">
        <v>48</v>
      </c>
      <c r="B120" s="3900" t="s">
        <v>1500</v>
      </c>
      <c r="C120" s="1669" t="s">
        <v>1501</v>
      </c>
      <c r="D120" s="1640" t="s">
        <v>1502</v>
      </c>
      <c r="E120" s="1691">
        <v>0.1</v>
      </c>
      <c r="F120" s="1669">
        <v>15</v>
      </c>
    </row>
    <row r="121" spans="1:6" s="1623" customFormat="1">
      <c r="A121" s="1669">
        <v>49</v>
      </c>
      <c r="B121" s="3901"/>
      <c r="C121" s="1669" t="s">
        <v>1503</v>
      </c>
      <c r="D121" s="1640" t="s">
        <v>1504</v>
      </c>
      <c r="E121" s="1691">
        <v>0.1</v>
      </c>
      <c r="F121" s="1669">
        <v>15</v>
      </c>
    </row>
    <row r="122" spans="1:6" s="1623" customFormat="1" ht="24">
      <c r="A122" s="1669">
        <v>50</v>
      </c>
      <c r="B122" s="3902" t="s">
        <v>1505</v>
      </c>
      <c r="C122" s="1669" t="s">
        <v>1506</v>
      </c>
      <c r="D122" s="1640" t="s">
        <v>1507</v>
      </c>
      <c r="E122" s="1691">
        <v>0.1</v>
      </c>
      <c r="F122" s="1669">
        <v>15</v>
      </c>
    </row>
    <row r="123" spans="1:6" s="1623" customFormat="1" ht="24">
      <c r="A123" s="1669">
        <v>51</v>
      </c>
      <c r="B123" s="3902"/>
      <c r="C123" s="1669" t="s">
        <v>1508</v>
      </c>
      <c r="D123" s="1640" t="s">
        <v>1509</v>
      </c>
      <c r="E123" s="1691">
        <v>0.1</v>
      </c>
      <c r="F123" s="1669">
        <v>15</v>
      </c>
    </row>
    <row r="124" spans="1:6" s="1623" customFormat="1" ht="24">
      <c r="A124" s="1669">
        <v>52</v>
      </c>
      <c r="B124" s="3902" t="s">
        <v>1510</v>
      </c>
      <c r="C124" s="1669" t="s">
        <v>1511</v>
      </c>
      <c r="D124" s="1640" t="s">
        <v>1512</v>
      </c>
      <c r="E124" s="1691">
        <v>0.1</v>
      </c>
      <c r="F124" s="1669">
        <v>15</v>
      </c>
    </row>
    <row r="125" spans="1:6" s="1623" customFormat="1" ht="24">
      <c r="A125" s="1669">
        <v>53</v>
      </c>
      <c r="B125" s="3902"/>
      <c r="C125" s="1669" t="s">
        <v>1513</v>
      </c>
      <c r="D125" s="1640" t="s">
        <v>1514</v>
      </c>
      <c r="E125" s="1691">
        <v>0.1</v>
      </c>
      <c r="F125" s="1669">
        <v>15</v>
      </c>
    </row>
    <row r="126" spans="1:6" ht="24">
      <c r="A126" s="1669">
        <v>54</v>
      </c>
      <c r="B126" s="1669" t="s">
        <v>1515</v>
      </c>
      <c r="C126" s="1669" t="s">
        <v>1516</v>
      </c>
      <c r="D126" s="1640" t="s">
        <v>1517</v>
      </c>
      <c r="E126" s="1691">
        <v>0.1</v>
      </c>
      <c r="F126" s="1669">
        <v>15</v>
      </c>
    </row>
    <row r="127" spans="1:6">
      <c r="A127" s="1669">
        <v>55</v>
      </c>
      <c r="B127" s="3902" t="s">
        <v>1518</v>
      </c>
      <c r="C127" s="1669" t="s">
        <v>1519</v>
      </c>
      <c r="D127" s="1640" t="s">
        <v>1520</v>
      </c>
      <c r="E127" s="1691">
        <v>0.1</v>
      </c>
      <c r="F127" s="1669">
        <v>15</v>
      </c>
    </row>
    <row r="128" spans="1:6">
      <c r="A128" s="1669">
        <v>56</v>
      </c>
      <c r="B128" s="3902"/>
      <c r="C128" s="1669" t="s">
        <v>1521</v>
      </c>
      <c r="D128" s="1640" t="s">
        <v>1522</v>
      </c>
      <c r="E128" s="1691">
        <v>0.1</v>
      </c>
      <c r="F128" s="1669">
        <v>15</v>
      </c>
    </row>
    <row r="129" spans="1:14" ht="24">
      <c r="A129" s="1669">
        <v>57</v>
      </c>
      <c r="B129" s="3902"/>
      <c r="C129" s="1669" t="s">
        <v>1523</v>
      </c>
      <c r="D129" s="1640" t="s">
        <v>1524</v>
      </c>
      <c r="E129" s="1691">
        <v>0.1</v>
      </c>
      <c r="F129" s="1669">
        <v>15</v>
      </c>
    </row>
    <row r="130" spans="1:14" ht="24">
      <c r="A130" s="1669">
        <v>58</v>
      </c>
      <c r="B130" s="3902" t="s">
        <v>1525</v>
      </c>
      <c r="C130" s="1669" t="s">
        <v>1526</v>
      </c>
      <c r="D130" s="1640" t="s">
        <v>1527</v>
      </c>
      <c r="E130" s="1691">
        <v>0.1</v>
      </c>
      <c r="F130" s="1669">
        <v>15</v>
      </c>
    </row>
    <row r="131" spans="1:14" ht="24">
      <c r="A131" s="1669">
        <v>59</v>
      </c>
      <c r="B131" s="3902"/>
      <c r="C131" s="1669" t="s">
        <v>1528</v>
      </c>
      <c r="D131" s="1640" t="s">
        <v>1529</v>
      </c>
      <c r="E131" s="1691">
        <v>0.1</v>
      </c>
      <c r="F131" s="1669">
        <v>15</v>
      </c>
    </row>
    <row r="132" spans="1:14" ht="24">
      <c r="A132" s="1669">
        <v>60</v>
      </c>
      <c r="B132" s="3900" t="s">
        <v>1530</v>
      </c>
      <c r="C132" s="1669" t="s">
        <v>1531</v>
      </c>
      <c r="D132" s="1640" t="s">
        <v>1532</v>
      </c>
      <c r="E132" s="1691">
        <v>0.1</v>
      </c>
      <c r="F132" s="1669">
        <v>15</v>
      </c>
    </row>
    <row r="133" spans="1:14" ht="24">
      <c r="A133" s="1669">
        <v>61</v>
      </c>
      <c r="B133" s="3901"/>
      <c r="C133" s="1669" t="s">
        <v>1533</v>
      </c>
      <c r="D133" s="1640" t="s">
        <v>1534</v>
      </c>
      <c r="E133" s="1691">
        <v>0.1</v>
      </c>
      <c r="F133" s="1669">
        <v>15</v>
      </c>
    </row>
    <row r="134" spans="1:14" ht="24">
      <c r="A134" s="1669">
        <v>62</v>
      </c>
      <c r="B134" s="1669" t="s">
        <v>1535</v>
      </c>
      <c r="C134" s="1669" t="s">
        <v>1536</v>
      </c>
      <c r="D134" s="1640" t="s">
        <v>1537</v>
      </c>
      <c r="E134" s="1691">
        <v>0.1</v>
      </c>
      <c r="F134" s="1669">
        <v>15</v>
      </c>
    </row>
    <row r="135" spans="1:14" ht="24">
      <c r="A135" s="1669">
        <v>63</v>
      </c>
      <c r="B135" s="3902" t="s">
        <v>1538</v>
      </c>
      <c r="C135" s="1669" t="s">
        <v>1539</v>
      </c>
      <c r="D135" s="1640" t="s">
        <v>1540</v>
      </c>
      <c r="E135" s="1691">
        <v>0.1</v>
      </c>
      <c r="F135" s="1669">
        <v>15</v>
      </c>
    </row>
    <row r="136" spans="1:14">
      <c r="A136" s="1669">
        <v>64</v>
      </c>
      <c r="B136" s="3902"/>
      <c r="C136" s="1669" t="s">
        <v>1541</v>
      </c>
      <c r="D136" s="1640" t="s">
        <v>1542</v>
      </c>
      <c r="E136" s="1691">
        <v>0.1</v>
      </c>
      <c r="F136" s="1669">
        <v>15</v>
      </c>
    </row>
    <row r="137" spans="1:14" ht="24">
      <c r="A137" s="1669">
        <v>65</v>
      </c>
      <c r="B137" s="1669" t="s">
        <v>1543</v>
      </c>
      <c r="C137" s="1669" t="s">
        <v>1544</v>
      </c>
      <c r="D137" s="1640" t="s">
        <v>1545</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0" customWidth="1"/>
    <col min="2" max="2" width="15" style="1560" customWidth="1"/>
    <col min="3" max="6" width="10.25" style="1560" customWidth="1"/>
    <col min="7" max="7" width="9" style="1560"/>
    <col min="8" max="8" width="9" style="1559"/>
    <col min="9" max="9" width="9" style="1561"/>
    <col min="10" max="10" width="17.375" style="1562" customWidth="1"/>
    <col min="11" max="21" width="17.375" style="1560" customWidth="1"/>
    <col min="22" max="16384" width="9" style="1561"/>
  </cols>
  <sheetData>
    <row r="1" spans="1:21">
      <c r="A1" s="3903" t="s">
        <v>1546</v>
      </c>
      <c r="B1" s="3903"/>
      <c r="C1" s="3903"/>
      <c r="D1" s="3903"/>
      <c r="E1" s="3903"/>
      <c r="F1" s="3903"/>
      <c r="G1" s="3904"/>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1547</v>
      </c>
      <c r="B2" s="1563"/>
      <c r="C2" s="1563"/>
      <c r="D2" s="1563"/>
      <c r="E2" s="1563"/>
      <c r="F2" s="1563"/>
      <c r="G2" s="1564" t="s">
        <v>1548</v>
      </c>
      <c r="J2" s="1596" t="s">
        <v>1549</v>
      </c>
      <c r="K2" s="1574" t="s">
        <v>1550</v>
      </c>
      <c r="L2" s="1574" t="s">
        <v>1551</v>
      </c>
      <c r="M2" s="1574" t="s">
        <v>1552</v>
      </c>
      <c r="N2" s="1574" t="s">
        <v>1553</v>
      </c>
      <c r="O2" s="1574" t="s">
        <v>1554</v>
      </c>
      <c r="P2" s="1574" t="s">
        <v>1555</v>
      </c>
      <c r="Q2" s="1574" t="s">
        <v>1556</v>
      </c>
      <c r="R2" s="1574" t="s">
        <v>1557</v>
      </c>
      <c r="S2" s="1574" t="s">
        <v>1558</v>
      </c>
      <c r="T2" s="1574" t="s">
        <v>1559</v>
      </c>
      <c r="U2" s="1574" t="s">
        <v>1560</v>
      </c>
    </row>
    <row r="3" spans="1:21" s="1558" customFormat="1" ht="19.5" customHeight="1">
      <c r="A3" s="3905" t="s">
        <v>1561</v>
      </c>
      <c r="B3" s="1565"/>
      <c r="C3" s="1566" t="s">
        <v>435</v>
      </c>
      <c r="D3" s="1566" t="s">
        <v>436</v>
      </c>
      <c r="E3" s="1566" t="s">
        <v>402</v>
      </c>
      <c r="F3" s="1566" t="s">
        <v>164</v>
      </c>
      <c r="G3" s="1566" t="s">
        <v>297</v>
      </c>
      <c r="H3" s="1567"/>
      <c r="J3" s="1596" t="s">
        <v>1562</v>
      </c>
      <c r="K3" s="1574" t="s">
        <v>1563</v>
      </c>
      <c r="L3" s="1574" t="s">
        <v>1564</v>
      </c>
      <c r="M3" s="1574" t="s">
        <v>1565</v>
      </c>
      <c r="N3" s="1574" t="s">
        <v>1566</v>
      </c>
      <c r="O3" s="1574" t="s">
        <v>1567</v>
      </c>
      <c r="P3" s="1574" t="s">
        <v>1568</v>
      </c>
      <c r="Q3" s="1574" t="s">
        <v>1569</v>
      </c>
      <c r="R3" s="1574" t="s">
        <v>1570</v>
      </c>
      <c r="S3" s="1574" t="s">
        <v>1571</v>
      </c>
      <c r="T3" s="1574" t="s">
        <v>1572</v>
      </c>
      <c r="U3" s="1574" t="s">
        <v>1573</v>
      </c>
    </row>
    <row r="4" spans="1:21" s="1558" customFormat="1" ht="19.5" customHeight="1">
      <c r="A4" s="3906"/>
      <c r="B4" s="1568" t="s">
        <v>478</v>
      </c>
      <c r="C4" s="1568" t="s">
        <v>1574</v>
      </c>
      <c r="D4" s="1568" t="s">
        <v>1574</v>
      </c>
      <c r="E4" s="1568" t="s">
        <v>1574</v>
      </c>
      <c r="F4" s="1569" t="s">
        <v>1574</v>
      </c>
      <c r="G4" s="1569" t="s">
        <v>1574</v>
      </c>
      <c r="H4" s="1567"/>
      <c r="J4" s="1596" t="s">
        <v>1575</v>
      </c>
      <c r="K4" s="1574" t="s">
        <v>1576</v>
      </c>
      <c r="L4" s="1574" t="s">
        <v>1577</v>
      </c>
      <c r="M4" s="1574" t="s">
        <v>1578</v>
      </c>
      <c r="N4" s="1574" t="s">
        <v>1579</v>
      </c>
      <c r="O4" s="1574" t="s">
        <v>1580</v>
      </c>
      <c r="P4" s="1574" t="s">
        <v>1581</v>
      </c>
      <c r="Q4" s="1574" t="s">
        <v>1582</v>
      </c>
      <c r="R4" s="1574" t="s">
        <v>1583</v>
      </c>
      <c r="S4" s="1574" t="s">
        <v>1584</v>
      </c>
      <c r="T4" s="1574" t="s">
        <v>1585</v>
      </c>
      <c r="U4" s="1574" t="s">
        <v>1586</v>
      </c>
    </row>
    <row r="5" spans="1:21" ht="14.25" customHeight="1">
      <c r="A5" s="1570" t="s">
        <v>238</v>
      </c>
      <c r="B5" s="1571" t="s">
        <v>1549</v>
      </c>
      <c r="C5" s="1571">
        <v>34550</v>
      </c>
      <c r="D5" s="1571">
        <v>34470</v>
      </c>
      <c r="E5" s="1571">
        <v>34330</v>
      </c>
      <c r="F5" s="1572">
        <v>13400</v>
      </c>
      <c r="G5" s="1572">
        <v>25450</v>
      </c>
      <c r="H5" s="1573" t="s">
        <v>238</v>
      </c>
      <c r="I5" s="1597">
        <f>SUMPRODUCT((B5:B9=基准地价!I2)*(C3:G3=基准地价!E2)*(C5:G9))</f>
        <v>0</v>
      </c>
      <c r="J5" s="1596" t="s">
        <v>1587</v>
      </c>
      <c r="K5" s="1574" t="s">
        <v>1588</v>
      </c>
      <c r="L5" s="1574" t="s">
        <v>1589</v>
      </c>
      <c r="M5" s="1574" t="s">
        <v>1590</v>
      </c>
      <c r="N5" s="1574" t="s">
        <v>1591</v>
      </c>
      <c r="O5" s="1574" t="s">
        <v>1592</v>
      </c>
      <c r="P5" s="1574" t="s">
        <v>1593</v>
      </c>
      <c r="Q5" s="1574" t="s">
        <v>1594</v>
      </c>
      <c r="R5" s="1574" t="s">
        <v>1595</v>
      </c>
      <c r="S5" s="1574" t="s">
        <v>1596</v>
      </c>
      <c r="T5" s="1574" t="s">
        <v>1597</v>
      </c>
      <c r="U5" s="1574" t="s">
        <v>1598</v>
      </c>
    </row>
    <row r="6" spans="1:21" ht="14.25" customHeight="1">
      <c r="A6" s="1574" t="s">
        <v>238</v>
      </c>
      <c r="B6" s="1574" t="s">
        <v>1562</v>
      </c>
      <c r="C6" s="1574">
        <v>36990</v>
      </c>
      <c r="D6" s="1574">
        <v>36850</v>
      </c>
      <c r="E6" s="1574">
        <v>36700</v>
      </c>
      <c r="F6" s="1575">
        <v>14590</v>
      </c>
      <c r="G6" s="1575">
        <v>27450</v>
      </c>
      <c r="H6" s="1576" t="s">
        <v>251</v>
      </c>
      <c r="I6" s="1598">
        <f>SUMPRODUCT((B10:B29=基准地价!I2)*(C3:G3=基准地价!E2)*(C10:G29))</f>
        <v>0</v>
      </c>
      <c r="J6" s="1596" t="s">
        <v>1599</v>
      </c>
      <c r="K6" s="1574" t="s">
        <v>1600</v>
      </c>
      <c r="L6" s="1574" t="s">
        <v>1601</v>
      </c>
      <c r="M6" s="1574" t="s">
        <v>1602</v>
      </c>
      <c r="N6" s="1574" t="s">
        <v>1603</v>
      </c>
      <c r="O6" s="1574" t="s">
        <v>1604</v>
      </c>
      <c r="P6" s="1574" t="s">
        <v>1605</v>
      </c>
      <c r="Q6" s="1574" t="s">
        <v>1606</v>
      </c>
      <c r="R6" s="1574" t="s">
        <v>1607</v>
      </c>
      <c r="S6" s="1574" t="s">
        <v>1608</v>
      </c>
      <c r="T6" s="1574" t="s">
        <v>1609</v>
      </c>
      <c r="U6" s="1574" t="s">
        <v>1610</v>
      </c>
    </row>
    <row r="7" spans="1:21" ht="14.25" customHeight="1">
      <c r="A7" s="1574" t="s">
        <v>238</v>
      </c>
      <c r="B7" s="1577" t="s">
        <v>1575</v>
      </c>
      <c r="C7" s="1574">
        <v>34850</v>
      </c>
      <c r="D7" s="1574">
        <v>34690</v>
      </c>
      <c r="E7" s="1574">
        <v>34550</v>
      </c>
      <c r="F7" s="1575">
        <v>14360</v>
      </c>
      <c r="G7" s="1575">
        <v>25620</v>
      </c>
      <c r="H7" s="1576" t="s">
        <v>263</v>
      </c>
      <c r="I7" s="1598">
        <f>SUMPRODUCT((B30:B54=基准地价!I2)*(C3:G3=基准地价!E2)*(C30:G54))</f>
        <v>0</v>
      </c>
      <c r="K7" s="1574" t="s">
        <v>1611</v>
      </c>
      <c r="L7" s="1574" t="s">
        <v>1612</v>
      </c>
      <c r="M7" s="1574" t="s">
        <v>1613</v>
      </c>
      <c r="N7" s="1574" t="s">
        <v>1614</v>
      </c>
      <c r="O7" s="1574" t="s">
        <v>1615</v>
      </c>
      <c r="P7" s="1574" t="s">
        <v>1616</v>
      </c>
      <c r="Q7" s="1574" t="s">
        <v>1617</v>
      </c>
      <c r="R7" s="1574" t="s">
        <v>1618</v>
      </c>
      <c r="S7" s="1574" t="s">
        <v>1619</v>
      </c>
      <c r="T7" s="1574" t="s">
        <v>1620</v>
      </c>
      <c r="U7" s="1577" t="s">
        <v>1621</v>
      </c>
    </row>
    <row r="8" spans="1:21" ht="14.25" customHeight="1">
      <c r="A8" s="1574" t="s">
        <v>238</v>
      </c>
      <c r="B8" s="1574" t="s">
        <v>1587</v>
      </c>
      <c r="C8" s="1574">
        <v>32630</v>
      </c>
      <c r="D8" s="1574">
        <v>32510</v>
      </c>
      <c r="E8" s="1574">
        <v>32420</v>
      </c>
      <c r="F8" s="1575">
        <v>13300</v>
      </c>
      <c r="G8" s="1575">
        <v>24010</v>
      </c>
      <c r="H8" s="1576" t="s">
        <v>273</v>
      </c>
      <c r="I8" s="1598">
        <f>SUMPRODUCT((B55:B86=基准地价!I2)*(C3:G3=基准地价!E2)*(C55:G86))</f>
        <v>0</v>
      </c>
      <c r="K8" s="1574" t="s">
        <v>1622</v>
      </c>
      <c r="L8" s="1574" t="s">
        <v>1623</v>
      </c>
      <c r="M8" s="1574" t="s">
        <v>1624</v>
      </c>
      <c r="N8" s="1574" t="s">
        <v>1625</v>
      </c>
      <c r="O8" s="1574" t="s">
        <v>1626</v>
      </c>
      <c r="P8" s="1574" t="s">
        <v>1627</v>
      </c>
      <c r="Q8" s="1574" t="s">
        <v>1628</v>
      </c>
      <c r="R8" s="1574" t="s">
        <v>1629</v>
      </c>
      <c r="S8" s="1574" t="s">
        <v>1630</v>
      </c>
      <c r="T8" s="1574" t="s">
        <v>1631</v>
      </c>
      <c r="U8" s="1574" t="s">
        <v>1632</v>
      </c>
    </row>
    <row r="9" spans="1:21" ht="14.25" customHeight="1">
      <c r="A9" s="1578" t="s">
        <v>238</v>
      </c>
      <c r="B9" s="1579" t="s">
        <v>1599</v>
      </c>
      <c r="C9" s="1580">
        <v>36370</v>
      </c>
      <c r="D9" s="1580">
        <v>36210</v>
      </c>
      <c r="E9" s="1580">
        <v>36050</v>
      </c>
      <c r="F9" s="1581"/>
      <c r="G9" s="1582">
        <v>26740</v>
      </c>
      <c r="H9" s="1576" t="s">
        <v>282</v>
      </c>
      <c r="I9" s="1598">
        <f>SUMPRODUCT((B87:B126=基准地价!I2)*(C3:G3=基准地价!E2)*(C87:G126))</f>
        <v>0</v>
      </c>
      <c r="K9" s="1574" t="s">
        <v>1633</v>
      </c>
      <c r="L9" s="1574" t="s">
        <v>1634</v>
      </c>
      <c r="M9" s="1574" t="s">
        <v>1635</v>
      </c>
      <c r="N9" s="1574" t="s">
        <v>1636</v>
      </c>
      <c r="O9" s="1574" t="s">
        <v>1637</v>
      </c>
      <c r="P9" s="1574" t="s">
        <v>1638</v>
      </c>
      <c r="Q9" s="1574" t="s">
        <v>1639</v>
      </c>
      <c r="R9" s="1574" t="s">
        <v>1640</v>
      </c>
      <c r="S9" s="1574" t="s">
        <v>1641</v>
      </c>
      <c r="T9" s="1574" t="s">
        <v>1642</v>
      </c>
    </row>
    <row r="10" spans="1:21" ht="14.25" customHeight="1">
      <c r="A10" s="1570" t="s">
        <v>251</v>
      </c>
      <c r="B10" s="1571" t="s">
        <v>1550</v>
      </c>
      <c r="C10" s="1571">
        <v>32350</v>
      </c>
      <c r="D10" s="1571">
        <v>31430</v>
      </c>
      <c r="E10" s="1571">
        <v>31320</v>
      </c>
      <c r="F10" s="1572">
        <v>10850</v>
      </c>
      <c r="G10" s="1572">
        <v>22860</v>
      </c>
      <c r="H10" s="1576" t="s">
        <v>290</v>
      </c>
      <c r="I10" s="1598">
        <f>SUMPRODUCT((B127:B189=基准地价!I2)*(C3:G3=基准地价!E2)*(C127:G189))</f>
        <v>0</v>
      </c>
      <c r="K10" s="1574" t="s">
        <v>1643</v>
      </c>
      <c r="L10" s="1574" t="s">
        <v>1644</v>
      </c>
      <c r="M10" s="1574" t="s">
        <v>1645</v>
      </c>
      <c r="N10" s="1574" t="s">
        <v>1646</v>
      </c>
      <c r="O10" s="1574" t="s">
        <v>1647</v>
      </c>
      <c r="P10" s="1574" t="s">
        <v>1648</v>
      </c>
      <c r="Q10" s="1574" t="s">
        <v>1649</v>
      </c>
      <c r="R10" s="1574" t="s">
        <v>1650</v>
      </c>
      <c r="S10" s="1574" t="s">
        <v>1651</v>
      </c>
      <c r="T10" s="1574" t="s">
        <v>1652</v>
      </c>
    </row>
    <row r="11" spans="1:21" ht="14.25" customHeight="1">
      <c r="A11" s="1574" t="s">
        <v>251</v>
      </c>
      <c r="B11" s="1577" t="s">
        <v>1563</v>
      </c>
      <c r="C11" s="1574">
        <v>31590</v>
      </c>
      <c r="D11" s="1574">
        <v>29490</v>
      </c>
      <c r="E11" s="1574">
        <v>28700</v>
      </c>
      <c r="F11" s="1583">
        <v>10410</v>
      </c>
      <c r="G11" s="1583">
        <v>21460</v>
      </c>
      <c r="H11" s="1576" t="s">
        <v>295</v>
      </c>
      <c r="I11" s="1598">
        <f>SUMPRODUCT((B190:B233=基准地价!I2)*(C3:G3=基准地价!E2)*(C190:G233))</f>
        <v>0</v>
      </c>
      <c r="K11" s="1574" t="s">
        <v>1653</v>
      </c>
      <c r="L11" s="1574" t="s">
        <v>1654</v>
      </c>
      <c r="M11" s="1574" t="s">
        <v>1655</v>
      </c>
      <c r="N11" s="1574" t="s">
        <v>1656</v>
      </c>
      <c r="O11" s="1574" t="s">
        <v>1657</v>
      </c>
      <c r="P11" s="1574" t="s">
        <v>1658</v>
      </c>
      <c r="Q11" s="1574" t="s">
        <v>1659</v>
      </c>
      <c r="R11" s="1574" t="s">
        <v>1660</v>
      </c>
      <c r="S11" s="1574" t="s">
        <v>1661</v>
      </c>
      <c r="T11" s="1574" t="s">
        <v>1662</v>
      </c>
    </row>
    <row r="12" spans="1:21" ht="14.25" customHeight="1">
      <c r="A12" s="1574" t="s">
        <v>251</v>
      </c>
      <c r="B12" s="1577" t="s">
        <v>1576</v>
      </c>
      <c r="C12" s="1574">
        <v>29640</v>
      </c>
      <c r="D12" s="1574">
        <v>27550</v>
      </c>
      <c r="E12" s="1574">
        <v>28010</v>
      </c>
      <c r="F12" s="1583">
        <v>8730</v>
      </c>
      <c r="G12" s="1583">
        <v>20050</v>
      </c>
      <c r="H12" s="1576" t="s">
        <v>301</v>
      </c>
      <c r="I12" s="1598">
        <f>SUMPRODUCT((B234:B276=基准地价!I2)*(C3:G3=基准地价!E2)*(C234:G276))</f>
        <v>0</v>
      </c>
      <c r="K12" s="1574" t="s">
        <v>1663</v>
      </c>
      <c r="L12" s="1574" t="s">
        <v>1664</v>
      </c>
      <c r="M12" s="1574" t="s">
        <v>1665</v>
      </c>
      <c r="N12" s="1574" t="s">
        <v>1666</v>
      </c>
      <c r="O12" s="1574" t="s">
        <v>1667</v>
      </c>
      <c r="P12" s="1574" t="s">
        <v>1668</v>
      </c>
      <c r="Q12" s="1574" t="s">
        <v>1669</v>
      </c>
      <c r="R12" s="1574" t="s">
        <v>1670</v>
      </c>
      <c r="S12" s="1574" t="s">
        <v>1671</v>
      </c>
      <c r="T12" s="1574" t="s">
        <v>1672</v>
      </c>
    </row>
    <row r="13" spans="1:21" ht="14.25" customHeight="1">
      <c r="A13" s="1574" t="s">
        <v>251</v>
      </c>
      <c r="B13" s="1577" t="s">
        <v>1588</v>
      </c>
      <c r="C13" s="1574">
        <v>29680</v>
      </c>
      <c r="D13" s="1574">
        <v>27660</v>
      </c>
      <c r="E13" s="1574">
        <v>28210</v>
      </c>
      <c r="F13" s="1583">
        <v>9590</v>
      </c>
      <c r="G13" s="1583">
        <v>20120</v>
      </c>
      <c r="H13" s="1576" t="s">
        <v>305</v>
      </c>
      <c r="I13" s="1598">
        <f>SUMPRODUCT((B277:B326=基准地价!I2)*(C3:G3=基准地价!E2)*(C277:G326))</f>
        <v>0</v>
      </c>
      <c r="K13" s="1574" t="s">
        <v>1673</v>
      </c>
      <c r="L13" s="1574" t="s">
        <v>1674</v>
      </c>
      <c r="M13" s="1574" t="s">
        <v>1675</v>
      </c>
      <c r="N13" s="1574" t="s">
        <v>1676</v>
      </c>
      <c r="O13" s="1574" t="s">
        <v>1677</v>
      </c>
      <c r="P13" s="1574" t="s">
        <v>1678</v>
      </c>
      <c r="Q13" s="1574" t="s">
        <v>1679</v>
      </c>
      <c r="R13" s="1574" t="s">
        <v>1680</v>
      </c>
      <c r="S13" s="1574" t="s">
        <v>1681</v>
      </c>
      <c r="T13" s="1574" t="s">
        <v>1682</v>
      </c>
    </row>
    <row r="14" spans="1:21" ht="14.25" customHeight="1">
      <c r="A14" s="1574" t="s">
        <v>251</v>
      </c>
      <c r="B14" s="1577" t="s">
        <v>1600</v>
      </c>
      <c r="C14" s="1574">
        <v>30520</v>
      </c>
      <c r="D14" s="1574">
        <v>29510</v>
      </c>
      <c r="E14" s="1574">
        <v>29400</v>
      </c>
      <c r="F14" s="1583">
        <v>9630</v>
      </c>
      <c r="G14" s="1583">
        <v>21480</v>
      </c>
      <c r="H14" s="1576" t="s">
        <v>309</v>
      </c>
      <c r="I14" s="1598">
        <f>SUMPRODUCT((B327:B357=基准地价!I2)*(C3:G3=基准地价!E2)*(C327:G357))</f>
        <v>0</v>
      </c>
      <c r="K14" s="1574" t="s">
        <v>1683</v>
      </c>
      <c r="L14" s="1574" t="s">
        <v>1684</v>
      </c>
      <c r="M14" s="1574" t="s">
        <v>1685</v>
      </c>
      <c r="N14" s="1574" t="s">
        <v>1686</v>
      </c>
      <c r="O14" s="1574" t="s">
        <v>1687</v>
      </c>
      <c r="P14" s="1574" t="s">
        <v>1688</v>
      </c>
      <c r="Q14" s="1574" t="s">
        <v>1689</v>
      </c>
      <c r="R14" s="1574" t="s">
        <v>1690</v>
      </c>
      <c r="S14" s="1574" t="s">
        <v>1691</v>
      </c>
      <c r="T14" s="1574" t="s">
        <v>1692</v>
      </c>
    </row>
    <row r="15" spans="1:21" ht="14.25" customHeight="1">
      <c r="A15" s="1574" t="s">
        <v>251</v>
      </c>
      <c r="B15" s="1577" t="s">
        <v>1611</v>
      </c>
      <c r="C15" s="1574">
        <v>29090</v>
      </c>
      <c r="D15" s="1574">
        <v>27590</v>
      </c>
      <c r="E15" s="1574">
        <v>28120</v>
      </c>
      <c r="F15" s="1583">
        <v>9110</v>
      </c>
      <c r="G15" s="1583">
        <v>20070</v>
      </c>
      <c r="H15" s="1576" t="s">
        <v>313</v>
      </c>
      <c r="I15" s="1598">
        <f>SUMPRODUCT((B358:B377=基准地价!I2)*(C3:G3=基准地价!E2)*(C358:G377))</f>
        <v>0</v>
      </c>
      <c r="K15" s="1574" t="s">
        <v>1693</v>
      </c>
      <c r="L15" s="1574" t="s">
        <v>1694</v>
      </c>
      <c r="M15" s="1574" t="s">
        <v>1695</v>
      </c>
      <c r="N15" s="1574" t="s">
        <v>1696</v>
      </c>
      <c r="O15" s="1574" t="s">
        <v>1697</v>
      </c>
      <c r="P15" s="1574" t="s">
        <v>1698</v>
      </c>
      <c r="Q15" s="1574" t="s">
        <v>1699</v>
      </c>
      <c r="R15" s="1574" t="s">
        <v>1700</v>
      </c>
      <c r="S15" s="1574" t="s">
        <v>1701</v>
      </c>
      <c r="T15" s="1574" t="s">
        <v>1702</v>
      </c>
    </row>
    <row r="16" spans="1:21" ht="14.25" customHeight="1">
      <c r="A16" s="1574" t="s">
        <v>251</v>
      </c>
      <c r="B16" s="1577" t="s">
        <v>1622</v>
      </c>
      <c r="C16" s="1574">
        <v>26790</v>
      </c>
      <c r="D16" s="1574">
        <v>30370</v>
      </c>
      <c r="E16" s="1574">
        <v>30240</v>
      </c>
      <c r="F16" s="1583">
        <v>11590</v>
      </c>
      <c r="G16" s="1583">
        <v>22090</v>
      </c>
      <c r="H16" s="1584" t="s">
        <v>317</v>
      </c>
      <c r="I16" s="1599">
        <f>SUMPRODUCT((B378:B384=基准地价!I2)*(C3:G3=基准地价!E2)*(C378:G384))</f>
        <v>0</v>
      </c>
      <c r="K16" s="1574" t="s">
        <v>1703</v>
      </c>
      <c r="L16" s="1574" t="s">
        <v>1704</v>
      </c>
      <c r="M16" s="1574" t="s">
        <v>1705</v>
      </c>
      <c r="N16" s="1574" t="s">
        <v>1706</v>
      </c>
      <c r="O16" s="1574" t="s">
        <v>1707</v>
      </c>
      <c r="P16" s="1574" t="s">
        <v>1708</v>
      </c>
      <c r="Q16" s="1574" t="s">
        <v>1709</v>
      </c>
      <c r="R16" s="1574" t="s">
        <v>1710</v>
      </c>
      <c r="S16" s="1574" t="s">
        <v>1711</v>
      </c>
      <c r="T16" s="1574" t="s">
        <v>1712</v>
      </c>
    </row>
    <row r="17" spans="1:20" ht="14.25" customHeight="1">
      <c r="A17" s="1574" t="s">
        <v>251</v>
      </c>
      <c r="B17" s="1577" t="s">
        <v>1633</v>
      </c>
      <c r="C17" s="1574">
        <v>29180</v>
      </c>
      <c r="D17" s="1574">
        <v>27620</v>
      </c>
      <c r="E17" s="1574">
        <v>28180</v>
      </c>
      <c r="F17" s="1583">
        <v>10790</v>
      </c>
      <c r="G17" s="1585">
        <v>20090</v>
      </c>
      <c r="I17" s="1600"/>
      <c r="K17" s="1574" t="s">
        <v>1713</v>
      </c>
      <c r="L17" s="1574" t="s">
        <v>1714</v>
      </c>
      <c r="M17" s="1574" t="s">
        <v>1715</v>
      </c>
      <c r="N17" s="1574" t="s">
        <v>1716</v>
      </c>
      <c r="O17" s="1574" t="s">
        <v>1717</v>
      </c>
      <c r="P17" s="1574" t="s">
        <v>1718</v>
      </c>
      <c r="Q17" s="1574" t="s">
        <v>1719</v>
      </c>
      <c r="R17" s="1574" t="s">
        <v>1720</v>
      </c>
      <c r="S17" s="1574" t="s">
        <v>1721</v>
      </c>
      <c r="T17" s="1574" t="s">
        <v>1722</v>
      </c>
    </row>
    <row r="18" spans="1:20" ht="14.25" customHeight="1">
      <c r="A18" s="1574" t="s">
        <v>251</v>
      </c>
      <c r="B18" s="1577" t="s">
        <v>1643</v>
      </c>
      <c r="C18" s="1574">
        <v>26840</v>
      </c>
      <c r="D18" s="1574">
        <v>28930</v>
      </c>
      <c r="E18" s="1574">
        <v>28820</v>
      </c>
      <c r="F18" s="1583"/>
      <c r="G18" s="1585">
        <v>21050</v>
      </c>
      <c r="I18" s="1600"/>
      <c r="K18" s="1574" t="s">
        <v>1723</v>
      </c>
      <c r="L18" s="1574" t="s">
        <v>1724</v>
      </c>
      <c r="M18" s="1574" t="s">
        <v>1725</v>
      </c>
      <c r="N18" s="1574" t="s">
        <v>1726</v>
      </c>
      <c r="O18" s="1574" t="s">
        <v>1727</v>
      </c>
      <c r="P18" s="1574" t="s">
        <v>1728</v>
      </c>
      <c r="Q18" s="1574" t="s">
        <v>1729</v>
      </c>
      <c r="R18" s="1574" t="s">
        <v>1730</v>
      </c>
      <c r="S18" s="1574" t="s">
        <v>1731</v>
      </c>
      <c r="T18" s="1574" t="s">
        <v>1732</v>
      </c>
    </row>
    <row r="19" spans="1:20" ht="14.25" customHeight="1">
      <c r="A19" s="1574" t="s">
        <v>251</v>
      </c>
      <c r="B19" s="1577" t="s">
        <v>1653</v>
      </c>
      <c r="C19" s="1574">
        <v>27750</v>
      </c>
      <c r="D19" s="1574">
        <v>26680</v>
      </c>
      <c r="E19" s="1574">
        <v>26590</v>
      </c>
      <c r="F19" s="1583"/>
      <c r="G19" s="1585">
        <v>19420</v>
      </c>
      <c r="I19" s="1600"/>
      <c r="K19" s="1574" t="s">
        <v>1733</v>
      </c>
      <c r="L19" s="1574" t="s">
        <v>1734</v>
      </c>
      <c r="M19" s="1574" t="s">
        <v>1735</v>
      </c>
      <c r="N19" s="1574" t="s">
        <v>1736</v>
      </c>
      <c r="O19" s="1574" t="s">
        <v>1737</v>
      </c>
      <c r="P19" s="1574" t="s">
        <v>1738</v>
      </c>
      <c r="Q19" s="1574" t="s">
        <v>1739</v>
      </c>
      <c r="R19" s="1574" t="s">
        <v>1740</v>
      </c>
      <c r="S19" s="1574" t="s">
        <v>1741</v>
      </c>
      <c r="T19" s="1574" t="s">
        <v>1742</v>
      </c>
    </row>
    <row r="20" spans="1:20" ht="14.25" customHeight="1">
      <c r="A20" s="1574" t="s">
        <v>251</v>
      </c>
      <c r="B20" s="1577" t="s">
        <v>1663</v>
      </c>
      <c r="C20" s="1574">
        <v>27050</v>
      </c>
      <c r="D20" s="1574">
        <v>29010</v>
      </c>
      <c r="E20" s="1574">
        <v>28910</v>
      </c>
      <c r="F20" s="1583"/>
      <c r="G20" s="1585">
        <v>21110</v>
      </c>
      <c r="K20" s="1574" t="s">
        <v>1743</v>
      </c>
      <c r="L20" s="1574" t="s">
        <v>1744</v>
      </c>
      <c r="M20" s="1574" t="s">
        <v>1745</v>
      </c>
      <c r="N20" s="1574" t="s">
        <v>1746</v>
      </c>
      <c r="O20" s="1574" t="s">
        <v>1747</v>
      </c>
      <c r="P20" s="1574" t="s">
        <v>1748</v>
      </c>
      <c r="Q20" s="1574" t="s">
        <v>1749</v>
      </c>
      <c r="R20" s="1574" t="s">
        <v>1750</v>
      </c>
      <c r="S20" s="1574" t="s">
        <v>1751</v>
      </c>
      <c r="T20" s="1574" t="s">
        <v>1752</v>
      </c>
    </row>
    <row r="21" spans="1:20" ht="14.25" customHeight="1">
      <c r="A21" s="1574" t="s">
        <v>251</v>
      </c>
      <c r="B21" s="1577" t="s">
        <v>1673</v>
      </c>
      <c r="C21" s="1574">
        <v>32370</v>
      </c>
      <c r="D21" s="1574">
        <v>26730</v>
      </c>
      <c r="E21" s="1574">
        <v>26640</v>
      </c>
      <c r="F21" s="1583"/>
      <c r="G21" s="1585">
        <v>19440</v>
      </c>
      <c r="K21" s="1601" t="s">
        <v>1753</v>
      </c>
      <c r="L21" s="1574" t="s">
        <v>1754</v>
      </c>
      <c r="M21" s="1574" t="s">
        <v>1755</v>
      </c>
      <c r="N21" s="1574" t="s">
        <v>1756</v>
      </c>
      <c r="O21" s="1574" t="s">
        <v>1757</v>
      </c>
      <c r="P21" s="1574" t="s">
        <v>1758</v>
      </c>
      <c r="Q21" s="1574" t="s">
        <v>1759</v>
      </c>
      <c r="R21" s="1574" t="s">
        <v>1760</v>
      </c>
      <c r="S21" s="1574" t="s">
        <v>1761</v>
      </c>
      <c r="T21" s="1574" t="s">
        <v>1762</v>
      </c>
    </row>
    <row r="22" spans="1:20" ht="14.25" customHeight="1">
      <c r="A22" s="1574" t="s">
        <v>251</v>
      </c>
      <c r="B22" s="1577" t="s">
        <v>1683</v>
      </c>
      <c r="C22" s="1574">
        <v>29830</v>
      </c>
      <c r="D22" s="1574">
        <v>27600</v>
      </c>
      <c r="E22" s="1574">
        <v>28150</v>
      </c>
      <c r="F22" s="1583"/>
      <c r="G22" s="1585">
        <v>20080</v>
      </c>
      <c r="L22" s="1601" t="s">
        <v>1763</v>
      </c>
      <c r="M22" s="1574" t="s">
        <v>1764</v>
      </c>
      <c r="N22" s="1574" t="s">
        <v>1765</v>
      </c>
      <c r="O22" s="1574" t="s">
        <v>1766</v>
      </c>
      <c r="P22" s="1574" t="s">
        <v>1767</v>
      </c>
      <c r="Q22" s="1574" t="s">
        <v>1768</v>
      </c>
      <c r="R22" s="1574" t="s">
        <v>1769</v>
      </c>
      <c r="S22" s="1574" t="s">
        <v>1770</v>
      </c>
      <c r="T22" s="1577"/>
    </row>
    <row r="23" spans="1:20" ht="14.25" customHeight="1">
      <c r="A23" s="1574" t="s">
        <v>251</v>
      </c>
      <c r="B23" s="1577" t="s">
        <v>1693</v>
      </c>
      <c r="C23" s="1574">
        <v>27800</v>
      </c>
      <c r="D23" s="1574">
        <v>26900</v>
      </c>
      <c r="E23" s="1574">
        <v>27170</v>
      </c>
      <c r="F23" s="1583"/>
      <c r="G23" s="1585">
        <v>19570</v>
      </c>
      <c r="L23" s="1601" t="s">
        <v>1771</v>
      </c>
      <c r="M23" s="1574" t="s">
        <v>1772</v>
      </c>
      <c r="N23" s="1574" t="s">
        <v>1773</v>
      </c>
      <c r="O23" s="1574" t="s">
        <v>1774</v>
      </c>
      <c r="P23" s="1574" t="s">
        <v>1775</v>
      </c>
      <c r="Q23" s="1574" t="s">
        <v>1776</v>
      </c>
      <c r="R23" s="1574" t="s">
        <v>1777</v>
      </c>
      <c r="S23" s="1574" t="s">
        <v>1778</v>
      </c>
    </row>
    <row r="24" spans="1:20" ht="14.25" customHeight="1">
      <c r="A24" s="1574" t="s">
        <v>251</v>
      </c>
      <c r="B24" s="1577" t="s">
        <v>1703</v>
      </c>
      <c r="C24" s="1574">
        <v>27930</v>
      </c>
      <c r="D24" s="1574">
        <v>32260</v>
      </c>
      <c r="E24" s="1574">
        <v>32120</v>
      </c>
      <c r="F24" s="1583"/>
      <c r="G24" s="1585">
        <v>23470</v>
      </c>
      <c r="L24" s="1601" t="s">
        <v>1779</v>
      </c>
      <c r="M24" s="1574" t="s">
        <v>1780</v>
      </c>
      <c r="N24" s="1574" t="s">
        <v>1781</v>
      </c>
      <c r="O24" s="1574" t="s">
        <v>1782</v>
      </c>
      <c r="P24" s="1574" t="s">
        <v>1783</v>
      </c>
      <c r="Q24" s="1574" t="s">
        <v>1784</v>
      </c>
      <c r="R24" s="1574" t="s">
        <v>1785</v>
      </c>
      <c r="S24" s="1574" t="s">
        <v>1786</v>
      </c>
    </row>
    <row r="25" spans="1:20" ht="14.25" customHeight="1">
      <c r="A25" s="1574" t="s">
        <v>251</v>
      </c>
      <c r="B25" s="1577" t="s">
        <v>1713</v>
      </c>
      <c r="C25" s="1574">
        <v>32230</v>
      </c>
      <c r="D25" s="1574">
        <v>29640</v>
      </c>
      <c r="E25" s="1574">
        <v>29510</v>
      </c>
      <c r="F25" s="1583"/>
      <c r="G25" s="1585">
        <v>21560</v>
      </c>
      <c r="L25" s="1601" t="s">
        <v>1787</v>
      </c>
      <c r="M25" s="1574" t="s">
        <v>1788</v>
      </c>
      <c r="N25" s="1574" t="s">
        <v>1789</v>
      </c>
      <c r="O25" s="1574" t="s">
        <v>1790</v>
      </c>
      <c r="P25" s="1574" t="s">
        <v>1791</v>
      </c>
      <c r="Q25" s="1574" t="s">
        <v>1792</v>
      </c>
      <c r="R25" s="1574" t="s">
        <v>1793</v>
      </c>
      <c r="S25" s="1574" t="s">
        <v>1794</v>
      </c>
    </row>
    <row r="26" spans="1:20" ht="14.25" customHeight="1">
      <c r="A26" s="1574" t="s">
        <v>251</v>
      </c>
      <c r="B26" s="1577" t="s">
        <v>1723</v>
      </c>
      <c r="C26" s="1574">
        <v>31690</v>
      </c>
      <c r="D26" s="1574">
        <v>27650</v>
      </c>
      <c r="E26" s="1574">
        <v>28200</v>
      </c>
      <c r="F26" s="1583"/>
      <c r="G26" s="1585">
        <v>20110</v>
      </c>
      <c r="L26" s="1601" t="s">
        <v>1795</v>
      </c>
      <c r="M26" s="1574" t="s">
        <v>1796</v>
      </c>
      <c r="N26" s="1574" t="s">
        <v>1797</v>
      </c>
      <c r="O26" s="1574" t="s">
        <v>1798</v>
      </c>
      <c r="P26" s="1574" t="s">
        <v>1799</v>
      </c>
      <c r="Q26" s="1574" t="s">
        <v>1800</v>
      </c>
      <c r="R26" s="1574" t="s">
        <v>1801</v>
      </c>
      <c r="S26" s="1574" t="s">
        <v>1802</v>
      </c>
    </row>
    <row r="27" spans="1:20" ht="14.25" customHeight="1">
      <c r="A27" s="1574" t="s">
        <v>251</v>
      </c>
      <c r="B27" s="1577" t="s">
        <v>1733</v>
      </c>
      <c r="C27" s="1574">
        <v>29610</v>
      </c>
      <c r="D27" s="1574">
        <v>27770</v>
      </c>
      <c r="E27" s="1574">
        <v>28300</v>
      </c>
      <c r="F27" s="1583"/>
      <c r="G27" s="1585">
        <v>20210</v>
      </c>
      <c r="M27" s="1574" t="s">
        <v>1803</v>
      </c>
      <c r="N27" s="1574" t="s">
        <v>1804</v>
      </c>
      <c r="O27" s="1574" t="s">
        <v>1805</v>
      </c>
      <c r="P27" s="1574" t="s">
        <v>1806</v>
      </c>
      <c r="Q27" s="1574" t="s">
        <v>1807</v>
      </c>
      <c r="R27" s="1574" t="s">
        <v>1808</v>
      </c>
      <c r="S27" s="1574" t="s">
        <v>1809</v>
      </c>
    </row>
    <row r="28" spans="1:20" ht="14.25" customHeight="1">
      <c r="A28" s="1578" t="s">
        <v>251</v>
      </c>
      <c r="B28" s="1586" t="s">
        <v>1743</v>
      </c>
      <c r="C28" s="1587"/>
      <c r="D28" s="1587">
        <v>31520</v>
      </c>
      <c r="E28" s="1587">
        <v>31410</v>
      </c>
      <c r="F28" s="1588"/>
      <c r="G28" s="1589">
        <v>22940</v>
      </c>
      <c r="M28" s="1574" t="s">
        <v>1810</v>
      </c>
      <c r="N28" s="1574" t="s">
        <v>1811</v>
      </c>
      <c r="O28" s="1574" t="s">
        <v>1812</v>
      </c>
      <c r="P28" s="1574" t="s">
        <v>1813</v>
      </c>
      <c r="Q28" s="1574" t="s">
        <v>1814</v>
      </c>
      <c r="R28" s="1574" t="s">
        <v>1815</v>
      </c>
      <c r="S28" s="1601" t="s">
        <v>1816</v>
      </c>
    </row>
    <row r="29" spans="1:20" ht="14.25" customHeight="1">
      <c r="A29" s="1590" t="s">
        <v>251</v>
      </c>
      <c r="B29" s="1580" t="s">
        <v>1753</v>
      </c>
      <c r="C29" s="1580"/>
      <c r="D29" s="1580">
        <v>29460</v>
      </c>
      <c r="E29" s="1580">
        <v>28640</v>
      </c>
      <c r="F29" s="1581"/>
      <c r="G29" s="1591">
        <v>21430</v>
      </c>
      <c r="M29" s="1601" t="s">
        <v>1817</v>
      </c>
      <c r="N29" s="1574" t="s">
        <v>1818</v>
      </c>
      <c r="O29" s="1574" t="s">
        <v>1819</v>
      </c>
      <c r="P29" s="1574" t="s">
        <v>1820</v>
      </c>
      <c r="Q29" s="1574" t="s">
        <v>1821</v>
      </c>
      <c r="R29" s="1574" t="s">
        <v>1822</v>
      </c>
      <c r="S29" s="1601" t="s">
        <v>1823</v>
      </c>
    </row>
    <row r="30" spans="1:20" ht="14.25" customHeight="1">
      <c r="A30" s="1578" t="s">
        <v>263</v>
      </c>
      <c r="B30" s="1577" t="s">
        <v>1551</v>
      </c>
      <c r="C30" s="1577">
        <v>26890</v>
      </c>
      <c r="D30" s="1577">
        <v>26770</v>
      </c>
      <c r="E30" s="1577">
        <v>25700</v>
      </c>
      <c r="F30" s="1575">
        <v>8180</v>
      </c>
      <c r="G30" s="1575">
        <v>18740</v>
      </c>
      <c r="I30" s="1600"/>
      <c r="M30" s="1601" t="s">
        <v>1824</v>
      </c>
      <c r="N30" s="1574" t="s">
        <v>1825</v>
      </c>
      <c r="O30" s="1574" t="s">
        <v>1826</v>
      </c>
      <c r="P30" s="1574" t="s">
        <v>1827</v>
      </c>
      <c r="Q30" s="1574" t="s">
        <v>1828</v>
      </c>
      <c r="R30" s="1574" t="s">
        <v>1829</v>
      </c>
      <c r="S30" s="1601" t="s">
        <v>1830</v>
      </c>
    </row>
    <row r="31" spans="1:20" ht="14.25" customHeight="1">
      <c r="A31" s="1574" t="s">
        <v>263</v>
      </c>
      <c r="B31" s="1577" t="s">
        <v>1564</v>
      </c>
      <c r="C31" s="1574">
        <v>24550</v>
      </c>
      <c r="D31" s="1574">
        <v>23990</v>
      </c>
      <c r="E31" s="1574">
        <v>22930</v>
      </c>
      <c r="F31" s="1583">
        <v>7470</v>
      </c>
      <c r="G31" s="1583">
        <v>16790</v>
      </c>
      <c r="I31" s="1600"/>
      <c r="M31" s="1601" t="s">
        <v>1831</v>
      </c>
      <c r="N31" s="1574" t="s">
        <v>1832</v>
      </c>
      <c r="O31" s="1574" t="s">
        <v>1833</v>
      </c>
      <c r="P31" s="1574" t="s">
        <v>1834</v>
      </c>
      <c r="Q31" s="1574" t="s">
        <v>1835</v>
      </c>
      <c r="R31" s="1574" t="s">
        <v>1836</v>
      </c>
      <c r="S31" s="1601" t="s">
        <v>1837</v>
      </c>
    </row>
    <row r="32" spans="1:20" ht="14.25" customHeight="1">
      <c r="A32" s="1574" t="s">
        <v>263</v>
      </c>
      <c r="B32" s="1577" t="s">
        <v>1577</v>
      </c>
      <c r="C32" s="1574">
        <v>27210</v>
      </c>
      <c r="D32" s="1574">
        <v>23240</v>
      </c>
      <c r="E32" s="1574">
        <v>23260</v>
      </c>
      <c r="F32" s="1583">
        <v>7130</v>
      </c>
      <c r="G32" s="1583">
        <v>16270</v>
      </c>
      <c r="I32" s="1600"/>
      <c r="M32" s="1601" t="s">
        <v>1838</v>
      </c>
      <c r="N32" s="1574" t="s">
        <v>1839</v>
      </c>
      <c r="O32" s="1574" t="s">
        <v>1840</v>
      </c>
      <c r="P32" s="1574" t="s">
        <v>1841</v>
      </c>
      <c r="Q32" s="1574" t="s">
        <v>1842</v>
      </c>
      <c r="R32" s="1574" t="s">
        <v>1843</v>
      </c>
      <c r="S32" s="1601" t="s">
        <v>1844</v>
      </c>
    </row>
    <row r="33" spans="1:18" ht="14.25" customHeight="1">
      <c r="A33" s="1574" t="s">
        <v>263</v>
      </c>
      <c r="B33" s="1577" t="s">
        <v>1589</v>
      </c>
      <c r="C33" s="1574">
        <v>27300</v>
      </c>
      <c r="D33" s="1574">
        <v>22980</v>
      </c>
      <c r="E33" s="1574">
        <v>24260</v>
      </c>
      <c r="F33" s="1583">
        <v>5860</v>
      </c>
      <c r="G33" s="1583">
        <v>16090</v>
      </c>
      <c r="I33" s="1600"/>
      <c r="M33" s="1601" t="s">
        <v>1845</v>
      </c>
      <c r="N33" s="1574" t="s">
        <v>1846</v>
      </c>
      <c r="O33" s="1574" t="s">
        <v>1847</v>
      </c>
      <c r="P33" s="1574" t="s">
        <v>1848</v>
      </c>
      <c r="Q33" s="1574" t="s">
        <v>1849</v>
      </c>
      <c r="R33" s="1574" t="s">
        <v>1850</v>
      </c>
    </row>
    <row r="34" spans="1:18" ht="14.25" customHeight="1">
      <c r="A34" s="1574" t="s">
        <v>263</v>
      </c>
      <c r="B34" s="1577" t="s">
        <v>1601</v>
      </c>
      <c r="C34" s="1574">
        <v>23090</v>
      </c>
      <c r="D34" s="1574">
        <v>23390</v>
      </c>
      <c r="E34" s="1574">
        <v>23510</v>
      </c>
      <c r="F34" s="1583">
        <v>6700</v>
      </c>
      <c r="G34" s="1583">
        <v>16370</v>
      </c>
      <c r="I34" s="1600"/>
      <c r="N34" s="1574" t="s">
        <v>1851</v>
      </c>
      <c r="O34" s="1574" t="s">
        <v>1852</v>
      </c>
      <c r="P34" s="1574" t="s">
        <v>1853</v>
      </c>
      <c r="Q34" s="1574" t="s">
        <v>1854</v>
      </c>
      <c r="R34" s="1574" t="s">
        <v>1855</v>
      </c>
    </row>
    <row r="35" spans="1:18" ht="14.25" customHeight="1">
      <c r="A35" s="1574" t="s">
        <v>263</v>
      </c>
      <c r="B35" s="1577" t="s">
        <v>1612</v>
      </c>
      <c r="C35" s="1574">
        <v>27270</v>
      </c>
      <c r="D35" s="1574">
        <v>24270</v>
      </c>
      <c r="E35" s="1574">
        <v>24950</v>
      </c>
      <c r="F35" s="1583">
        <v>6600</v>
      </c>
      <c r="G35" s="1583">
        <v>16990</v>
      </c>
      <c r="I35" s="1600"/>
      <c r="N35" s="1574" t="s">
        <v>1856</v>
      </c>
      <c r="O35" s="1574" t="s">
        <v>1857</v>
      </c>
      <c r="P35" s="1574" t="s">
        <v>1858</v>
      </c>
      <c r="Q35" s="1574" t="s">
        <v>1859</v>
      </c>
      <c r="R35" s="1574" t="s">
        <v>1860</v>
      </c>
    </row>
    <row r="36" spans="1:18" ht="14.25" customHeight="1">
      <c r="A36" s="1574" t="s">
        <v>263</v>
      </c>
      <c r="B36" s="1577" t="s">
        <v>1623</v>
      </c>
      <c r="C36" s="1574">
        <v>23490</v>
      </c>
      <c r="D36" s="1574">
        <v>23020</v>
      </c>
      <c r="E36" s="1574">
        <v>25230</v>
      </c>
      <c r="F36" s="1583">
        <v>6780</v>
      </c>
      <c r="G36" s="1583">
        <v>16120</v>
      </c>
      <c r="I36" s="1600"/>
      <c r="N36" s="1601" t="s">
        <v>1861</v>
      </c>
      <c r="O36" s="1602" t="s">
        <v>1862</v>
      </c>
      <c r="P36" s="1574" t="s">
        <v>1863</v>
      </c>
      <c r="Q36" s="1574" t="s">
        <v>1864</v>
      </c>
      <c r="R36" s="1574" t="s">
        <v>1865</v>
      </c>
    </row>
    <row r="37" spans="1:18" ht="14.25" customHeight="1">
      <c r="A37" s="1574" t="s">
        <v>263</v>
      </c>
      <c r="B37" s="1577" t="s">
        <v>1634</v>
      </c>
      <c r="C37" s="1574">
        <v>24380</v>
      </c>
      <c r="D37" s="1574">
        <v>22240</v>
      </c>
      <c r="E37" s="1574">
        <v>25980</v>
      </c>
      <c r="F37" s="1583">
        <v>8160</v>
      </c>
      <c r="G37" s="1583">
        <v>15570</v>
      </c>
      <c r="I37" s="1603"/>
      <c r="N37" s="1601" t="s">
        <v>1866</v>
      </c>
      <c r="O37" s="1602" t="s">
        <v>1867</v>
      </c>
      <c r="P37" s="1574" t="s">
        <v>1868</v>
      </c>
      <c r="Q37" s="1574" t="s">
        <v>1869</v>
      </c>
      <c r="R37" s="1574" t="s">
        <v>1870</v>
      </c>
    </row>
    <row r="38" spans="1:18" ht="14.25" customHeight="1">
      <c r="A38" s="1574" t="s">
        <v>263</v>
      </c>
      <c r="B38" s="1577" t="s">
        <v>1644</v>
      </c>
      <c r="C38" s="1574">
        <v>23120</v>
      </c>
      <c r="D38" s="1574">
        <v>24630</v>
      </c>
      <c r="E38" s="1574">
        <v>25030</v>
      </c>
      <c r="F38" s="1583">
        <v>7710</v>
      </c>
      <c r="G38" s="1583">
        <v>17240</v>
      </c>
      <c r="I38" s="1604"/>
      <c r="N38" s="1601" t="s">
        <v>1871</v>
      </c>
      <c r="O38" s="1602" t="s">
        <v>1872</v>
      </c>
      <c r="P38" s="1574" t="s">
        <v>1873</v>
      </c>
      <c r="Q38" s="1574" t="s">
        <v>1874</v>
      </c>
      <c r="R38" s="1574" t="s">
        <v>1875</v>
      </c>
    </row>
    <row r="39" spans="1:18" ht="14.25" customHeight="1">
      <c r="A39" s="1574" t="s">
        <v>263</v>
      </c>
      <c r="B39" s="1577" t="s">
        <v>1654</v>
      </c>
      <c r="C39" s="1574">
        <v>22330</v>
      </c>
      <c r="D39" s="1574">
        <v>21140</v>
      </c>
      <c r="E39" s="1574">
        <v>23970</v>
      </c>
      <c r="F39" s="1583">
        <v>7940</v>
      </c>
      <c r="G39" s="1583">
        <v>14790</v>
      </c>
      <c r="I39" s="1604"/>
      <c r="N39" s="1601" t="s">
        <v>1876</v>
      </c>
      <c r="O39" s="1602" t="s">
        <v>1877</v>
      </c>
      <c r="P39" s="1574" t="s">
        <v>1878</v>
      </c>
      <c r="Q39" s="1574" t="s">
        <v>1879</v>
      </c>
      <c r="R39" s="1574" t="s">
        <v>1880</v>
      </c>
    </row>
    <row r="40" spans="1:18" ht="14.25" customHeight="1">
      <c r="A40" s="1574" t="s">
        <v>263</v>
      </c>
      <c r="B40" s="1577" t="s">
        <v>1664</v>
      </c>
      <c r="C40" s="1574">
        <v>24740</v>
      </c>
      <c r="D40" s="1574">
        <v>24690</v>
      </c>
      <c r="E40" s="1574">
        <v>22610</v>
      </c>
      <c r="F40" s="1583"/>
      <c r="G40" s="1583">
        <v>17280</v>
      </c>
      <c r="I40" s="1604"/>
      <c r="N40" s="1601" t="s">
        <v>1881</v>
      </c>
      <c r="O40" s="1602" t="s">
        <v>1882</v>
      </c>
      <c r="P40" s="1574" t="s">
        <v>1883</v>
      </c>
      <c r="Q40" s="1574" t="s">
        <v>1884</v>
      </c>
      <c r="R40" s="1574" t="s">
        <v>1885</v>
      </c>
    </row>
    <row r="41" spans="1:18" ht="14.25" customHeight="1">
      <c r="A41" s="1574" t="s">
        <v>263</v>
      </c>
      <c r="B41" s="1577" t="s">
        <v>1674</v>
      </c>
      <c r="C41" s="1574">
        <v>21220</v>
      </c>
      <c r="D41" s="1574">
        <v>21120</v>
      </c>
      <c r="E41" s="1574">
        <v>22590</v>
      </c>
      <c r="F41" s="1583"/>
      <c r="G41" s="1583">
        <v>14780</v>
      </c>
      <c r="I41" s="1604"/>
      <c r="N41" s="1601" t="s">
        <v>1886</v>
      </c>
      <c r="O41" s="1605" t="s">
        <v>1887</v>
      </c>
      <c r="P41" s="1577" t="s">
        <v>1888</v>
      </c>
      <c r="Q41" s="1601" t="s">
        <v>1889</v>
      </c>
      <c r="R41" s="1577" t="s">
        <v>1890</v>
      </c>
    </row>
    <row r="42" spans="1:18" ht="14.25" customHeight="1">
      <c r="A42" s="1574" t="s">
        <v>263</v>
      </c>
      <c r="B42" s="1577" t="s">
        <v>1684</v>
      </c>
      <c r="C42" s="1574">
        <v>24800</v>
      </c>
      <c r="D42" s="1574">
        <v>22280</v>
      </c>
      <c r="E42" s="1574">
        <v>24350</v>
      </c>
      <c r="F42" s="1583"/>
      <c r="G42" s="1583">
        <v>15590</v>
      </c>
      <c r="I42" s="1604"/>
      <c r="O42" s="1574" t="s">
        <v>1891</v>
      </c>
      <c r="P42" s="1574" t="s">
        <v>1892</v>
      </c>
      <c r="Q42" s="1601" t="s">
        <v>1893</v>
      </c>
      <c r="R42" s="1574" t="s">
        <v>1894</v>
      </c>
    </row>
    <row r="43" spans="1:18" ht="14.25" customHeight="1">
      <c r="A43" s="1574" t="s">
        <v>263</v>
      </c>
      <c r="B43" s="1577" t="s">
        <v>1694</v>
      </c>
      <c r="C43" s="1574">
        <v>21210</v>
      </c>
      <c r="D43" s="1574">
        <v>21160</v>
      </c>
      <c r="E43" s="1574">
        <v>22650</v>
      </c>
      <c r="F43" s="1583"/>
      <c r="G43" s="1583">
        <v>14800</v>
      </c>
      <c r="I43" s="1604"/>
      <c r="O43" s="1574" t="s">
        <v>1895</v>
      </c>
      <c r="P43" s="1574" t="s">
        <v>1896</v>
      </c>
      <c r="Q43" s="1601" t="s">
        <v>1897</v>
      </c>
      <c r="R43" s="1574" t="s">
        <v>1898</v>
      </c>
    </row>
    <row r="44" spans="1:18" ht="14.25" customHeight="1">
      <c r="A44" s="1574" t="s">
        <v>263</v>
      </c>
      <c r="B44" s="1577" t="s">
        <v>1704</v>
      </c>
      <c r="C44" s="1574">
        <v>22370</v>
      </c>
      <c r="D44" s="1574">
        <v>23140</v>
      </c>
      <c r="E44" s="1574">
        <v>25090</v>
      </c>
      <c r="F44" s="1583"/>
      <c r="G44" s="1583">
        <v>16190</v>
      </c>
      <c r="I44" s="1604"/>
      <c r="O44" s="1574" t="s">
        <v>1899</v>
      </c>
      <c r="P44" s="1574" t="s">
        <v>1900</v>
      </c>
      <c r="Q44" s="1601" t="s">
        <v>1901</v>
      </c>
      <c r="R44" s="1574" t="s">
        <v>1902</v>
      </c>
    </row>
    <row r="45" spans="1:18" ht="14.25" customHeight="1">
      <c r="A45" s="1574" t="s">
        <v>263</v>
      </c>
      <c r="B45" s="1577" t="s">
        <v>1714</v>
      </c>
      <c r="C45" s="1574">
        <v>21240</v>
      </c>
      <c r="D45" s="1574">
        <v>27050</v>
      </c>
      <c r="E45" s="1574">
        <v>28000</v>
      </c>
      <c r="F45" s="1583"/>
      <c r="G45" s="1583">
        <v>18940</v>
      </c>
      <c r="I45" s="1600"/>
      <c r="O45" s="1574" t="s">
        <v>1903</v>
      </c>
      <c r="P45" s="1574" t="s">
        <v>1904</v>
      </c>
      <c r="R45" s="1574" t="s">
        <v>1905</v>
      </c>
    </row>
    <row r="46" spans="1:18" ht="14.25" customHeight="1">
      <c r="A46" s="1574" t="s">
        <v>263</v>
      </c>
      <c r="B46" s="1577" t="s">
        <v>1724</v>
      </c>
      <c r="C46" s="1574">
        <v>23240</v>
      </c>
      <c r="D46" s="1574">
        <v>23000</v>
      </c>
      <c r="E46" s="1574">
        <v>24980</v>
      </c>
      <c r="F46" s="1583"/>
      <c r="G46" s="1583">
        <v>16100</v>
      </c>
      <c r="I46" s="1604"/>
      <c r="O46" s="1574" t="s">
        <v>1906</v>
      </c>
      <c r="P46" s="1574"/>
      <c r="R46" s="1574" t="s">
        <v>1907</v>
      </c>
    </row>
    <row r="47" spans="1:18" ht="14.25" customHeight="1">
      <c r="A47" s="1574" t="s">
        <v>263</v>
      </c>
      <c r="B47" s="1586" t="s">
        <v>1734</v>
      </c>
      <c r="C47" s="1587">
        <v>27150</v>
      </c>
      <c r="D47" s="1587">
        <v>23310</v>
      </c>
      <c r="E47" s="1587">
        <v>25150</v>
      </c>
      <c r="F47" s="1588"/>
      <c r="G47" s="1588">
        <v>16310</v>
      </c>
      <c r="I47" s="1604"/>
      <c r="O47" s="1574" t="s">
        <v>1908</v>
      </c>
      <c r="P47" s="1574"/>
      <c r="R47" s="1601" t="s">
        <v>1909</v>
      </c>
    </row>
    <row r="48" spans="1:18" ht="14.25" customHeight="1">
      <c r="A48" s="1574" t="s">
        <v>263</v>
      </c>
      <c r="B48" s="1574" t="s">
        <v>1744</v>
      </c>
      <c r="C48" s="1574">
        <v>23100</v>
      </c>
      <c r="D48" s="1574">
        <v>21110</v>
      </c>
      <c r="E48" s="1574">
        <v>23080</v>
      </c>
      <c r="F48" s="1583"/>
      <c r="G48" s="1592">
        <v>14780</v>
      </c>
      <c r="I48" s="1600"/>
      <c r="O48" s="1574" t="s">
        <v>1910</v>
      </c>
      <c r="P48" s="1574"/>
      <c r="R48" s="1601" t="s">
        <v>1911</v>
      </c>
    </row>
    <row r="49" spans="1:18" ht="14.25" customHeight="1">
      <c r="A49" s="1574" t="s">
        <v>263</v>
      </c>
      <c r="B49" s="1577" t="s">
        <v>1754</v>
      </c>
      <c r="C49" s="1577">
        <v>23400</v>
      </c>
      <c r="D49" s="1577">
        <v>22920</v>
      </c>
      <c r="E49" s="1577">
        <v>24900</v>
      </c>
      <c r="F49" s="1575"/>
      <c r="G49" s="1575">
        <v>16040</v>
      </c>
      <c r="I49" s="1604"/>
      <c r="O49" s="1574" t="s">
        <v>1912</v>
      </c>
      <c r="P49" s="1574"/>
      <c r="R49" s="1601" t="s">
        <v>1913</v>
      </c>
    </row>
    <row r="50" spans="1:18" ht="14.25" customHeight="1">
      <c r="A50" s="1574" t="s">
        <v>263</v>
      </c>
      <c r="B50" s="1574" t="s">
        <v>1763</v>
      </c>
      <c r="C50" s="1574">
        <v>21200</v>
      </c>
      <c r="D50" s="1574">
        <v>26540</v>
      </c>
      <c r="E50" s="1574">
        <v>23200</v>
      </c>
      <c r="F50" s="1583"/>
      <c r="G50" s="1583">
        <v>18580</v>
      </c>
      <c r="I50" s="1604"/>
      <c r="O50" s="1601" t="s">
        <v>1914</v>
      </c>
      <c r="R50" s="1601" t="s">
        <v>1915</v>
      </c>
    </row>
    <row r="51" spans="1:18" ht="14.25" customHeight="1">
      <c r="A51" s="1574" t="s">
        <v>263</v>
      </c>
      <c r="B51" s="1574" t="s">
        <v>1771</v>
      </c>
      <c r="C51" s="1574">
        <v>23000</v>
      </c>
      <c r="D51" s="1574">
        <v>23460</v>
      </c>
      <c r="E51" s="1574">
        <v>25290</v>
      </c>
      <c r="F51" s="1583"/>
      <c r="G51" s="1583">
        <v>16420</v>
      </c>
      <c r="I51" s="1604"/>
      <c r="O51" s="1601" t="s">
        <v>1916</v>
      </c>
      <c r="R51" s="1601" t="s">
        <v>1917</v>
      </c>
    </row>
    <row r="52" spans="1:18" ht="14.25" customHeight="1">
      <c r="A52" s="1574" t="s">
        <v>263</v>
      </c>
      <c r="B52" s="1574" t="s">
        <v>1779</v>
      </c>
      <c r="C52" s="1574">
        <v>26660</v>
      </c>
      <c r="D52" s="1574">
        <v>22350</v>
      </c>
      <c r="E52" s="1574">
        <v>22920</v>
      </c>
      <c r="F52" s="1583"/>
      <c r="G52" s="1583">
        <v>15640</v>
      </c>
      <c r="I52" s="1604"/>
      <c r="O52" s="1601" t="s">
        <v>1918</v>
      </c>
    </row>
    <row r="53" spans="1:18" ht="14.25" customHeight="1">
      <c r="A53" s="1574" t="s">
        <v>263</v>
      </c>
      <c r="B53" s="1574" t="s">
        <v>1787</v>
      </c>
      <c r="C53" s="1574">
        <v>23580</v>
      </c>
      <c r="D53" s="1574"/>
      <c r="E53" s="1574">
        <v>24280</v>
      </c>
      <c r="F53" s="1583"/>
      <c r="G53" s="1583"/>
      <c r="I53" s="1604"/>
      <c r="O53" s="1601" t="s">
        <v>1919</v>
      </c>
    </row>
    <row r="54" spans="1:18" ht="14.25" customHeight="1">
      <c r="A54" s="1590" t="s">
        <v>263</v>
      </c>
      <c r="B54" s="1580" t="s">
        <v>1795</v>
      </c>
      <c r="C54" s="1580">
        <v>22460</v>
      </c>
      <c r="D54" s="1580"/>
      <c r="E54" s="1580"/>
      <c r="F54" s="1581"/>
      <c r="G54" s="1591"/>
      <c r="I54" s="1604"/>
      <c r="O54" s="1601" t="s">
        <v>1920</v>
      </c>
    </row>
    <row r="55" spans="1:18" ht="14.25" customHeight="1">
      <c r="A55" s="1578" t="s">
        <v>273</v>
      </c>
      <c r="B55" s="1577" t="s">
        <v>1552</v>
      </c>
      <c r="C55" s="1577">
        <v>21970</v>
      </c>
      <c r="D55" s="1577">
        <v>20370</v>
      </c>
      <c r="E55" s="1577">
        <v>20180</v>
      </c>
      <c r="F55" s="1575">
        <v>5730</v>
      </c>
      <c r="G55" s="1575">
        <v>13820</v>
      </c>
      <c r="I55" s="1604"/>
      <c r="O55" s="1601" t="s">
        <v>1921</v>
      </c>
    </row>
    <row r="56" spans="1:18" ht="14.25" customHeight="1">
      <c r="A56" s="1574" t="s">
        <v>273</v>
      </c>
      <c r="B56" s="1574" t="s">
        <v>1565</v>
      </c>
      <c r="C56" s="1574">
        <v>20470</v>
      </c>
      <c r="D56" s="1574">
        <v>20700</v>
      </c>
      <c r="E56" s="1574">
        <v>20380</v>
      </c>
      <c r="F56" s="1583">
        <v>4760</v>
      </c>
      <c r="G56" s="1583">
        <v>14050</v>
      </c>
      <c r="I56" s="1604"/>
      <c r="O56" s="1601" t="s">
        <v>1922</v>
      </c>
    </row>
    <row r="57" spans="1:18" ht="14.25" customHeight="1">
      <c r="A57" s="1574" t="s">
        <v>273</v>
      </c>
      <c r="B57" s="1574" t="s">
        <v>1578</v>
      </c>
      <c r="C57" s="1574">
        <v>20790</v>
      </c>
      <c r="D57" s="1574">
        <v>21370</v>
      </c>
      <c r="E57" s="1574">
        <v>20890</v>
      </c>
      <c r="F57" s="1583">
        <v>4910</v>
      </c>
      <c r="G57" s="1583">
        <v>14510</v>
      </c>
      <c r="I57" s="1604"/>
      <c r="O57" s="1601" t="s">
        <v>1923</v>
      </c>
    </row>
    <row r="58" spans="1:18" ht="14.25" customHeight="1">
      <c r="A58" s="1574" t="s">
        <v>273</v>
      </c>
      <c r="B58" s="1574" t="s">
        <v>1590</v>
      </c>
      <c r="C58" s="1574">
        <v>21460</v>
      </c>
      <c r="D58" s="1574">
        <v>20920</v>
      </c>
      <c r="E58" s="1574">
        <v>23410</v>
      </c>
      <c r="F58" s="1583">
        <v>5100</v>
      </c>
      <c r="G58" s="1583">
        <v>14200</v>
      </c>
      <c r="I58" s="1604"/>
      <c r="O58" s="1601" t="s">
        <v>1924</v>
      </c>
    </row>
    <row r="59" spans="1:18" ht="14.25" customHeight="1">
      <c r="A59" s="1574" t="s">
        <v>273</v>
      </c>
      <c r="B59" s="1574" t="s">
        <v>1602</v>
      </c>
      <c r="C59" s="1574">
        <v>21000</v>
      </c>
      <c r="D59" s="1574">
        <v>21550</v>
      </c>
      <c r="E59" s="1574">
        <v>21150</v>
      </c>
      <c r="F59" s="1583">
        <v>5250</v>
      </c>
      <c r="G59" s="1583">
        <v>14630</v>
      </c>
      <c r="I59" s="1604"/>
      <c r="O59" s="1601" t="s">
        <v>1925</v>
      </c>
    </row>
    <row r="60" spans="1:18" ht="14.25" customHeight="1">
      <c r="A60" s="1574" t="s">
        <v>273</v>
      </c>
      <c r="B60" s="1574" t="s">
        <v>1613</v>
      </c>
      <c r="C60" s="1574">
        <v>21640</v>
      </c>
      <c r="D60" s="1574">
        <v>21260</v>
      </c>
      <c r="E60" s="1574">
        <v>24040</v>
      </c>
      <c r="F60" s="1583">
        <v>4470</v>
      </c>
      <c r="G60" s="1583">
        <v>14430</v>
      </c>
      <c r="I60" s="1604"/>
      <c r="O60" s="1601" t="s">
        <v>1926</v>
      </c>
    </row>
    <row r="61" spans="1:18" ht="14.25" customHeight="1">
      <c r="A61" s="1574" t="s">
        <v>273</v>
      </c>
      <c r="B61" s="1574" t="s">
        <v>1624</v>
      </c>
      <c r="C61" s="1574">
        <v>21330</v>
      </c>
      <c r="D61" s="1574">
        <v>18640</v>
      </c>
      <c r="E61" s="1574">
        <v>21190</v>
      </c>
      <c r="F61" s="1583">
        <v>4180</v>
      </c>
      <c r="G61" s="1593">
        <v>12650</v>
      </c>
      <c r="I61" s="1604"/>
      <c r="O61" s="1601" t="s">
        <v>1927</v>
      </c>
    </row>
    <row r="62" spans="1:18" ht="14.25" customHeight="1">
      <c r="A62" s="1574" t="s">
        <v>273</v>
      </c>
      <c r="B62" s="1574" t="s">
        <v>1635</v>
      </c>
      <c r="C62" s="1574">
        <v>18710</v>
      </c>
      <c r="D62" s="1574">
        <v>19400</v>
      </c>
      <c r="E62" s="1574">
        <v>23750</v>
      </c>
      <c r="F62" s="1583">
        <v>4860</v>
      </c>
      <c r="G62" s="1593">
        <v>13170</v>
      </c>
      <c r="I62" s="1604"/>
      <c r="O62" s="1601" t="s">
        <v>1928</v>
      </c>
    </row>
    <row r="63" spans="1:18" ht="14.25" customHeight="1">
      <c r="A63" s="1574" t="s">
        <v>273</v>
      </c>
      <c r="B63" s="1574" t="s">
        <v>1645</v>
      </c>
      <c r="C63" s="1574">
        <v>19480</v>
      </c>
      <c r="D63" s="1574">
        <v>16830</v>
      </c>
      <c r="E63" s="1574">
        <v>21590</v>
      </c>
      <c r="F63" s="1583">
        <v>4560</v>
      </c>
      <c r="G63" s="1593">
        <v>11420</v>
      </c>
      <c r="I63" s="1604"/>
      <c r="O63" s="1601" t="s">
        <v>1929</v>
      </c>
    </row>
    <row r="64" spans="1:18" ht="14.25" customHeight="1">
      <c r="A64" s="1574" t="s">
        <v>273</v>
      </c>
      <c r="B64" s="1574" t="s">
        <v>1655</v>
      </c>
      <c r="C64" s="1574">
        <v>16920</v>
      </c>
      <c r="D64" s="1574">
        <v>19190</v>
      </c>
      <c r="E64" s="1574">
        <v>22200</v>
      </c>
      <c r="F64" s="1583">
        <v>4390</v>
      </c>
      <c r="G64" s="1593">
        <v>13030</v>
      </c>
      <c r="I64" s="1604"/>
      <c r="O64" s="1601" t="s">
        <v>1930</v>
      </c>
    </row>
    <row r="65" spans="1:21" s="1559" customFormat="1" ht="14.25" customHeight="1">
      <c r="A65" s="1574" t="s">
        <v>273</v>
      </c>
      <c r="B65" s="1574" t="s">
        <v>1665</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1675</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1685</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1695</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1705</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1715</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1725</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1735</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1745</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1755</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1764</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1772</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1780</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1788</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1796</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1803</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1810</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1817</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1824</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1831</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1838</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1845</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1553</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1566</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1579</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1591</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1603</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1614</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1625</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1636</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1646</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1656</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1666</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1676</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1686</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1696</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1706</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1716</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1726</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1736</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1746</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1756</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1765</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1773</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1781</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1789</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1797</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1804</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1811</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1818</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1825</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1832</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1839</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1846</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1851</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1856</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1861</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1866</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1871</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1876</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1881</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1886</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1554</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1567</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1580</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1592</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1604</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1615</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1626</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1637</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1647</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1657</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1667</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1677</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1687</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1697</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1707</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1717</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1727</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1737</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1747</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1757</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1766</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1774</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1782</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1790</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1798</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1805</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1812</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1819</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1826</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1833</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1840</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1847</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1852</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1857</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1862</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1867</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1872</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1877</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1882</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1887</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1891</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1895</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1899</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1903</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1906</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1908</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1910</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1912</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1914</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1916</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1918</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1919</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1920</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1921</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1922</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1923</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1924</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1925</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1926</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1927</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1928</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1929</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1930</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1555</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1568</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1581</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1593</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1605</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1616</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1627</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1638</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1648</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1658</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1668</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1678</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1688</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1698</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1708</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1718</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1728</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1738</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1748</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1758</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1767</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1775</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1783</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1791</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1799</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1806</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1813</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1820</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1827</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1834</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1841</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1848</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1853</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1858</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1863</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1868</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1873</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1878</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1883</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1888</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1892</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1896</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1900</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1904</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1556</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1569</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1582</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1594</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1606</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1617</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1628</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1639</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1649</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1659</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1669</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1679</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1689</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1699</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1709</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1719</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1729</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1739</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1749</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1759</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1768</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1776</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1784</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1792</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1800</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1807</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1814</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1821</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1828</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1835</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1842</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1849</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1854</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1859</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1864</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1869</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1874</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1879</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1884</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1889</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1893</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1897</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1901</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1557</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1570</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1583</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1595</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1607</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1618</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1629</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1640</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1650</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1660</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1670</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1680</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1690</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1700</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1710</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1720</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1730</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1740</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1750</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1760</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1769</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1777</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1785</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1793</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1801</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1808</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1815</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1822</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1829</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1836</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1843</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1850</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1855</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1860</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1865</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1870</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1875</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1880</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1885</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1890</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1894</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1898</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1902</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1905</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1907</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1909</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1911</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1913</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1915</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1917</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1558</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1571</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1584</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1596</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1608</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1619</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1630</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1641</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1651</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1661</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1671</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1681</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1691</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1701</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1711</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1721</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1731</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1741</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1751</v>
      </c>
      <c r="C345" s="1601">
        <v>3190</v>
      </c>
      <c r="D345" s="1601">
        <v>3140</v>
      </c>
      <c r="E345" s="1601">
        <v>3450</v>
      </c>
      <c r="F345" s="1601">
        <v>720</v>
      </c>
      <c r="G345" s="1601">
        <v>1880</v>
      </c>
      <c r="H345" s="1610"/>
    </row>
    <row r="346" spans="1:21">
      <c r="A346" s="1601" t="s">
        <v>309</v>
      </c>
      <c r="B346" s="1601" t="s">
        <v>1761</v>
      </c>
      <c r="C346" s="1601">
        <v>3630</v>
      </c>
      <c r="D346" s="1601">
        <v>3590</v>
      </c>
      <c r="E346" s="1601">
        <v>3940</v>
      </c>
      <c r="F346" s="1601">
        <v>730</v>
      </c>
      <c r="G346" s="1601">
        <v>2150</v>
      </c>
      <c r="H346" s="1610"/>
    </row>
    <row r="347" spans="1:21">
      <c r="A347" s="1601" t="s">
        <v>309</v>
      </c>
      <c r="B347" s="1601" t="s">
        <v>1770</v>
      </c>
      <c r="C347" s="1601">
        <v>3860</v>
      </c>
      <c r="D347" s="1601">
        <v>3820</v>
      </c>
      <c r="E347" s="1601">
        <v>4220</v>
      </c>
      <c r="F347" s="1601">
        <v>750</v>
      </c>
      <c r="G347" s="1601">
        <v>2280</v>
      </c>
      <c r="H347" s="1610"/>
    </row>
    <row r="348" spans="1:21">
      <c r="A348" s="1601" t="s">
        <v>309</v>
      </c>
      <c r="B348" s="1601" t="s">
        <v>1778</v>
      </c>
      <c r="C348" s="1601">
        <v>4000</v>
      </c>
      <c r="D348" s="1601">
        <v>3950</v>
      </c>
      <c r="E348" s="1601">
        <v>4430</v>
      </c>
      <c r="F348" s="1601">
        <v>760</v>
      </c>
      <c r="G348" s="1601">
        <v>2360</v>
      </c>
      <c r="H348" s="1610"/>
    </row>
    <row r="349" spans="1:21">
      <c r="A349" s="1601" t="s">
        <v>309</v>
      </c>
      <c r="B349" s="1601" t="s">
        <v>1786</v>
      </c>
      <c r="C349" s="1601">
        <v>3820</v>
      </c>
      <c r="D349" s="1601">
        <v>3780</v>
      </c>
      <c r="E349" s="1601">
        <v>4170</v>
      </c>
      <c r="F349" s="1601">
        <v>710</v>
      </c>
      <c r="G349" s="1601">
        <v>2260</v>
      </c>
      <c r="H349" s="1610"/>
    </row>
    <row r="350" spans="1:21">
      <c r="A350" s="1601" t="s">
        <v>309</v>
      </c>
      <c r="B350" s="1601" t="s">
        <v>1794</v>
      </c>
      <c r="C350" s="1601">
        <v>3760</v>
      </c>
      <c r="D350" s="1601">
        <v>3730</v>
      </c>
      <c r="E350" s="1601">
        <v>4100</v>
      </c>
      <c r="F350" s="1601">
        <v>800</v>
      </c>
      <c r="G350" s="1601">
        <v>2230</v>
      </c>
      <c r="H350" s="1610"/>
    </row>
    <row r="351" spans="1:21">
      <c r="A351" s="1601" t="s">
        <v>309</v>
      </c>
      <c r="B351" s="1601" t="s">
        <v>1802</v>
      </c>
      <c r="C351" s="1601">
        <v>3610</v>
      </c>
      <c r="D351" s="1601">
        <v>3580</v>
      </c>
      <c r="E351" s="1601">
        <v>3930</v>
      </c>
      <c r="F351" s="1601">
        <v>700</v>
      </c>
      <c r="G351" s="1601">
        <v>2140</v>
      </c>
      <c r="H351" s="1610"/>
    </row>
    <row r="352" spans="1:21">
      <c r="A352" s="1601" t="s">
        <v>309</v>
      </c>
      <c r="B352" s="1601" t="s">
        <v>1809</v>
      </c>
      <c r="C352" s="1601">
        <v>3670</v>
      </c>
      <c r="D352" s="1601">
        <v>3630</v>
      </c>
      <c r="E352" s="1601">
        <v>4000</v>
      </c>
      <c r="F352" s="1601">
        <v>750</v>
      </c>
      <c r="G352" s="1601">
        <v>2180</v>
      </c>
      <c r="H352" s="1610"/>
    </row>
    <row r="353" spans="1:8">
      <c r="A353" s="1601" t="s">
        <v>309</v>
      </c>
      <c r="B353" s="1601" t="s">
        <v>1816</v>
      </c>
      <c r="C353" s="1601">
        <v>3190</v>
      </c>
      <c r="D353" s="1601">
        <v>3150</v>
      </c>
      <c r="E353" s="1601">
        <v>3640</v>
      </c>
      <c r="F353" s="1601">
        <v>630</v>
      </c>
      <c r="G353" s="1601">
        <v>1890</v>
      </c>
      <c r="H353" s="1610"/>
    </row>
    <row r="354" spans="1:8">
      <c r="A354" s="1601" t="s">
        <v>309</v>
      </c>
      <c r="B354" s="1601" t="s">
        <v>1823</v>
      </c>
      <c r="C354" s="1601">
        <v>3450</v>
      </c>
      <c r="D354" s="1601">
        <v>3420</v>
      </c>
      <c r="E354" s="1601">
        <v>3960</v>
      </c>
      <c r="F354" s="1601">
        <v>660</v>
      </c>
      <c r="G354" s="1601">
        <v>2050</v>
      </c>
      <c r="H354" s="1610"/>
    </row>
    <row r="355" spans="1:8">
      <c r="A355" s="1601" t="s">
        <v>309</v>
      </c>
      <c r="B355" s="1601" t="s">
        <v>1830</v>
      </c>
      <c r="C355" s="1601">
        <v>3650</v>
      </c>
      <c r="D355" s="1601">
        <v>3610</v>
      </c>
      <c r="E355" s="1601">
        <v>4200</v>
      </c>
      <c r="F355" s="1601">
        <v>640</v>
      </c>
      <c r="G355" s="1601">
        <v>2160</v>
      </c>
      <c r="H355" s="1610"/>
    </row>
    <row r="356" spans="1:8">
      <c r="A356" s="1601" t="s">
        <v>309</v>
      </c>
      <c r="B356" s="1601" t="s">
        <v>1837</v>
      </c>
      <c r="C356" s="1601">
        <v>3260</v>
      </c>
      <c r="D356" s="1601">
        <v>3230</v>
      </c>
      <c r="E356" s="1601">
        <v>3740</v>
      </c>
      <c r="F356" s="1601">
        <v>600</v>
      </c>
      <c r="G356" s="1601">
        <v>1930</v>
      </c>
      <c r="H356" s="1610"/>
    </row>
    <row r="357" spans="1:8">
      <c r="A357" s="1612" t="s">
        <v>309</v>
      </c>
      <c r="B357" s="1612" t="s">
        <v>1844</v>
      </c>
      <c r="C357" s="1612">
        <v>3690</v>
      </c>
      <c r="D357" s="1612">
        <v>3650</v>
      </c>
      <c r="E357" s="1612">
        <v>4020</v>
      </c>
      <c r="F357" s="1612">
        <v>700</v>
      </c>
      <c r="G357" s="1612">
        <v>2190</v>
      </c>
      <c r="H357" s="1610"/>
    </row>
    <row r="358" spans="1:8">
      <c r="A358" s="1613" t="s">
        <v>313</v>
      </c>
      <c r="B358" s="1614" t="s">
        <v>1559</v>
      </c>
      <c r="C358" s="1614">
        <v>2080</v>
      </c>
      <c r="D358" s="1614">
        <v>2040</v>
      </c>
      <c r="E358" s="1614">
        <v>2010</v>
      </c>
      <c r="F358" s="1614">
        <v>530</v>
      </c>
      <c r="G358" s="1615">
        <v>1230</v>
      </c>
      <c r="H358" s="1610"/>
    </row>
    <row r="359" spans="1:8">
      <c r="A359" s="1616" t="s">
        <v>313</v>
      </c>
      <c r="B359" s="1601" t="s">
        <v>1572</v>
      </c>
      <c r="C359" s="1601">
        <v>1850</v>
      </c>
      <c r="D359" s="1601">
        <v>1820</v>
      </c>
      <c r="E359" s="1601">
        <v>1780</v>
      </c>
      <c r="F359" s="1601">
        <v>520</v>
      </c>
      <c r="G359" s="1617">
        <v>1100</v>
      </c>
      <c r="H359" s="1610"/>
    </row>
    <row r="360" spans="1:8">
      <c r="A360" s="1616" t="s">
        <v>313</v>
      </c>
      <c r="B360" s="1601" t="s">
        <v>1585</v>
      </c>
      <c r="C360" s="1601">
        <v>2020</v>
      </c>
      <c r="D360" s="1601">
        <v>1990</v>
      </c>
      <c r="E360" s="1601">
        <v>1950</v>
      </c>
      <c r="F360" s="1601">
        <v>500</v>
      </c>
      <c r="G360" s="1617">
        <v>1200</v>
      </c>
      <c r="H360" s="1610"/>
    </row>
    <row r="361" spans="1:8">
      <c r="A361" s="1616" t="s">
        <v>313</v>
      </c>
      <c r="B361" s="1601" t="s">
        <v>1597</v>
      </c>
      <c r="C361" s="1601">
        <v>2260</v>
      </c>
      <c r="D361" s="1601">
        <v>2220</v>
      </c>
      <c r="E361" s="1601">
        <v>2180</v>
      </c>
      <c r="F361" s="1601">
        <v>580</v>
      </c>
      <c r="G361" s="1617">
        <v>1340</v>
      </c>
      <c r="H361" s="1610"/>
    </row>
    <row r="362" spans="1:8">
      <c r="A362" s="1616" t="s">
        <v>313</v>
      </c>
      <c r="B362" s="1601" t="s">
        <v>1609</v>
      </c>
      <c r="C362" s="1601">
        <v>2650</v>
      </c>
      <c r="D362" s="1601">
        <v>2610</v>
      </c>
      <c r="E362" s="1601">
        <v>2570</v>
      </c>
      <c r="F362" s="1601">
        <v>630</v>
      </c>
      <c r="G362" s="1617">
        <v>1570</v>
      </c>
      <c r="H362" s="1610"/>
    </row>
    <row r="363" spans="1:8">
      <c r="A363" s="1616" t="s">
        <v>313</v>
      </c>
      <c r="B363" s="1601" t="s">
        <v>1620</v>
      </c>
      <c r="C363" s="1601">
        <v>2390</v>
      </c>
      <c r="D363" s="1601">
        <v>2360</v>
      </c>
      <c r="E363" s="1601">
        <v>2320</v>
      </c>
      <c r="F363" s="1601">
        <v>600</v>
      </c>
      <c r="G363" s="1617">
        <v>1420</v>
      </c>
      <c r="H363" s="1610"/>
    </row>
    <row r="364" spans="1:8">
      <c r="A364" s="1616" t="s">
        <v>313</v>
      </c>
      <c r="B364" s="1601" t="s">
        <v>1631</v>
      </c>
      <c r="C364" s="1601">
        <v>2050</v>
      </c>
      <c r="D364" s="1601">
        <v>2030</v>
      </c>
      <c r="E364" s="1601">
        <v>1990</v>
      </c>
      <c r="F364" s="1601">
        <v>550</v>
      </c>
      <c r="G364" s="1617">
        <v>1220</v>
      </c>
      <c r="H364" s="1610"/>
    </row>
    <row r="365" spans="1:8">
      <c r="A365" s="1616" t="s">
        <v>313</v>
      </c>
      <c r="B365" s="1601" t="s">
        <v>1642</v>
      </c>
      <c r="C365" s="1601">
        <v>2140</v>
      </c>
      <c r="D365" s="1601">
        <v>2100</v>
      </c>
      <c r="E365" s="1601">
        <v>2060</v>
      </c>
      <c r="F365" s="1601">
        <v>540</v>
      </c>
      <c r="G365" s="1617">
        <v>1270</v>
      </c>
      <c r="H365" s="1610"/>
    </row>
    <row r="366" spans="1:8">
      <c r="A366" s="1616" t="s">
        <v>313</v>
      </c>
      <c r="B366" s="1601" t="s">
        <v>1652</v>
      </c>
      <c r="C366" s="1601">
        <v>2410</v>
      </c>
      <c r="D366" s="1601">
        <v>2370</v>
      </c>
      <c r="E366" s="1601">
        <v>2330</v>
      </c>
      <c r="F366" s="1601">
        <v>570</v>
      </c>
      <c r="G366" s="1617">
        <v>1440</v>
      </c>
      <c r="H366" s="1610"/>
    </row>
    <row r="367" spans="1:8">
      <c r="A367" s="1616" t="s">
        <v>313</v>
      </c>
      <c r="B367" s="1601" t="s">
        <v>1662</v>
      </c>
      <c r="C367" s="1601">
        <v>2300</v>
      </c>
      <c r="D367" s="1601">
        <v>2260</v>
      </c>
      <c r="E367" s="1601">
        <v>2220</v>
      </c>
      <c r="F367" s="1601">
        <v>560</v>
      </c>
      <c r="G367" s="1617">
        <v>1370</v>
      </c>
      <c r="H367" s="1610"/>
    </row>
    <row r="368" spans="1:8">
      <c r="A368" s="1616" t="s">
        <v>313</v>
      </c>
      <c r="B368" s="1601" t="s">
        <v>1672</v>
      </c>
      <c r="C368" s="1601">
        <v>2430</v>
      </c>
      <c r="D368" s="1601">
        <v>2390</v>
      </c>
      <c r="E368" s="1601">
        <v>2350</v>
      </c>
      <c r="F368" s="1601">
        <v>570</v>
      </c>
      <c r="G368" s="1617">
        <v>1450</v>
      </c>
      <c r="H368" s="1610"/>
    </row>
    <row r="369" spans="1:8">
      <c r="A369" s="1616" t="s">
        <v>313</v>
      </c>
      <c r="B369" s="1601" t="s">
        <v>1682</v>
      </c>
      <c r="C369" s="1601">
        <v>2320</v>
      </c>
      <c r="D369" s="1601">
        <v>2290</v>
      </c>
      <c r="E369" s="1601">
        <v>2250</v>
      </c>
      <c r="F369" s="1601">
        <v>550</v>
      </c>
      <c r="G369" s="1617">
        <v>1380</v>
      </c>
      <c r="H369" s="1610"/>
    </row>
    <row r="370" spans="1:8">
      <c r="A370" s="1616" t="s">
        <v>313</v>
      </c>
      <c r="B370" s="1601" t="s">
        <v>1692</v>
      </c>
      <c r="C370" s="1601">
        <v>2190</v>
      </c>
      <c r="D370" s="1601">
        <v>2170</v>
      </c>
      <c r="E370" s="1601">
        <v>2130</v>
      </c>
      <c r="F370" s="1601">
        <v>530</v>
      </c>
      <c r="G370" s="1617">
        <v>1310</v>
      </c>
      <c r="H370" s="1610"/>
    </row>
    <row r="371" spans="1:8">
      <c r="A371" s="1616" t="s">
        <v>313</v>
      </c>
      <c r="B371" s="1601" t="s">
        <v>1702</v>
      </c>
      <c r="C371" s="1601">
        <v>2460</v>
      </c>
      <c r="D371" s="1601">
        <v>2420</v>
      </c>
      <c r="E371" s="1601">
        <v>2370</v>
      </c>
      <c r="F371" s="1601">
        <v>560</v>
      </c>
      <c r="G371" s="1617">
        <v>1470</v>
      </c>
      <c r="H371" s="1610"/>
    </row>
    <row r="372" spans="1:8">
      <c r="A372" s="1616" t="s">
        <v>313</v>
      </c>
      <c r="B372" s="1601" t="s">
        <v>1712</v>
      </c>
      <c r="C372" s="1601">
        <v>2250</v>
      </c>
      <c r="D372" s="1601">
        <v>2210</v>
      </c>
      <c r="E372" s="1601">
        <v>2180</v>
      </c>
      <c r="F372" s="1601">
        <v>550</v>
      </c>
      <c r="G372" s="1617">
        <v>1340</v>
      </c>
      <c r="H372" s="1610"/>
    </row>
    <row r="373" spans="1:8">
      <c r="A373" s="1616" t="s">
        <v>313</v>
      </c>
      <c r="B373" s="1601" t="s">
        <v>1722</v>
      </c>
      <c r="C373" s="1601">
        <v>2210</v>
      </c>
      <c r="D373" s="1601">
        <v>2190</v>
      </c>
      <c r="E373" s="1601">
        <v>2150</v>
      </c>
      <c r="F373" s="1601">
        <v>530</v>
      </c>
      <c r="G373" s="1617">
        <v>1320</v>
      </c>
      <c r="H373" s="1610"/>
    </row>
    <row r="374" spans="1:8">
      <c r="A374" s="1616" t="s">
        <v>313</v>
      </c>
      <c r="B374" s="1601" t="s">
        <v>1732</v>
      </c>
      <c r="C374" s="1601">
        <v>2320</v>
      </c>
      <c r="D374" s="1601">
        <v>2280</v>
      </c>
      <c r="E374" s="1601">
        <v>2230</v>
      </c>
      <c r="F374" s="1601">
        <v>580</v>
      </c>
      <c r="G374" s="1617">
        <v>1380</v>
      </c>
      <c r="H374" s="1610"/>
    </row>
    <row r="375" spans="1:8">
      <c r="A375" s="1616" t="s">
        <v>313</v>
      </c>
      <c r="B375" s="1601" t="s">
        <v>1742</v>
      </c>
      <c r="C375" s="1601">
        <v>2090</v>
      </c>
      <c r="D375" s="1601">
        <v>2050</v>
      </c>
      <c r="E375" s="1601">
        <v>2020</v>
      </c>
      <c r="F375" s="1601">
        <v>520</v>
      </c>
      <c r="G375" s="1617">
        <v>1240</v>
      </c>
      <c r="H375" s="1610"/>
    </row>
    <row r="376" spans="1:8">
      <c r="A376" s="1616" t="s">
        <v>313</v>
      </c>
      <c r="B376" s="1601" t="s">
        <v>1752</v>
      </c>
      <c r="C376" s="1601">
        <v>2010</v>
      </c>
      <c r="D376" s="1601">
        <v>1980</v>
      </c>
      <c r="E376" s="1601">
        <v>1940</v>
      </c>
      <c r="F376" s="1601">
        <v>540</v>
      </c>
      <c r="G376" s="1617">
        <v>1190</v>
      </c>
      <c r="H376" s="1610"/>
    </row>
    <row r="377" spans="1:8">
      <c r="A377" s="1618" t="s">
        <v>313</v>
      </c>
      <c r="B377" s="1612" t="s">
        <v>1762</v>
      </c>
      <c r="C377" s="1612">
        <v>1930</v>
      </c>
      <c r="D377" s="1612">
        <v>1890</v>
      </c>
      <c r="E377" s="1612">
        <v>1860</v>
      </c>
      <c r="F377" s="1612">
        <v>530</v>
      </c>
      <c r="G377" s="1619">
        <v>1150</v>
      </c>
      <c r="H377" s="1610"/>
    </row>
    <row r="378" spans="1:8">
      <c r="A378" s="1613" t="s">
        <v>317</v>
      </c>
      <c r="B378" s="1614" t="s">
        <v>1560</v>
      </c>
      <c r="C378" s="1614">
        <v>1520</v>
      </c>
      <c r="D378" s="1614">
        <v>1490</v>
      </c>
      <c r="E378" s="1614">
        <v>1460</v>
      </c>
      <c r="F378" s="1614">
        <v>460</v>
      </c>
      <c r="G378" s="1615">
        <v>940</v>
      </c>
      <c r="H378" s="1610"/>
    </row>
    <row r="379" spans="1:8">
      <c r="A379" s="1616" t="s">
        <v>317</v>
      </c>
      <c r="B379" s="1601" t="s">
        <v>1573</v>
      </c>
      <c r="C379" s="1601">
        <v>1500</v>
      </c>
      <c r="D379" s="1601">
        <v>1470</v>
      </c>
      <c r="E379" s="1601">
        <v>1430</v>
      </c>
      <c r="F379" s="1601">
        <v>460</v>
      </c>
      <c r="G379" s="1617">
        <v>920</v>
      </c>
      <c r="H379" s="1610"/>
    </row>
    <row r="380" spans="1:8">
      <c r="A380" s="1616" t="s">
        <v>317</v>
      </c>
      <c r="B380" s="1601" t="s">
        <v>1586</v>
      </c>
      <c r="C380" s="1601">
        <v>1620</v>
      </c>
      <c r="D380" s="1601">
        <v>1590</v>
      </c>
      <c r="E380" s="1601">
        <v>1560</v>
      </c>
      <c r="F380" s="1601">
        <v>480</v>
      </c>
      <c r="G380" s="1617">
        <v>1000</v>
      </c>
      <c r="H380" s="1610"/>
    </row>
    <row r="381" spans="1:8">
      <c r="A381" s="1616" t="s">
        <v>317</v>
      </c>
      <c r="B381" s="1601" t="s">
        <v>1598</v>
      </c>
      <c r="C381" s="1601">
        <v>1460</v>
      </c>
      <c r="D381" s="1601">
        <v>1430</v>
      </c>
      <c r="E381" s="1601">
        <v>1390</v>
      </c>
      <c r="F381" s="1601">
        <v>450</v>
      </c>
      <c r="G381" s="1617">
        <v>900</v>
      </c>
      <c r="H381" s="1610"/>
    </row>
    <row r="382" spans="1:8">
      <c r="A382" s="1616" t="s">
        <v>317</v>
      </c>
      <c r="B382" s="1601" t="s">
        <v>1610</v>
      </c>
      <c r="C382" s="1601">
        <v>1310</v>
      </c>
      <c r="D382" s="1601">
        <v>1280</v>
      </c>
      <c r="E382" s="1601">
        <v>1250</v>
      </c>
      <c r="F382" s="1601">
        <v>440</v>
      </c>
      <c r="G382" s="1617">
        <v>800</v>
      </c>
      <c r="H382" s="1610"/>
    </row>
    <row r="383" spans="1:8">
      <c r="A383" s="1616" t="s">
        <v>317</v>
      </c>
      <c r="B383" s="1601" t="s">
        <v>1621</v>
      </c>
      <c r="C383" s="1601">
        <v>1260</v>
      </c>
      <c r="D383" s="1601">
        <v>1230</v>
      </c>
      <c r="E383" s="1601">
        <v>1200</v>
      </c>
      <c r="F383" s="1601">
        <v>420</v>
      </c>
      <c r="G383" s="1617">
        <v>770</v>
      </c>
      <c r="H383" s="1610"/>
    </row>
    <row r="384" spans="1:8">
      <c r="A384" s="1620" t="s">
        <v>317</v>
      </c>
      <c r="B384" s="1621" t="s">
        <v>1632</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5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7" t="s">
        <v>1931</v>
      </c>
      <c r="B1" s="3907"/>
      <c r="C1" s="3907"/>
      <c r="D1" s="3907"/>
      <c r="E1" s="3907"/>
      <c r="F1" s="3908"/>
    </row>
    <row r="2" spans="1:6">
      <c r="A2" s="1551" t="s">
        <v>1932</v>
      </c>
      <c r="B2" s="1552"/>
      <c r="C2" s="1552"/>
      <c r="D2" s="1552"/>
      <c r="E2" s="1552"/>
      <c r="F2" s="1552"/>
    </row>
    <row r="3" spans="1:6">
      <c r="A3" s="1551" t="s">
        <v>1933</v>
      </c>
      <c r="B3" s="1552"/>
      <c r="C3" s="1552"/>
      <c r="D3" s="1552"/>
      <c r="E3" s="1552"/>
      <c r="F3" s="1553" t="s">
        <v>1934</v>
      </c>
    </row>
    <row r="4" spans="1:6">
      <c r="A4" s="1554" t="s">
        <v>352</v>
      </c>
      <c r="B4" s="1554" t="s">
        <v>435</v>
      </c>
      <c r="C4" s="1554" t="s">
        <v>436</v>
      </c>
      <c r="D4" s="1554" t="s">
        <v>1935</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5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0"/>
    <col min="2" max="16384" width="9" style="1541"/>
  </cols>
  <sheetData>
    <row r="1" spans="1:14" ht="14.25">
      <c r="A1" s="1542" t="s">
        <v>1936</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4.25">
      <c r="A93" s="1542" t="s">
        <v>1937</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SUMPRODUCT((A95:A184=ROUNDDOWN([2]基准地价修正!G3,1))*(B94:M94=[2]基准地价修正!G2)*(B95:M184))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4.25">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4.25">
      <c r="A185" s="1542" t="s">
        <v>1938</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4.25">
      <c r="A277" s="1542" t="s">
        <v>1939</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4.25">
      <c r="A369" s="1542" t="s">
        <v>1940</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SUMPRODUCT((A371:A460=ROUNDDOWN([2]基准地价修正!G3,1))*(B370:M370=[2]基准地价修正!G2)*(B371:M460))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5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3" customWidth="1"/>
    <col min="2" max="2" width="13.875" style="1503" customWidth="1"/>
    <col min="3" max="7" width="8.875" style="1504"/>
    <col min="8" max="16384" width="8.875" style="1505"/>
  </cols>
  <sheetData>
    <row r="1" spans="1:7">
      <c r="A1" s="3909" t="s">
        <v>1941</v>
      </c>
      <c r="B1" s="3909"/>
    </row>
    <row r="2" spans="1:7">
      <c r="A2" s="1506"/>
      <c r="B2" s="1506"/>
    </row>
    <row r="3" spans="1:7">
      <c r="A3" s="1506"/>
      <c r="B3" s="1506"/>
      <c r="C3" s="1507" t="s">
        <v>435</v>
      </c>
      <c r="D3" s="1507" t="s">
        <v>436</v>
      </c>
      <c r="E3" s="1507" t="s">
        <v>402</v>
      </c>
      <c r="F3" s="1507" t="s">
        <v>164</v>
      </c>
      <c r="G3" s="1507" t="s">
        <v>297</v>
      </c>
    </row>
    <row r="4" spans="1:7">
      <c r="A4" s="1508" t="s">
        <v>1561</v>
      </c>
      <c r="B4" s="1509" t="s">
        <v>478</v>
      </c>
      <c r="C4" s="1507"/>
      <c r="D4" s="1507"/>
      <c r="E4" s="1507"/>
      <c r="F4" s="1507"/>
      <c r="G4" s="1507"/>
    </row>
    <row r="5" spans="1:7">
      <c r="A5" s="1510" t="s">
        <v>238</v>
      </c>
      <c r="B5" s="1511" t="s">
        <v>1549</v>
      </c>
      <c r="C5" s="1512">
        <v>9.8000000000000004E-2</v>
      </c>
      <c r="D5" s="1512">
        <v>8.6999999999999994E-2</v>
      </c>
      <c r="E5" s="1512">
        <v>8.6999999999999994E-2</v>
      </c>
      <c r="F5" s="1512">
        <v>9.8000000000000004E-2</v>
      </c>
      <c r="G5" s="1513">
        <v>9.5000000000000001E-2</v>
      </c>
    </row>
    <row r="6" spans="1:7">
      <c r="A6" s="1514" t="s">
        <v>238</v>
      </c>
      <c r="B6" s="1515" t="s">
        <v>1562</v>
      </c>
      <c r="C6" s="1516">
        <v>9.8000000000000004E-2</v>
      </c>
      <c r="D6" s="1516">
        <v>9.8000000000000004E-2</v>
      </c>
      <c r="E6" s="1516">
        <v>9.8000000000000004E-2</v>
      </c>
      <c r="F6" s="1516">
        <v>0.1</v>
      </c>
      <c r="G6" s="1517">
        <v>9.9000000000000005E-2</v>
      </c>
    </row>
    <row r="7" spans="1:7">
      <c r="A7" s="1514" t="s">
        <v>238</v>
      </c>
      <c r="B7" s="1515" t="s">
        <v>1575</v>
      </c>
      <c r="C7" s="1516">
        <v>9.7000000000000003E-2</v>
      </c>
      <c r="D7" s="1516">
        <v>9.7000000000000003E-2</v>
      </c>
      <c r="E7" s="1516">
        <v>9.6000000000000002E-2</v>
      </c>
      <c r="F7" s="1516">
        <v>0.1</v>
      </c>
      <c r="G7" s="1517">
        <v>9.8000000000000004E-2</v>
      </c>
    </row>
    <row r="8" spans="1:7">
      <c r="A8" s="1514" t="s">
        <v>238</v>
      </c>
      <c r="B8" s="1515" t="s">
        <v>1587</v>
      </c>
      <c r="C8" s="1516">
        <v>8.1000000000000003E-2</v>
      </c>
      <c r="D8" s="1516">
        <v>8.2000000000000003E-2</v>
      </c>
      <c r="E8" s="1516">
        <v>7.0000000000000007E-2</v>
      </c>
      <c r="F8" s="1516">
        <v>9.6000000000000002E-2</v>
      </c>
      <c r="G8" s="1517">
        <v>8.8999999999999996E-2</v>
      </c>
    </row>
    <row r="9" spans="1:7">
      <c r="A9" s="1518" t="s">
        <v>238</v>
      </c>
      <c r="B9" s="1519" t="s">
        <v>1599</v>
      </c>
      <c r="C9" s="1520">
        <v>0.1</v>
      </c>
      <c r="D9" s="1520">
        <v>0.1</v>
      </c>
      <c r="E9" s="1520">
        <v>0.1</v>
      </c>
      <c r="F9" s="1521"/>
      <c r="G9" s="1522">
        <v>0.1</v>
      </c>
    </row>
    <row r="10" spans="1:7">
      <c r="A10" s="1510" t="s">
        <v>251</v>
      </c>
      <c r="B10" s="1511" t="s">
        <v>1550</v>
      </c>
      <c r="C10" s="1512">
        <v>6.7000000000000004E-2</v>
      </c>
      <c r="D10" s="1512">
        <v>7.9000000000000001E-2</v>
      </c>
      <c r="E10" s="1512">
        <v>7.9000000000000001E-2</v>
      </c>
      <c r="F10" s="1512">
        <v>0.1</v>
      </c>
      <c r="G10" s="1513">
        <v>9.0999999999999998E-2</v>
      </c>
    </row>
    <row r="11" spans="1:7">
      <c r="A11" s="1514" t="s">
        <v>251</v>
      </c>
      <c r="B11" s="1515" t="s">
        <v>1563</v>
      </c>
      <c r="C11" s="1516">
        <v>0.05</v>
      </c>
      <c r="D11" s="1516">
        <v>5.2999999999999999E-2</v>
      </c>
      <c r="E11" s="1516">
        <v>6.3E-2</v>
      </c>
      <c r="F11" s="1516">
        <v>0.1</v>
      </c>
      <c r="G11" s="1517">
        <v>7.1999999999999995E-2</v>
      </c>
    </row>
    <row r="12" spans="1:7">
      <c r="A12" s="1514" t="s">
        <v>251</v>
      </c>
      <c r="B12" s="1515" t="s">
        <v>1576</v>
      </c>
      <c r="C12" s="1516">
        <v>5.2999999999999999E-2</v>
      </c>
      <c r="D12" s="1516">
        <v>0.09</v>
      </c>
      <c r="E12" s="1516">
        <v>7.1999999999999995E-2</v>
      </c>
      <c r="F12" s="1516">
        <v>0.1</v>
      </c>
      <c r="G12" s="1517">
        <v>9.7000000000000003E-2</v>
      </c>
    </row>
    <row r="13" spans="1:7">
      <c r="A13" s="1514" t="s">
        <v>251</v>
      </c>
      <c r="B13" s="1515" t="s">
        <v>1588</v>
      </c>
      <c r="C13" s="1516">
        <v>9.7000000000000003E-2</v>
      </c>
      <c r="D13" s="1516">
        <v>9.1999999999999998E-2</v>
      </c>
      <c r="E13" s="1516">
        <v>9.5000000000000001E-2</v>
      </c>
      <c r="F13" s="1516">
        <v>0.1</v>
      </c>
      <c r="G13" s="1517">
        <v>9.7000000000000003E-2</v>
      </c>
    </row>
    <row r="14" spans="1:7">
      <c r="A14" s="1514" t="s">
        <v>251</v>
      </c>
      <c r="B14" s="1515" t="s">
        <v>1600</v>
      </c>
      <c r="C14" s="1516">
        <v>9.7000000000000003E-2</v>
      </c>
      <c r="D14" s="1516">
        <v>9.7000000000000003E-2</v>
      </c>
      <c r="E14" s="1516">
        <v>9.7000000000000003E-2</v>
      </c>
      <c r="F14" s="1516">
        <v>0.1</v>
      </c>
      <c r="G14" s="1517">
        <v>9.8000000000000004E-2</v>
      </c>
    </row>
    <row r="15" spans="1:7">
      <c r="A15" s="1514" t="s">
        <v>251</v>
      </c>
      <c r="B15" s="1515" t="s">
        <v>1611</v>
      </c>
      <c r="C15" s="1516">
        <v>9.8000000000000004E-2</v>
      </c>
      <c r="D15" s="1516">
        <v>9.0999999999999998E-2</v>
      </c>
      <c r="E15" s="1516">
        <v>0.06</v>
      </c>
      <c r="F15" s="1516">
        <v>0.1</v>
      </c>
      <c r="G15" s="1517">
        <v>9.7000000000000003E-2</v>
      </c>
    </row>
    <row r="16" spans="1:7">
      <c r="A16" s="1514" t="s">
        <v>251</v>
      </c>
      <c r="B16" s="1515" t="s">
        <v>1622</v>
      </c>
      <c r="C16" s="1516">
        <v>9.8000000000000004E-2</v>
      </c>
      <c r="D16" s="1516">
        <v>9.7000000000000003E-2</v>
      </c>
      <c r="E16" s="1516">
        <v>9.5000000000000001E-2</v>
      </c>
      <c r="F16" s="1516">
        <v>0.1</v>
      </c>
      <c r="G16" s="1517">
        <v>9.9000000000000005E-2</v>
      </c>
    </row>
    <row r="17" spans="1:7">
      <c r="A17" s="1514" t="s">
        <v>251</v>
      </c>
      <c r="B17" s="1515" t="s">
        <v>1633</v>
      </c>
      <c r="C17" s="1516">
        <v>8.8999999999999996E-2</v>
      </c>
      <c r="D17" s="1516">
        <v>9.1999999999999998E-2</v>
      </c>
      <c r="E17" s="1516">
        <v>6.0999999999999999E-2</v>
      </c>
      <c r="F17" s="1516">
        <v>0.1</v>
      </c>
      <c r="G17" s="1517">
        <v>9.7000000000000003E-2</v>
      </c>
    </row>
    <row r="18" spans="1:7">
      <c r="A18" s="1514" t="s">
        <v>251</v>
      </c>
      <c r="B18" s="1515" t="s">
        <v>1643</v>
      </c>
      <c r="C18" s="1516">
        <v>9.8000000000000004E-2</v>
      </c>
      <c r="D18" s="1516">
        <v>9.8000000000000004E-2</v>
      </c>
      <c r="E18" s="1516">
        <v>9.8000000000000004E-2</v>
      </c>
      <c r="F18" s="1523"/>
      <c r="G18" s="1517">
        <v>9.9000000000000005E-2</v>
      </c>
    </row>
    <row r="19" spans="1:7">
      <c r="A19" s="1514" t="s">
        <v>251</v>
      </c>
      <c r="B19" s="1515" t="s">
        <v>1653</v>
      </c>
      <c r="C19" s="1516">
        <v>9.9000000000000005E-2</v>
      </c>
      <c r="D19" s="1516">
        <v>7.3999999999999996E-2</v>
      </c>
      <c r="E19" s="1516">
        <v>8.1000000000000003E-2</v>
      </c>
      <c r="F19" s="1523"/>
      <c r="G19" s="1517">
        <v>9.2999999999999999E-2</v>
      </c>
    </row>
    <row r="20" spans="1:7">
      <c r="A20" s="1514" t="s">
        <v>251</v>
      </c>
      <c r="B20" s="1515" t="s">
        <v>1663</v>
      </c>
      <c r="C20" s="1516">
        <v>0.1</v>
      </c>
      <c r="D20" s="1516">
        <v>8.8999999999999996E-2</v>
      </c>
      <c r="E20" s="1516">
        <v>8.8999999999999996E-2</v>
      </c>
      <c r="F20" s="1523"/>
      <c r="G20" s="1517">
        <v>9.5000000000000001E-2</v>
      </c>
    </row>
    <row r="21" spans="1:7">
      <c r="A21" s="1514" t="s">
        <v>251</v>
      </c>
      <c r="B21" s="1515" t="s">
        <v>1673</v>
      </c>
      <c r="C21" s="1516">
        <v>0.1</v>
      </c>
      <c r="D21" s="1516">
        <v>9.0999999999999998E-2</v>
      </c>
      <c r="E21" s="1516">
        <v>8.2000000000000003E-2</v>
      </c>
      <c r="F21" s="1523"/>
      <c r="G21" s="1517">
        <v>9.7000000000000003E-2</v>
      </c>
    </row>
    <row r="22" spans="1:7">
      <c r="A22" s="1514" t="s">
        <v>251</v>
      </c>
      <c r="B22" s="1515" t="s">
        <v>1683</v>
      </c>
      <c r="C22" s="1516">
        <v>9.5000000000000001E-2</v>
      </c>
      <c r="D22" s="1516">
        <v>9.9000000000000005E-2</v>
      </c>
      <c r="E22" s="1516">
        <v>9.8000000000000004E-2</v>
      </c>
      <c r="F22" s="1523"/>
      <c r="G22" s="1517">
        <v>0.1</v>
      </c>
    </row>
    <row r="23" spans="1:7">
      <c r="A23" s="1514" t="s">
        <v>251</v>
      </c>
      <c r="B23" s="1515" t="s">
        <v>1693</v>
      </c>
      <c r="C23" s="1516">
        <v>9.9000000000000005E-2</v>
      </c>
      <c r="D23" s="1516">
        <v>0.1</v>
      </c>
      <c r="E23" s="1516">
        <v>0.1</v>
      </c>
      <c r="F23" s="1523"/>
      <c r="G23" s="1517">
        <v>0.1</v>
      </c>
    </row>
    <row r="24" spans="1:7">
      <c r="A24" s="1514" t="s">
        <v>251</v>
      </c>
      <c r="B24" s="1515" t="s">
        <v>1703</v>
      </c>
      <c r="C24" s="1516">
        <v>9.5000000000000001E-2</v>
      </c>
      <c r="D24" s="1516">
        <v>0.1</v>
      </c>
      <c r="E24" s="1516">
        <v>9.8000000000000004E-2</v>
      </c>
      <c r="F24" s="1523"/>
      <c r="G24" s="1517">
        <v>0.1</v>
      </c>
    </row>
    <row r="25" spans="1:7">
      <c r="A25" s="1514" t="s">
        <v>251</v>
      </c>
      <c r="B25" s="1515" t="s">
        <v>1713</v>
      </c>
      <c r="C25" s="1516">
        <v>0.05</v>
      </c>
      <c r="D25" s="1516">
        <v>9.6000000000000002E-2</v>
      </c>
      <c r="E25" s="1516">
        <v>9.6000000000000002E-2</v>
      </c>
      <c r="F25" s="1523"/>
      <c r="G25" s="1517">
        <v>9.6000000000000002E-2</v>
      </c>
    </row>
    <row r="26" spans="1:7">
      <c r="A26" s="1514" t="s">
        <v>251</v>
      </c>
      <c r="B26" s="1515" t="s">
        <v>1723</v>
      </c>
      <c r="C26" s="1516">
        <v>6.3E-2</v>
      </c>
      <c r="D26" s="1516">
        <v>9.9000000000000005E-2</v>
      </c>
      <c r="E26" s="1516">
        <v>9.8000000000000004E-2</v>
      </c>
      <c r="F26" s="1523"/>
      <c r="G26" s="1517">
        <v>0.1</v>
      </c>
    </row>
    <row r="27" spans="1:7">
      <c r="A27" s="1514" t="s">
        <v>251</v>
      </c>
      <c r="B27" s="1515" t="s">
        <v>1733</v>
      </c>
      <c r="C27" s="1516">
        <v>5.1999999999999998E-2</v>
      </c>
      <c r="D27" s="1516">
        <v>9.5000000000000001E-2</v>
      </c>
      <c r="E27" s="1516">
        <v>6.4000000000000001E-2</v>
      </c>
      <c r="F27" s="1523"/>
      <c r="G27" s="1517">
        <v>9.7000000000000003E-2</v>
      </c>
    </row>
    <row r="28" spans="1:7">
      <c r="A28" s="1514" t="s">
        <v>251</v>
      </c>
      <c r="B28" s="1515" t="s">
        <v>1743</v>
      </c>
      <c r="C28" s="1523"/>
      <c r="D28" s="1516">
        <v>6.3E-2</v>
      </c>
      <c r="E28" s="1516">
        <v>5.1999999999999998E-2</v>
      </c>
      <c r="F28" s="1523"/>
      <c r="G28" s="1517">
        <v>6.3E-2</v>
      </c>
    </row>
    <row r="29" spans="1:7">
      <c r="A29" s="1518" t="s">
        <v>251</v>
      </c>
      <c r="B29" s="1519" t="s">
        <v>1753</v>
      </c>
      <c r="C29" s="1524"/>
      <c r="D29" s="1520">
        <v>5.1999999999999998E-2</v>
      </c>
      <c r="E29" s="1520">
        <v>7.0000000000000007E-2</v>
      </c>
      <c r="F29" s="1524"/>
      <c r="G29" s="1522">
        <v>7.0999999999999994E-2</v>
      </c>
    </row>
    <row r="30" spans="1:7">
      <c r="A30" s="1525" t="s">
        <v>263</v>
      </c>
      <c r="B30" s="1511" t="s">
        <v>1551</v>
      </c>
      <c r="C30" s="1512">
        <v>6.6000000000000003E-2</v>
      </c>
      <c r="D30" s="1512">
        <v>6.6000000000000003E-2</v>
      </c>
      <c r="E30" s="1512">
        <v>5.7000000000000002E-2</v>
      </c>
      <c r="F30" s="1512">
        <v>0.1</v>
      </c>
      <c r="G30" s="1513">
        <v>6.8000000000000005E-2</v>
      </c>
    </row>
    <row r="31" spans="1:7">
      <c r="A31" s="1526" t="s">
        <v>263</v>
      </c>
      <c r="B31" s="1515" t="s">
        <v>1564</v>
      </c>
      <c r="C31" s="1516">
        <v>5.5E-2</v>
      </c>
      <c r="D31" s="1516">
        <v>8.2000000000000003E-2</v>
      </c>
      <c r="E31" s="1516">
        <v>6.4000000000000001E-2</v>
      </c>
      <c r="F31" s="1516">
        <v>0.1</v>
      </c>
      <c r="G31" s="1517">
        <v>9.5000000000000001E-2</v>
      </c>
    </row>
    <row r="32" spans="1:7">
      <c r="A32" s="1526" t="s">
        <v>263</v>
      </c>
      <c r="B32" s="1515" t="s">
        <v>1577</v>
      </c>
      <c r="C32" s="1516">
        <v>8.2000000000000003E-2</v>
      </c>
      <c r="D32" s="1516">
        <v>8.6999999999999994E-2</v>
      </c>
      <c r="E32" s="1516">
        <v>9.5000000000000001E-2</v>
      </c>
      <c r="F32" s="1516">
        <v>0.1</v>
      </c>
      <c r="G32" s="1517">
        <v>9.6000000000000002E-2</v>
      </c>
    </row>
    <row r="33" spans="1:7">
      <c r="A33" s="1526" t="s">
        <v>263</v>
      </c>
      <c r="B33" s="1515" t="s">
        <v>1589</v>
      </c>
      <c r="C33" s="1516">
        <v>9.9000000000000005E-2</v>
      </c>
      <c r="D33" s="1516">
        <v>9.1999999999999998E-2</v>
      </c>
      <c r="E33" s="1516">
        <v>8.6999999999999994E-2</v>
      </c>
      <c r="F33" s="1516">
        <v>0.1</v>
      </c>
      <c r="G33" s="1517">
        <v>9.7000000000000003E-2</v>
      </c>
    </row>
    <row r="34" spans="1:7">
      <c r="A34" s="1526" t="s">
        <v>263</v>
      </c>
      <c r="B34" s="1515" t="s">
        <v>1601</v>
      </c>
      <c r="C34" s="1516">
        <v>8.4000000000000005E-2</v>
      </c>
      <c r="D34" s="1516">
        <v>9.7000000000000003E-2</v>
      </c>
      <c r="E34" s="1516">
        <v>7.0999999999999994E-2</v>
      </c>
      <c r="F34" s="1516">
        <v>0.1</v>
      </c>
      <c r="G34" s="1517">
        <v>9.8000000000000004E-2</v>
      </c>
    </row>
    <row r="35" spans="1:7">
      <c r="A35" s="1526" t="s">
        <v>263</v>
      </c>
      <c r="B35" s="1515" t="s">
        <v>1612</v>
      </c>
      <c r="C35" s="1516">
        <v>8.3000000000000004E-2</v>
      </c>
      <c r="D35" s="1516">
        <v>9.7000000000000003E-2</v>
      </c>
      <c r="E35" s="1516">
        <v>6.0999999999999999E-2</v>
      </c>
      <c r="F35" s="1516">
        <v>0.1</v>
      </c>
      <c r="G35" s="1517">
        <v>9.9000000000000005E-2</v>
      </c>
    </row>
    <row r="36" spans="1:7">
      <c r="A36" s="1526" t="s">
        <v>263</v>
      </c>
      <c r="B36" s="1515" t="s">
        <v>1623</v>
      </c>
      <c r="C36" s="1516">
        <v>9.7000000000000003E-2</v>
      </c>
      <c r="D36" s="1516">
        <v>9.7000000000000003E-2</v>
      </c>
      <c r="E36" s="1516">
        <v>7.8E-2</v>
      </c>
      <c r="F36" s="1516">
        <v>0.1</v>
      </c>
      <c r="G36" s="1517">
        <v>9.9000000000000005E-2</v>
      </c>
    </row>
    <row r="37" spans="1:7">
      <c r="A37" s="1526" t="s">
        <v>263</v>
      </c>
      <c r="B37" s="1515" t="s">
        <v>1634</v>
      </c>
      <c r="C37" s="1516">
        <v>9.7000000000000003E-2</v>
      </c>
      <c r="D37" s="1516">
        <v>9.5000000000000001E-2</v>
      </c>
      <c r="E37" s="1516">
        <v>7.8E-2</v>
      </c>
      <c r="F37" s="1516">
        <v>0.1</v>
      </c>
      <c r="G37" s="1517">
        <v>9.7000000000000003E-2</v>
      </c>
    </row>
    <row r="38" spans="1:7">
      <c r="A38" s="1526" t="s">
        <v>263</v>
      </c>
      <c r="B38" s="1515" t="s">
        <v>1644</v>
      </c>
      <c r="C38" s="1516">
        <v>9.7000000000000003E-2</v>
      </c>
      <c r="D38" s="1516">
        <v>7.6999999999999999E-2</v>
      </c>
      <c r="E38" s="1516">
        <v>7.0000000000000007E-2</v>
      </c>
      <c r="F38" s="1516">
        <v>0.1</v>
      </c>
      <c r="G38" s="1517">
        <v>7.6999999999999999E-2</v>
      </c>
    </row>
    <row r="39" spans="1:7">
      <c r="A39" s="1526" t="s">
        <v>263</v>
      </c>
      <c r="B39" s="1515" t="s">
        <v>1654</v>
      </c>
      <c r="C39" s="1516">
        <v>9.5000000000000001E-2</v>
      </c>
      <c r="D39" s="1516">
        <v>7.6999999999999999E-2</v>
      </c>
      <c r="E39" s="1516">
        <v>6.6000000000000003E-2</v>
      </c>
      <c r="F39" s="1516">
        <v>0.1</v>
      </c>
      <c r="G39" s="1517">
        <v>8.5999999999999993E-2</v>
      </c>
    </row>
    <row r="40" spans="1:7">
      <c r="A40" s="1526" t="s">
        <v>263</v>
      </c>
      <c r="B40" s="1515" t="s">
        <v>1664</v>
      </c>
      <c r="C40" s="1516">
        <v>7.6999999999999999E-2</v>
      </c>
      <c r="D40" s="1516">
        <v>7.8E-2</v>
      </c>
      <c r="E40" s="1516">
        <v>8.2000000000000003E-2</v>
      </c>
      <c r="F40" s="1527"/>
      <c r="G40" s="1517">
        <v>7.8E-2</v>
      </c>
    </row>
    <row r="41" spans="1:7">
      <c r="A41" s="1526" t="s">
        <v>263</v>
      </c>
      <c r="B41" s="1515" t="s">
        <v>1674</v>
      </c>
      <c r="C41" s="1516">
        <v>7.8E-2</v>
      </c>
      <c r="D41" s="1516">
        <v>7.8E-2</v>
      </c>
      <c r="E41" s="1516">
        <v>8.2000000000000003E-2</v>
      </c>
      <c r="F41" s="1527"/>
      <c r="G41" s="1517">
        <v>8.5999999999999993E-2</v>
      </c>
    </row>
    <row r="42" spans="1:7">
      <c r="A42" s="1526" t="s">
        <v>263</v>
      </c>
      <c r="B42" s="1515" t="s">
        <v>1684</v>
      </c>
      <c r="C42" s="1516">
        <v>7.8E-2</v>
      </c>
      <c r="D42" s="1516">
        <v>9.6000000000000002E-2</v>
      </c>
      <c r="E42" s="1516">
        <v>7.1999999999999995E-2</v>
      </c>
      <c r="F42" s="1527"/>
      <c r="G42" s="1517">
        <v>9.8000000000000004E-2</v>
      </c>
    </row>
    <row r="43" spans="1:7">
      <c r="A43" s="1526" t="s">
        <v>263</v>
      </c>
      <c r="B43" s="1515" t="s">
        <v>1694</v>
      </c>
      <c r="C43" s="1516">
        <v>7.8E-2</v>
      </c>
      <c r="D43" s="1516">
        <v>9.9000000000000005E-2</v>
      </c>
      <c r="E43" s="1516">
        <v>9.6000000000000002E-2</v>
      </c>
      <c r="F43" s="1527"/>
      <c r="G43" s="1517">
        <v>0.1</v>
      </c>
    </row>
    <row r="44" spans="1:7">
      <c r="A44" s="1526" t="s">
        <v>263</v>
      </c>
      <c r="B44" s="1515" t="s">
        <v>1704</v>
      </c>
      <c r="C44" s="1516">
        <v>9.6000000000000002E-2</v>
      </c>
      <c r="D44" s="1516">
        <v>0.1</v>
      </c>
      <c r="E44" s="1516">
        <v>9.8000000000000004E-2</v>
      </c>
      <c r="F44" s="1527"/>
      <c r="G44" s="1517">
        <v>0.1</v>
      </c>
    </row>
    <row r="45" spans="1:7">
      <c r="A45" s="1526" t="s">
        <v>263</v>
      </c>
      <c r="B45" s="1515" t="s">
        <v>1714</v>
      </c>
      <c r="C45" s="1516">
        <v>9.9000000000000005E-2</v>
      </c>
      <c r="D45" s="1516">
        <v>9.8000000000000004E-2</v>
      </c>
      <c r="E45" s="1516">
        <v>9.5000000000000001E-2</v>
      </c>
      <c r="F45" s="1527"/>
      <c r="G45" s="1517">
        <v>9.8000000000000004E-2</v>
      </c>
    </row>
    <row r="46" spans="1:7">
      <c r="A46" s="1526" t="s">
        <v>263</v>
      </c>
      <c r="B46" s="1515" t="s">
        <v>1724</v>
      </c>
      <c r="C46" s="1516">
        <v>0.1</v>
      </c>
      <c r="D46" s="1516">
        <v>9.9000000000000005E-2</v>
      </c>
      <c r="E46" s="1516">
        <v>9.6000000000000002E-2</v>
      </c>
      <c r="F46" s="1527"/>
      <c r="G46" s="1517">
        <v>0.1</v>
      </c>
    </row>
    <row r="47" spans="1:7">
      <c r="A47" s="1526" t="s">
        <v>263</v>
      </c>
      <c r="B47" s="1515" t="s">
        <v>1734</v>
      </c>
      <c r="C47" s="1516">
        <v>9.8000000000000004E-2</v>
      </c>
      <c r="D47" s="1516">
        <v>8.6999999999999994E-2</v>
      </c>
      <c r="E47" s="1516">
        <v>5.8999999999999997E-2</v>
      </c>
      <c r="F47" s="1527"/>
      <c r="G47" s="1517">
        <v>9.6000000000000002E-2</v>
      </c>
    </row>
    <row r="48" spans="1:7">
      <c r="A48" s="1526" t="s">
        <v>263</v>
      </c>
      <c r="B48" s="1515" t="s">
        <v>1744</v>
      </c>
      <c r="C48" s="1516">
        <v>9.9000000000000005E-2</v>
      </c>
      <c r="D48" s="1516">
        <v>9.8000000000000004E-2</v>
      </c>
      <c r="E48" s="1516">
        <v>9.5000000000000001E-2</v>
      </c>
      <c r="F48" s="1527"/>
      <c r="G48" s="1517">
        <v>9.8000000000000004E-2</v>
      </c>
    </row>
    <row r="49" spans="1:7">
      <c r="A49" s="1526" t="s">
        <v>263</v>
      </c>
      <c r="B49" s="1515" t="s">
        <v>1754</v>
      </c>
      <c r="C49" s="1516">
        <v>8.7999999999999995E-2</v>
      </c>
      <c r="D49" s="1516">
        <v>9.9000000000000005E-2</v>
      </c>
      <c r="E49" s="1516">
        <v>7.0000000000000007E-2</v>
      </c>
      <c r="F49" s="1527"/>
      <c r="G49" s="1517">
        <v>0.1</v>
      </c>
    </row>
    <row r="50" spans="1:7">
      <c r="A50" s="1526" t="s">
        <v>263</v>
      </c>
      <c r="B50" s="1515" t="s">
        <v>1763</v>
      </c>
      <c r="C50" s="1516">
        <v>9.8000000000000004E-2</v>
      </c>
      <c r="D50" s="1516">
        <v>7.2999999999999995E-2</v>
      </c>
      <c r="E50" s="1516">
        <v>7.0999999999999994E-2</v>
      </c>
      <c r="F50" s="1527"/>
      <c r="G50" s="1517">
        <v>7.2999999999999995E-2</v>
      </c>
    </row>
    <row r="51" spans="1:7">
      <c r="A51" s="1526" t="s">
        <v>263</v>
      </c>
      <c r="B51" s="1515" t="s">
        <v>1771</v>
      </c>
      <c r="C51" s="1516">
        <v>9.9000000000000005E-2</v>
      </c>
      <c r="D51" s="1516">
        <v>8.5000000000000006E-2</v>
      </c>
      <c r="E51" s="1516">
        <v>6.3E-2</v>
      </c>
      <c r="F51" s="1527"/>
      <c r="G51" s="1517">
        <v>9.6000000000000002E-2</v>
      </c>
    </row>
    <row r="52" spans="1:7">
      <c r="A52" s="1526" t="s">
        <v>263</v>
      </c>
      <c r="B52" s="1515" t="s">
        <v>1779</v>
      </c>
      <c r="C52" s="1516">
        <v>7.3999999999999996E-2</v>
      </c>
      <c r="D52" s="1516">
        <v>9.6000000000000002E-2</v>
      </c>
      <c r="E52" s="1516">
        <v>0.05</v>
      </c>
      <c r="F52" s="1527"/>
      <c r="G52" s="1517">
        <v>9.8000000000000004E-2</v>
      </c>
    </row>
    <row r="53" spans="1:7">
      <c r="A53" s="1526" t="s">
        <v>263</v>
      </c>
      <c r="B53" s="1515" t="s">
        <v>1787</v>
      </c>
      <c r="C53" s="1516">
        <v>8.5999999999999993E-2</v>
      </c>
      <c r="D53" s="1527"/>
      <c r="E53" s="1516">
        <v>9.1999999999999998E-2</v>
      </c>
      <c r="F53" s="1527"/>
      <c r="G53" s="1528"/>
    </row>
    <row r="54" spans="1:7">
      <c r="A54" s="1529" t="s">
        <v>263</v>
      </c>
      <c r="B54" s="1519" t="s">
        <v>1795</v>
      </c>
      <c r="C54" s="1520">
        <v>9.6000000000000002E-2</v>
      </c>
      <c r="D54" s="1521"/>
      <c r="E54" s="1530"/>
      <c r="F54" s="1521"/>
      <c r="G54" s="1531"/>
    </row>
    <row r="55" spans="1:7">
      <c r="A55" s="1525" t="s">
        <v>273</v>
      </c>
      <c r="B55" s="1511" t="s">
        <v>1552</v>
      </c>
      <c r="C55" s="1512">
        <v>9.6000000000000002E-2</v>
      </c>
      <c r="D55" s="1512">
        <v>8.4000000000000005E-2</v>
      </c>
      <c r="E55" s="1512">
        <v>9.1999999999999998E-2</v>
      </c>
      <c r="F55" s="1512">
        <v>0.1</v>
      </c>
      <c r="G55" s="1513">
        <v>9.5000000000000001E-2</v>
      </c>
    </row>
    <row r="56" spans="1:7">
      <c r="A56" s="1526" t="s">
        <v>273</v>
      </c>
      <c r="B56" s="1515" t="s">
        <v>1565</v>
      </c>
      <c r="C56" s="1516">
        <v>8.4000000000000005E-2</v>
      </c>
      <c r="D56" s="1516">
        <v>9.1999999999999998E-2</v>
      </c>
      <c r="E56" s="1516">
        <v>9.5000000000000001E-2</v>
      </c>
      <c r="F56" s="1516">
        <v>9.1999999999999998E-2</v>
      </c>
      <c r="G56" s="1517">
        <v>9.6000000000000002E-2</v>
      </c>
    </row>
    <row r="57" spans="1:7">
      <c r="A57" s="1526" t="s">
        <v>273</v>
      </c>
      <c r="B57" s="1515" t="s">
        <v>1578</v>
      </c>
      <c r="C57" s="1516">
        <v>9.9000000000000005E-2</v>
      </c>
      <c r="D57" s="1516">
        <v>9.6000000000000002E-2</v>
      </c>
      <c r="E57" s="1516">
        <v>9.1999999999999998E-2</v>
      </c>
      <c r="F57" s="1516">
        <v>0.1</v>
      </c>
      <c r="G57" s="1517">
        <v>9.8000000000000004E-2</v>
      </c>
    </row>
    <row r="58" spans="1:7">
      <c r="A58" s="1526" t="s">
        <v>273</v>
      </c>
      <c r="B58" s="1515" t="s">
        <v>1590</v>
      </c>
      <c r="C58" s="1516">
        <v>9.8000000000000004E-2</v>
      </c>
      <c r="D58" s="1516">
        <v>9.5000000000000001E-2</v>
      </c>
      <c r="E58" s="1516">
        <v>5.7000000000000002E-2</v>
      </c>
      <c r="F58" s="1516">
        <v>0.1</v>
      </c>
      <c r="G58" s="1517">
        <v>9.6000000000000002E-2</v>
      </c>
    </row>
    <row r="59" spans="1:7">
      <c r="A59" s="1526" t="s">
        <v>273</v>
      </c>
      <c r="B59" s="1515" t="s">
        <v>1602</v>
      </c>
      <c r="C59" s="1516">
        <v>9.5000000000000001E-2</v>
      </c>
      <c r="D59" s="1516">
        <v>0.1</v>
      </c>
      <c r="E59" s="1516">
        <v>7.4999999999999997E-2</v>
      </c>
      <c r="F59" s="1516">
        <v>0.1</v>
      </c>
      <c r="G59" s="1517">
        <v>0.1</v>
      </c>
    </row>
    <row r="60" spans="1:7">
      <c r="A60" s="1526" t="s">
        <v>273</v>
      </c>
      <c r="B60" s="1515" t="s">
        <v>1613</v>
      </c>
      <c r="C60" s="1516">
        <v>0.1</v>
      </c>
      <c r="D60" s="1516">
        <v>9.7000000000000003E-2</v>
      </c>
      <c r="E60" s="1516">
        <v>0.1</v>
      </c>
      <c r="F60" s="1516">
        <v>0.1</v>
      </c>
      <c r="G60" s="1517">
        <v>9.7000000000000003E-2</v>
      </c>
    </row>
    <row r="61" spans="1:7">
      <c r="A61" s="1526" t="s">
        <v>273</v>
      </c>
      <c r="B61" s="1515" t="s">
        <v>1624</v>
      </c>
      <c r="C61" s="1516">
        <v>9.7000000000000003E-2</v>
      </c>
      <c r="D61" s="1516">
        <v>0.1</v>
      </c>
      <c r="E61" s="1516">
        <v>9.2999999999999999E-2</v>
      </c>
      <c r="F61" s="1516">
        <v>0.1</v>
      </c>
      <c r="G61" s="1517">
        <v>0.1</v>
      </c>
    </row>
    <row r="62" spans="1:7">
      <c r="A62" s="1526" t="s">
        <v>273</v>
      </c>
      <c r="B62" s="1515" t="s">
        <v>1635</v>
      </c>
      <c r="C62" s="1516">
        <v>0.1</v>
      </c>
      <c r="D62" s="1516">
        <v>9.7000000000000003E-2</v>
      </c>
      <c r="E62" s="1516">
        <v>8.8999999999999996E-2</v>
      </c>
      <c r="F62" s="1516">
        <v>0.1</v>
      </c>
      <c r="G62" s="1517">
        <v>9.8000000000000004E-2</v>
      </c>
    </row>
    <row r="63" spans="1:7">
      <c r="A63" s="1526" t="s">
        <v>273</v>
      </c>
      <c r="B63" s="1515" t="s">
        <v>1645</v>
      </c>
      <c r="C63" s="1516">
        <v>9.7000000000000003E-2</v>
      </c>
      <c r="D63" s="1516">
        <v>9.7000000000000003E-2</v>
      </c>
      <c r="E63" s="1516">
        <v>9.9000000000000005E-2</v>
      </c>
      <c r="F63" s="1516">
        <v>0.1</v>
      </c>
      <c r="G63" s="1517">
        <v>9.7000000000000003E-2</v>
      </c>
    </row>
    <row r="64" spans="1:7">
      <c r="A64" s="1526" t="s">
        <v>273</v>
      </c>
      <c r="B64" s="1515" t="s">
        <v>1655</v>
      </c>
      <c r="C64" s="1516">
        <v>9.7000000000000003E-2</v>
      </c>
      <c r="D64" s="1516">
        <v>7.3999999999999996E-2</v>
      </c>
      <c r="E64" s="1516">
        <v>7.8E-2</v>
      </c>
      <c r="F64" s="1516">
        <v>0.1</v>
      </c>
      <c r="G64" s="1517">
        <v>8.8999999999999996E-2</v>
      </c>
    </row>
    <row r="65" spans="1:7">
      <c r="A65" s="1526" t="s">
        <v>273</v>
      </c>
      <c r="B65" s="1515" t="s">
        <v>1665</v>
      </c>
      <c r="C65" s="1516">
        <v>7.2999999999999995E-2</v>
      </c>
      <c r="D65" s="1516">
        <v>9.8000000000000004E-2</v>
      </c>
      <c r="E65" s="1516">
        <v>9.5000000000000001E-2</v>
      </c>
      <c r="F65" s="1516">
        <v>0.1</v>
      </c>
      <c r="G65" s="1517">
        <v>9.9000000000000005E-2</v>
      </c>
    </row>
    <row r="66" spans="1:7">
      <c r="A66" s="1526" t="s">
        <v>273</v>
      </c>
      <c r="B66" s="1515" t="s">
        <v>1675</v>
      </c>
      <c r="C66" s="1516">
        <v>9.8000000000000004E-2</v>
      </c>
      <c r="D66" s="1516">
        <v>9.5000000000000001E-2</v>
      </c>
      <c r="E66" s="1516">
        <v>0.05</v>
      </c>
      <c r="F66" s="1516">
        <v>0.1</v>
      </c>
      <c r="G66" s="1517">
        <v>9.7000000000000003E-2</v>
      </c>
    </row>
    <row r="67" spans="1:7">
      <c r="A67" s="1526" t="s">
        <v>273</v>
      </c>
      <c r="B67" s="1515" t="s">
        <v>1685</v>
      </c>
      <c r="C67" s="1516">
        <v>9.5000000000000001E-2</v>
      </c>
      <c r="D67" s="1516">
        <v>9.7000000000000003E-2</v>
      </c>
      <c r="E67" s="1516">
        <v>9.7000000000000003E-2</v>
      </c>
      <c r="F67" s="1516">
        <v>0.1</v>
      </c>
      <c r="G67" s="1517">
        <v>9.9000000000000005E-2</v>
      </c>
    </row>
    <row r="68" spans="1:7">
      <c r="A68" s="1526" t="s">
        <v>273</v>
      </c>
      <c r="B68" s="1515" t="s">
        <v>1695</v>
      </c>
      <c r="C68" s="1516">
        <v>9.7000000000000003E-2</v>
      </c>
      <c r="D68" s="1516">
        <v>6.8000000000000005E-2</v>
      </c>
      <c r="E68" s="1516">
        <v>6.6000000000000003E-2</v>
      </c>
      <c r="F68" s="1516">
        <v>0.1</v>
      </c>
      <c r="G68" s="1517">
        <v>8.4000000000000005E-2</v>
      </c>
    </row>
    <row r="69" spans="1:7">
      <c r="A69" s="1526" t="s">
        <v>273</v>
      </c>
      <c r="B69" s="1515" t="s">
        <v>1705</v>
      </c>
      <c r="C69" s="1516">
        <v>6.8000000000000005E-2</v>
      </c>
      <c r="D69" s="1516">
        <v>9.8000000000000004E-2</v>
      </c>
      <c r="E69" s="1516">
        <v>9.5000000000000001E-2</v>
      </c>
      <c r="F69" s="1516">
        <v>0.1</v>
      </c>
      <c r="G69" s="1517">
        <v>0.1</v>
      </c>
    </row>
    <row r="70" spans="1:7">
      <c r="A70" s="1526" t="s">
        <v>273</v>
      </c>
      <c r="B70" s="1515" t="s">
        <v>1715</v>
      </c>
      <c r="C70" s="1516">
        <v>9.8000000000000004E-2</v>
      </c>
      <c r="D70" s="1516">
        <v>8.8999999999999996E-2</v>
      </c>
      <c r="E70" s="1516">
        <v>5.8999999999999997E-2</v>
      </c>
      <c r="F70" s="1516">
        <v>0.1</v>
      </c>
      <c r="G70" s="1517">
        <v>9.6000000000000002E-2</v>
      </c>
    </row>
    <row r="71" spans="1:7">
      <c r="A71" s="1526" t="s">
        <v>273</v>
      </c>
      <c r="B71" s="1515" t="s">
        <v>1725</v>
      </c>
      <c r="C71" s="1516">
        <v>8.8999999999999996E-2</v>
      </c>
      <c r="D71" s="1516">
        <v>9.9000000000000005E-2</v>
      </c>
      <c r="E71" s="1516">
        <v>9.6000000000000002E-2</v>
      </c>
      <c r="F71" s="1516">
        <v>0.1</v>
      </c>
      <c r="G71" s="1517">
        <v>0.1</v>
      </c>
    </row>
    <row r="72" spans="1:7">
      <c r="A72" s="1526" t="s">
        <v>273</v>
      </c>
      <c r="B72" s="1515" t="s">
        <v>1735</v>
      </c>
      <c r="C72" s="1516">
        <v>9.9000000000000005E-2</v>
      </c>
      <c r="D72" s="1516">
        <v>0.1</v>
      </c>
      <c r="E72" s="1516">
        <v>7.0000000000000007E-2</v>
      </c>
      <c r="F72" s="1527"/>
      <c r="G72" s="1517">
        <v>0.1</v>
      </c>
    </row>
    <row r="73" spans="1:7">
      <c r="A73" s="1526" t="s">
        <v>273</v>
      </c>
      <c r="B73" s="1515" t="s">
        <v>1745</v>
      </c>
      <c r="C73" s="1516">
        <v>0.1</v>
      </c>
      <c r="D73" s="1516">
        <v>0.1</v>
      </c>
      <c r="E73" s="1516">
        <v>9.6000000000000002E-2</v>
      </c>
      <c r="F73" s="1527"/>
      <c r="G73" s="1517">
        <v>0.1</v>
      </c>
    </row>
    <row r="74" spans="1:7">
      <c r="A74" s="1526" t="s">
        <v>273</v>
      </c>
      <c r="B74" s="1515" t="s">
        <v>1755</v>
      </c>
      <c r="C74" s="1516">
        <v>0.1</v>
      </c>
      <c r="D74" s="1516">
        <v>0.1</v>
      </c>
      <c r="E74" s="1516">
        <v>9.8000000000000004E-2</v>
      </c>
      <c r="F74" s="1527"/>
      <c r="G74" s="1517">
        <v>0.1</v>
      </c>
    </row>
    <row r="75" spans="1:7">
      <c r="A75" s="1526" t="s">
        <v>273</v>
      </c>
      <c r="B75" s="1515" t="s">
        <v>1764</v>
      </c>
      <c r="C75" s="1516">
        <v>0.1</v>
      </c>
      <c r="D75" s="1516">
        <v>9.9000000000000005E-2</v>
      </c>
      <c r="E75" s="1516">
        <v>9.8000000000000004E-2</v>
      </c>
      <c r="F75" s="1527"/>
      <c r="G75" s="1517">
        <v>0.1</v>
      </c>
    </row>
    <row r="76" spans="1:7">
      <c r="A76" s="1526" t="s">
        <v>273</v>
      </c>
      <c r="B76" s="1515" t="s">
        <v>1772</v>
      </c>
      <c r="C76" s="1516">
        <v>9.9000000000000005E-2</v>
      </c>
      <c r="D76" s="1516">
        <v>0.1</v>
      </c>
      <c r="E76" s="1516">
        <v>9.7000000000000003E-2</v>
      </c>
      <c r="F76" s="1527"/>
      <c r="G76" s="1517">
        <v>0.1</v>
      </c>
    </row>
    <row r="77" spans="1:7">
      <c r="A77" s="1526" t="s">
        <v>273</v>
      </c>
      <c r="B77" s="1515" t="s">
        <v>1780</v>
      </c>
      <c r="C77" s="1516">
        <v>0.1</v>
      </c>
      <c r="D77" s="1516">
        <v>0.1</v>
      </c>
      <c r="E77" s="1516">
        <v>9.6000000000000002E-2</v>
      </c>
      <c r="F77" s="1527"/>
      <c r="G77" s="1517">
        <v>0.1</v>
      </c>
    </row>
    <row r="78" spans="1:7">
      <c r="A78" s="1526" t="s">
        <v>273</v>
      </c>
      <c r="B78" s="1515" t="s">
        <v>1788</v>
      </c>
      <c r="C78" s="1516">
        <v>0.1</v>
      </c>
      <c r="D78" s="1516">
        <v>8.5000000000000006E-2</v>
      </c>
      <c r="E78" s="1516">
        <v>9.6000000000000002E-2</v>
      </c>
      <c r="F78" s="1527"/>
      <c r="G78" s="1517">
        <v>9.6000000000000002E-2</v>
      </c>
    </row>
    <row r="79" spans="1:7">
      <c r="A79" s="1526" t="s">
        <v>273</v>
      </c>
      <c r="B79" s="1515" t="s">
        <v>1796</v>
      </c>
      <c r="C79" s="1516">
        <v>0.05</v>
      </c>
      <c r="D79" s="1516">
        <v>9.6000000000000002E-2</v>
      </c>
      <c r="E79" s="1516">
        <v>9.5000000000000001E-2</v>
      </c>
      <c r="F79" s="1527"/>
      <c r="G79" s="1517">
        <v>9.8000000000000004E-2</v>
      </c>
    </row>
    <row r="80" spans="1:7">
      <c r="A80" s="1526" t="s">
        <v>273</v>
      </c>
      <c r="B80" s="1515" t="s">
        <v>1803</v>
      </c>
      <c r="C80" s="1516">
        <v>8.5999999999999993E-2</v>
      </c>
      <c r="D80" s="1532"/>
      <c r="E80" s="1516">
        <v>0.1</v>
      </c>
      <c r="F80" s="1527"/>
      <c r="G80" s="1528"/>
    </row>
    <row r="81" spans="1:7">
      <c r="A81" s="1526" t="s">
        <v>273</v>
      </c>
      <c r="B81" s="1515" t="s">
        <v>1810</v>
      </c>
      <c r="C81" s="1516">
        <v>9.6000000000000002E-2</v>
      </c>
      <c r="D81" s="1527"/>
      <c r="E81" s="1516">
        <v>9.8000000000000004E-2</v>
      </c>
      <c r="F81" s="1527"/>
      <c r="G81" s="1528"/>
    </row>
    <row r="82" spans="1:7">
      <c r="A82" s="1526" t="s">
        <v>273</v>
      </c>
      <c r="B82" s="1515" t="s">
        <v>1817</v>
      </c>
      <c r="C82" s="1532"/>
      <c r="D82" s="1527"/>
      <c r="E82" s="1516">
        <v>7.6999999999999999E-2</v>
      </c>
      <c r="F82" s="1527"/>
      <c r="G82" s="1528"/>
    </row>
    <row r="83" spans="1:7">
      <c r="A83" s="1526" t="s">
        <v>273</v>
      </c>
      <c r="B83" s="1515" t="s">
        <v>1824</v>
      </c>
      <c r="C83" s="1527"/>
      <c r="D83" s="1527"/>
      <c r="E83" s="1527"/>
      <c r="F83" s="1516">
        <v>0.1</v>
      </c>
      <c r="G83" s="1533"/>
    </row>
    <row r="84" spans="1:7">
      <c r="A84" s="1526" t="s">
        <v>273</v>
      </c>
      <c r="B84" s="1515" t="s">
        <v>1831</v>
      </c>
      <c r="C84" s="1527"/>
      <c r="D84" s="1527"/>
      <c r="E84" s="1527"/>
      <c r="F84" s="1516">
        <v>0.1</v>
      </c>
      <c r="G84" s="1533"/>
    </row>
    <row r="85" spans="1:7">
      <c r="A85" s="1526" t="s">
        <v>273</v>
      </c>
      <c r="B85" s="1515" t="s">
        <v>1838</v>
      </c>
      <c r="C85" s="1527"/>
      <c r="D85" s="1527"/>
      <c r="E85" s="1527"/>
      <c r="F85" s="1516">
        <v>0.1</v>
      </c>
      <c r="G85" s="1533"/>
    </row>
    <row r="86" spans="1:7">
      <c r="A86" s="1529" t="s">
        <v>273</v>
      </c>
      <c r="B86" s="1519" t="s">
        <v>1845</v>
      </c>
      <c r="C86" s="1520">
        <v>9.8000000000000004E-2</v>
      </c>
      <c r="D86" s="1520">
        <v>9.8000000000000004E-2</v>
      </c>
      <c r="E86" s="1520">
        <v>9.6000000000000002E-2</v>
      </c>
      <c r="F86" s="1530"/>
      <c r="G86" s="1522">
        <v>0.1</v>
      </c>
    </row>
    <row r="87" spans="1:7">
      <c r="A87" s="1525" t="s">
        <v>282</v>
      </c>
      <c r="B87" s="1511" t="s">
        <v>1553</v>
      </c>
      <c r="C87" s="1512">
        <v>0.1</v>
      </c>
      <c r="D87" s="1512">
        <v>0.1</v>
      </c>
      <c r="E87" s="1512">
        <v>9.8000000000000004E-2</v>
      </c>
      <c r="F87" s="1512">
        <v>0.1</v>
      </c>
      <c r="G87" s="1513">
        <v>0.1</v>
      </c>
    </row>
    <row r="88" spans="1:7">
      <c r="A88" s="1526" t="s">
        <v>282</v>
      </c>
      <c r="B88" s="1515" t="s">
        <v>1566</v>
      </c>
      <c r="C88" s="1516">
        <v>9.0999999999999998E-2</v>
      </c>
      <c r="D88" s="1516">
        <v>9.1999999999999998E-2</v>
      </c>
      <c r="E88" s="1516">
        <v>0.1</v>
      </c>
      <c r="F88" s="1516">
        <v>0.1</v>
      </c>
      <c r="G88" s="1517">
        <v>9.6000000000000002E-2</v>
      </c>
    </row>
    <row r="89" spans="1:7">
      <c r="A89" s="1526" t="s">
        <v>282</v>
      </c>
      <c r="B89" s="1515" t="s">
        <v>1579</v>
      </c>
      <c r="C89" s="1516">
        <v>0.1</v>
      </c>
      <c r="D89" s="1516">
        <v>0.1</v>
      </c>
      <c r="E89" s="1516">
        <v>6.7000000000000004E-2</v>
      </c>
      <c r="F89" s="1516">
        <v>9.2999999999999999E-2</v>
      </c>
      <c r="G89" s="1517">
        <v>0.1</v>
      </c>
    </row>
    <row r="90" spans="1:7">
      <c r="A90" s="1526" t="s">
        <v>282</v>
      </c>
      <c r="B90" s="1515" t="s">
        <v>1591</v>
      </c>
      <c r="C90" s="1516">
        <v>9.6000000000000002E-2</v>
      </c>
      <c r="D90" s="1516">
        <v>9.6000000000000002E-2</v>
      </c>
      <c r="E90" s="1516">
        <v>0.1</v>
      </c>
      <c r="F90" s="1516">
        <v>0.1</v>
      </c>
      <c r="G90" s="1517">
        <v>9.8000000000000004E-2</v>
      </c>
    </row>
    <row r="91" spans="1:7">
      <c r="A91" s="1526" t="s">
        <v>282</v>
      </c>
      <c r="B91" s="1515" t="s">
        <v>1603</v>
      </c>
      <c r="C91" s="1516">
        <v>7.6999999999999999E-2</v>
      </c>
      <c r="D91" s="1516">
        <v>7.6999999999999999E-2</v>
      </c>
      <c r="E91" s="1516">
        <v>9.6000000000000002E-2</v>
      </c>
      <c r="F91" s="1516">
        <v>0.1</v>
      </c>
      <c r="G91" s="1517">
        <v>7.6999999999999999E-2</v>
      </c>
    </row>
    <row r="92" spans="1:7">
      <c r="A92" s="1526" t="s">
        <v>282</v>
      </c>
      <c r="B92" s="1515" t="s">
        <v>1614</v>
      </c>
      <c r="C92" s="1516">
        <v>0.1</v>
      </c>
      <c r="D92" s="1516">
        <v>0.1</v>
      </c>
      <c r="E92" s="1516">
        <v>9.1999999999999998E-2</v>
      </c>
      <c r="F92" s="1516">
        <v>0.1</v>
      </c>
      <c r="G92" s="1517">
        <v>0.1</v>
      </c>
    </row>
    <row r="93" spans="1:7">
      <c r="A93" s="1526" t="s">
        <v>282</v>
      </c>
      <c r="B93" s="1515" t="s">
        <v>1625</v>
      </c>
      <c r="C93" s="1516">
        <v>9.8000000000000004E-2</v>
      </c>
      <c r="D93" s="1516">
        <v>9.8000000000000004E-2</v>
      </c>
      <c r="E93" s="1516">
        <v>9.6000000000000002E-2</v>
      </c>
      <c r="F93" s="1516">
        <v>0.1</v>
      </c>
      <c r="G93" s="1517">
        <v>9.9000000000000005E-2</v>
      </c>
    </row>
    <row r="94" spans="1:7">
      <c r="A94" s="1526" t="s">
        <v>282</v>
      </c>
      <c r="B94" s="1515" t="s">
        <v>1636</v>
      </c>
      <c r="C94" s="1516">
        <v>8.7999999999999995E-2</v>
      </c>
      <c r="D94" s="1516">
        <v>8.7999999999999995E-2</v>
      </c>
      <c r="E94" s="1516">
        <v>9.6000000000000002E-2</v>
      </c>
      <c r="F94" s="1516">
        <v>0.1</v>
      </c>
      <c r="G94" s="1517">
        <v>8.7999999999999995E-2</v>
      </c>
    </row>
    <row r="95" spans="1:7">
      <c r="A95" s="1526" t="s">
        <v>282</v>
      </c>
      <c r="B95" s="1515" t="s">
        <v>1646</v>
      </c>
      <c r="C95" s="1516">
        <v>9.6000000000000002E-2</v>
      </c>
      <c r="D95" s="1516">
        <v>9.6000000000000002E-2</v>
      </c>
      <c r="E95" s="1516">
        <v>0.1</v>
      </c>
      <c r="F95" s="1516">
        <v>0.1</v>
      </c>
      <c r="G95" s="1517">
        <v>9.8000000000000004E-2</v>
      </c>
    </row>
    <row r="96" spans="1:7">
      <c r="A96" s="1526" t="s">
        <v>282</v>
      </c>
      <c r="B96" s="1515" t="s">
        <v>1656</v>
      </c>
      <c r="C96" s="1516">
        <v>9.7000000000000003E-2</v>
      </c>
      <c r="D96" s="1516">
        <v>9.7000000000000003E-2</v>
      </c>
      <c r="E96" s="1516">
        <v>0.1</v>
      </c>
      <c r="F96" s="1516">
        <v>0.1</v>
      </c>
      <c r="G96" s="1517">
        <v>9.8000000000000004E-2</v>
      </c>
    </row>
    <row r="97" spans="1:7">
      <c r="A97" s="1526" t="s">
        <v>282</v>
      </c>
      <c r="B97" s="1515" t="s">
        <v>1666</v>
      </c>
      <c r="C97" s="1516">
        <v>9.6000000000000002E-2</v>
      </c>
      <c r="D97" s="1516">
        <v>9.6000000000000002E-2</v>
      </c>
      <c r="E97" s="1516">
        <v>9.9000000000000005E-2</v>
      </c>
      <c r="F97" s="1516">
        <v>0.1</v>
      </c>
      <c r="G97" s="1517">
        <v>9.8000000000000004E-2</v>
      </c>
    </row>
    <row r="98" spans="1:7">
      <c r="A98" s="1526" t="s">
        <v>282</v>
      </c>
      <c r="B98" s="1515" t="s">
        <v>1676</v>
      </c>
      <c r="C98" s="1516">
        <v>9.8000000000000004E-2</v>
      </c>
      <c r="D98" s="1516">
        <v>9.8000000000000004E-2</v>
      </c>
      <c r="E98" s="1516">
        <v>0.1</v>
      </c>
      <c r="F98" s="1516">
        <v>0.1</v>
      </c>
      <c r="G98" s="1517">
        <v>9.9000000000000005E-2</v>
      </c>
    </row>
    <row r="99" spans="1:7">
      <c r="A99" s="1526" t="s">
        <v>282</v>
      </c>
      <c r="B99" s="1515" t="s">
        <v>1686</v>
      </c>
      <c r="C99" s="1516">
        <v>9.6000000000000002E-2</v>
      </c>
      <c r="D99" s="1516">
        <v>9.6000000000000002E-2</v>
      </c>
      <c r="E99" s="1516">
        <v>0.1</v>
      </c>
      <c r="F99" s="1516">
        <v>0.1</v>
      </c>
      <c r="G99" s="1517">
        <v>9.7000000000000003E-2</v>
      </c>
    </row>
    <row r="100" spans="1:7">
      <c r="A100" s="1526" t="s">
        <v>282</v>
      </c>
      <c r="B100" s="1515" t="s">
        <v>1696</v>
      </c>
      <c r="C100" s="1516">
        <v>0.1</v>
      </c>
      <c r="D100" s="1516">
        <v>0.1</v>
      </c>
      <c r="E100" s="1516">
        <v>9.7000000000000003E-2</v>
      </c>
      <c r="F100" s="1516">
        <v>9.8000000000000004E-2</v>
      </c>
      <c r="G100" s="1517">
        <v>0.1</v>
      </c>
    </row>
    <row r="101" spans="1:7">
      <c r="A101" s="1526" t="s">
        <v>282</v>
      </c>
      <c r="B101" s="1515" t="s">
        <v>1706</v>
      </c>
      <c r="C101" s="1516">
        <v>0.1</v>
      </c>
      <c r="D101" s="1516">
        <v>0.1</v>
      </c>
      <c r="E101" s="1516">
        <v>9.5000000000000001E-2</v>
      </c>
      <c r="F101" s="1516">
        <v>0.1</v>
      </c>
      <c r="G101" s="1517">
        <v>0.1</v>
      </c>
    </row>
    <row r="102" spans="1:7">
      <c r="A102" s="1526" t="s">
        <v>282</v>
      </c>
      <c r="B102" s="1515" t="s">
        <v>1716</v>
      </c>
      <c r="C102" s="1516">
        <v>0.1</v>
      </c>
      <c r="D102" s="1516">
        <v>0.1</v>
      </c>
      <c r="E102" s="1516">
        <v>9.9000000000000005E-2</v>
      </c>
      <c r="F102" s="1516">
        <v>9.7000000000000003E-2</v>
      </c>
      <c r="G102" s="1517">
        <v>0.1</v>
      </c>
    </row>
    <row r="103" spans="1:7">
      <c r="A103" s="1526" t="s">
        <v>282</v>
      </c>
      <c r="B103" s="1515" t="s">
        <v>1726</v>
      </c>
      <c r="C103" s="1516">
        <v>0.1</v>
      </c>
      <c r="D103" s="1516">
        <v>0.1</v>
      </c>
      <c r="E103" s="1516">
        <v>9.8000000000000004E-2</v>
      </c>
      <c r="F103" s="1516">
        <v>0.1</v>
      </c>
      <c r="G103" s="1517">
        <v>0.1</v>
      </c>
    </row>
    <row r="104" spans="1:7">
      <c r="A104" s="1526" t="s">
        <v>282</v>
      </c>
      <c r="B104" s="1515" t="s">
        <v>1736</v>
      </c>
      <c r="C104" s="1516">
        <v>0.1</v>
      </c>
      <c r="D104" s="1516">
        <v>0.1</v>
      </c>
      <c r="E104" s="1516">
        <v>9.8000000000000004E-2</v>
      </c>
      <c r="F104" s="1516">
        <v>0.1</v>
      </c>
      <c r="G104" s="1517">
        <v>0.1</v>
      </c>
    </row>
    <row r="105" spans="1:7">
      <c r="A105" s="1526" t="s">
        <v>282</v>
      </c>
      <c r="B105" s="1515" t="s">
        <v>1746</v>
      </c>
      <c r="C105" s="1516">
        <v>9.8000000000000004E-2</v>
      </c>
      <c r="D105" s="1516">
        <v>9.8000000000000004E-2</v>
      </c>
      <c r="E105" s="1516">
        <v>9.8000000000000004E-2</v>
      </c>
      <c r="F105" s="1516">
        <v>0.1</v>
      </c>
      <c r="G105" s="1517">
        <v>9.9000000000000005E-2</v>
      </c>
    </row>
    <row r="106" spans="1:7">
      <c r="A106" s="1526" t="s">
        <v>282</v>
      </c>
      <c r="B106" s="1515" t="s">
        <v>1756</v>
      </c>
      <c r="C106" s="1516">
        <v>9.7000000000000003E-2</v>
      </c>
      <c r="D106" s="1516">
        <v>9.7000000000000003E-2</v>
      </c>
      <c r="E106" s="1516">
        <v>9.7000000000000003E-2</v>
      </c>
      <c r="F106" s="1516">
        <v>0.1</v>
      </c>
      <c r="G106" s="1517">
        <v>9.9000000000000005E-2</v>
      </c>
    </row>
    <row r="107" spans="1:7">
      <c r="A107" s="1526" t="s">
        <v>282</v>
      </c>
      <c r="B107" s="1515" t="s">
        <v>1765</v>
      </c>
      <c r="C107" s="1516">
        <v>0.1</v>
      </c>
      <c r="D107" s="1516">
        <v>0.1</v>
      </c>
      <c r="E107" s="1516">
        <v>8.5999999999999993E-2</v>
      </c>
      <c r="F107" s="1516">
        <v>0.09</v>
      </c>
      <c r="G107" s="1517">
        <v>0.1</v>
      </c>
    </row>
    <row r="108" spans="1:7">
      <c r="A108" s="1526" t="s">
        <v>282</v>
      </c>
      <c r="B108" s="1515" t="s">
        <v>1773</v>
      </c>
      <c r="C108" s="1516">
        <v>0.1</v>
      </c>
      <c r="D108" s="1516">
        <v>0.1</v>
      </c>
      <c r="E108" s="1516">
        <v>9.6000000000000002E-2</v>
      </c>
      <c r="F108" s="1527"/>
      <c r="G108" s="1517">
        <v>0.1</v>
      </c>
    </row>
    <row r="109" spans="1:7">
      <c r="A109" s="1526" t="s">
        <v>282</v>
      </c>
      <c r="B109" s="1515" t="s">
        <v>1781</v>
      </c>
      <c r="C109" s="1516">
        <v>0.1</v>
      </c>
      <c r="D109" s="1516">
        <v>0.1</v>
      </c>
      <c r="E109" s="1516">
        <v>0.1</v>
      </c>
      <c r="F109" s="1527"/>
      <c r="G109" s="1517">
        <v>0.1</v>
      </c>
    </row>
    <row r="110" spans="1:7">
      <c r="A110" s="1526" t="s">
        <v>282</v>
      </c>
      <c r="B110" s="1515" t="s">
        <v>1789</v>
      </c>
      <c r="C110" s="1516">
        <v>0.1</v>
      </c>
      <c r="D110" s="1516">
        <v>0.1</v>
      </c>
      <c r="E110" s="1516">
        <v>0.1</v>
      </c>
      <c r="F110" s="1527"/>
      <c r="G110" s="1517">
        <v>0.1</v>
      </c>
    </row>
    <row r="111" spans="1:7">
      <c r="A111" s="1526" t="s">
        <v>282</v>
      </c>
      <c r="B111" s="1515" t="s">
        <v>1797</v>
      </c>
      <c r="C111" s="1516">
        <v>0.1</v>
      </c>
      <c r="D111" s="1516">
        <v>0.1</v>
      </c>
      <c r="E111" s="1516">
        <v>9.5000000000000001E-2</v>
      </c>
      <c r="F111" s="1527"/>
      <c r="G111" s="1517">
        <v>0.1</v>
      </c>
    </row>
    <row r="112" spans="1:7">
      <c r="A112" s="1526" t="s">
        <v>282</v>
      </c>
      <c r="B112" s="1515" t="s">
        <v>1804</v>
      </c>
      <c r="C112" s="1516">
        <v>9.7000000000000003E-2</v>
      </c>
      <c r="D112" s="1516">
        <v>9.7000000000000003E-2</v>
      </c>
      <c r="E112" s="1516">
        <v>0.05</v>
      </c>
      <c r="F112" s="1527"/>
      <c r="G112" s="1517">
        <v>9.8000000000000004E-2</v>
      </c>
    </row>
    <row r="113" spans="1:7">
      <c r="A113" s="1526" t="s">
        <v>282</v>
      </c>
      <c r="B113" s="1515" t="s">
        <v>1811</v>
      </c>
      <c r="C113" s="1516">
        <v>0.1</v>
      </c>
      <c r="D113" s="1516">
        <v>0.1</v>
      </c>
      <c r="E113" s="1527"/>
      <c r="F113" s="1527"/>
      <c r="G113" s="1517">
        <v>0.1</v>
      </c>
    </row>
    <row r="114" spans="1:7">
      <c r="A114" s="1526" t="s">
        <v>282</v>
      </c>
      <c r="B114" s="1515" t="s">
        <v>1818</v>
      </c>
      <c r="C114" s="1516">
        <v>9.7000000000000003E-2</v>
      </c>
      <c r="D114" s="1516">
        <v>9.7000000000000003E-2</v>
      </c>
      <c r="E114" s="1527"/>
      <c r="F114" s="1527"/>
      <c r="G114" s="1517">
        <v>9.9000000000000005E-2</v>
      </c>
    </row>
    <row r="115" spans="1:7">
      <c r="A115" s="1526" t="s">
        <v>282</v>
      </c>
      <c r="B115" s="1515" t="s">
        <v>1825</v>
      </c>
      <c r="C115" s="1516">
        <v>0.1</v>
      </c>
      <c r="D115" s="1516">
        <v>0.1</v>
      </c>
      <c r="E115" s="1527"/>
      <c r="F115" s="1527"/>
      <c r="G115" s="1517">
        <v>0.1</v>
      </c>
    </row>
    <row r="116" spans="1:7">
      <c r="A116" s="1526" t="s">
        <v>282</v>
      </c>
      <c r="B116" s="1515" t="s">
        <v>1832</v>
      </c>
      <c r="C116" s="1516">
        <v>0.1</v>
      </c>
      <c r="D116" s="1516">
        <v>0.1</v>
      </c>
      <c r="E116" s="1527"/>
      <c r="F116" s="1527"/>
      <c r="G116" s="1517">
        <v>0.1</v>
      </c>
    </row>
    <row r="117" spans="1:7">
      <c r="A117" s="1526" t="s">
        <v>282</v>
      </c>
      <c r="B117" s="1515" t="s">
        <v>1839</v>
      </c>
      <c r="C117" s="1516">
        <v>9.7000000000000003E-2</v>
      </c>
      <c r="D117" s="1516">
        <v>9.7000000000000003E-2</v>
      </c>
      <c r="E117" s="1527"/>
      <c r="F117" s="1527"/>
      <c r="G117" s="1517">
        <v>9.7000000000000003E-2</v>
      </c>
    </row>
    <row r="118" spans="1:7">
      <c r="A118" s="1526" t="s">
        <v>282</v>
      </c>
      <c r="B118" s="1515" t="s">
        <v>1846</v>
      </c>
      <c r="C118" s="1516">
        <v>0.1</v>
      </c>
      <c r="D118" s="1516">
        <v>0.1</v>
      </c>
      <c r="E118" s="1527"/>
      <c r="F118" s="1527"/>
      <c r="G118" s="1517">
        <v>0.1</v>
      </c>
    </row>
    <row r="119" spans="1:7">
      <c r="A119" s="1526" t="s">
        <v>282</v>
      </c>
      <c r="B119" s="1515" t="s">
        <v>1851</v>
      </c>
      <c r="C119" s="1516">
        <v>5.0999999999999997E-2</v>
      </c>
      <c r="D119" s="1516">
        <v>5.1999999999999998E-2</v>
      </c>
      <c r="E119" s="1527"/>
      <c r="F119" s="1532"/>
      <c r="G119" s="1517">
        <v>0.06</v>
      </c>
    </row>
    <row r="120" spans="1:7">
      <c r="A120" s="1526" t="s">
        <v>282</v>
      </c>
      <c r="B120" s="1515" t="s">
        <v>1856</v>
      </c>
      <c r="C120" s="1527"/>
      <c r="D120" s="1527"/>
      <c r="E120" s="1527"/>
      <c r="F120" s="1516">
        <v>0.1</v>
      </c>
      <c r="G120" s="1533"/>
    </row>
    <row r="121" spans="1:7">
      <c r="A121" s="1526" t="s">
        <v>282</v>
      </c>
      <c r="B121" s="1515" t="s">
        <v>1861</v>
      </c>
      <c r="C121" s="1527"/>
      <c r="D121" s="1527"/>
      <c r="E121" s="1527"/>
      <c r="F121" s="1516">
        <v>0.1</v>
      </c>
      <c r="G121" s="1533"/>
    </row>
    <row r="122" spans="1:7">
      <c r="A122" s="1526" t="s">
        <v>282</v>
      </c>
      <c r="B122" s="1515" t="s">
        <v>1866</v>
      </c>
      <c r="C122" s="1516">
        <v>0.1</v>
      </c>
      <c r="D122" s="1516">
        <v>0.1</v>
      </c>
      <c r="E122" s="1516">
        <v>9.8000000000000004E-2</v>
      </c>
      <c r="F122" s="1516">
        <v>0.1</v>
      </c>
      <c r="G122" s="1517">
        <v>0.1</v>
      </c>
    </row>
    <row r="123" spans="1:7">
      <c r="A123" s="1526" t="s">
        <v>282</v>
      </c>
      <c r="B123" s="1515" t="s">
        <v>1871</v>
      </c>
      <c r="C123" s="1516">
        <v>0.1</v>
      </c>
      <c r="D123" s="1516">
        <v>0.1</v>
      </c>
      <c r="E123" s="1516">
        <v>9.8000000000000004E-2</v>
      </c>
      <c r="F123" s="1516">
        <v>0.1</v>
      </c>
      <c r="G123" s="1517">
        <v>0.1</v>
      </c>
    </row>
    <row r="124" spans="1:7">
      <c r="A124" s="1526" t="s">
        <v>282</v>
      </c>
      <c r="B124" s="1515" t="s">
        <v>1876</v>
      </c>
      <c r="C124" s="1516">
        <v>0.1</v>
      </c>
      <c r="D124" s="1516">
        <v>0.1</v>
      </c>
      <c r="E124" s="1516">
        <v>9.8000000000000004E-2</v>
      </c>
      <c r="F124" s="1532"/>
      <c r="G124" s="1517">
        <v>0.1</v>
      </c>
    </row>
    <row r="125" spans="1:7">
      <c r="A125" s="1526" t="s">
        <v>282</v>
      </c>
      <c r="B125" s="1515" t="s">
        <v>1881</v>
      </c>
      <c r="C125" s="1516">
        <v>9.8000000000000004E-2</v>
      </c>
      <c r="D125" s="1516">
        <v>9.8000000000000004E-2</v>
      </c>
      <c r="E125" s="1516">
        <v>9.6000000000000002E-2</v>
      </c>
      <c r="F125" s="1532"/>
      <c r="G125" s="1517">
        <v>0.1</v>
      </c>
    </row>
    <row r="126" spans="1:7">
      <c r="A126" s="1529" t="s">
        <v>282</v>
      </c>
      <c r="B126" s="1519" t="s">
        <v>1886</v>
      </c>
      <c r="C126" s="1520">
        <v>0.1</v>
      </c>
      <c r="D126" s="1520">
        <v>0.1</v>
      </c>
      <c r="E126" s="1520">
        <v>9.8000000000000004E-2</v>
      </c>
      <c r="F126" s="1520">
        <v>0.1</v>
      </c>
      <c r="G126" s="1522">
        <v>0.1</v>
      </c>
    </row>
    <row r="127" spans="1:7">
      <c r="A127" s="1525" t="s">
        <v>290</v>
      </c>
      <c r="B127" s="1511" t="s">
        <v>1554</v>
      </c>
      <c r="C127" s="1512">
        <v>0.121</v>
      </c>
      <c r="D127" s="1512">
        <v>0.121</v>
      </c>
      <c r="E127" s="1512">
        <v>0.107</v>
      </c>
      <c r="F127" s="1512">
        <v>0.13</v>
      </c>
      <c r="G127" s="1513">
        <v>0.122</v>
      </c>
    </row>
    <row r="128" spans="1:7">
      <c r="A128" s="1526" t="s">
        <v>290</v>
      </c>
      <c r="B128" s="1515" t="s">
        <v>1567</v>
      </c>
      <c r="C128" s="1516">
        <v>0.11600000000000001</v>
      </c>
      <c r="D128" s="1516">
        <v>0.11700000000000001</v>
      </c>
      <c r="E128" s="1516">
        <v>0.104</v>
      </c>
      <c r="F128" s="1516">
        <v>0.13</v>
      </c>
      <c r="G128" s="1517">
        <v>0.11700000000000001</v>
      </c>
    </row>
    <row r="129" spans="1:7">
      <c r="A129" s="1526" t="s">
        <v>290</v>
      </c>
      <c r="B129" s="1515" t="s">
        <v>1580</v>
      </c>
      <c r="C129" s="1516">
        <v>0.107</v>
      </c>
      <c r="D129" s="1516">
        <v>0.108</v>
      </c>
      <c r="E129" s="1516">
        <v>0.1</v>
      </c>
      <c r="F129" s="1516">
        <v>0.13</v>
      </c>
      <c r="G129" s="1517">
        <v>0.11700000000000001</v>
      </c>
    </row>
    <row r="130" spans="1:7">
      <c r="A130" s="1526" t="s">
        <v>290</v>
      </c>
      <c r="B130" s="1515" t="s">
        <v>1592</v>
      </c>
      <c r="C130" s="1516">
        <v>0.13</v>
      </c>
      <c r="D130" s="1516">
        <v>0.13</v>
      </c>
      <c r="E130" s="1516">
        <v>0.126</v>
      </c>
      <c r="F130" s="1516">
        <v>0.13</v>
      </c>
      <c r="G130" s="1517">
        <v>0.13</v>
      </c>
    </row>
    <row r="131" spans="1:7">
      <c r="A131" s="1526" t="s">
        <v>290</v>
      </c>
      <c r="B131" s="1515" t="s">
        <v>1604</v>
      </c>
      <c r="C131" s="1516">
        <v>0.13</v>
      </c>
      <c r="D131" s="1516">
        <v>0.13</v>
      </c>
      <c r="E131" s="1516">
        <v>0.13</v>
      </c>
      <c r="F131" s="1516">
        <v>0.13</v>
      </c>
      <c r="G131" s="1517">
        <v>0.13</v>
      </c>
    </row>
    <row r="132" spans="1:7">
      <c r="A132" s="1526" t="s">
        <v>290</v>
      </c>
      <c r="B132" s="1515" t="s">
        <v>1615</v>
      </c>
      <c r="C132" s="1516">
        <v>0.13</v>
      </c>
      <c r="D132" s="1516">
        <v>0.13</v>
      </c>
      <c r="E132" s="1516">
        <v>0.126</v>
      </c>
      <c r="F132" s="1516">
        <v>0.13</v>
      </c>
      <c r="G132" s="1517">
        <v>0.13</v>
      </c>
    </row>
    <row r="133" spans="1:7">
      <c r="A133" s="1526" t="s">
        <v>290</v>
      </c>
      <c r="B133" s="1515" t="s">
        <v>1626</v>
      </c>
      <c r="C133" s="1516">
        <v>0.111</v>
      </c>
      <c r="D133" s="1516">
        <v>0.111</v>
      </c>
      <c r="E133" s="1516">
        <v>0.10199999999999999</v>
      </c>
      <c r="F133" s="1516">
        <v>0.13</v>
      </c>
      <c r="G133" s="1517">
        <v>0.121</v>
      </c>
    </row>
    <row r="134" spans="1:7">
      <c r="A134" s="1526" t="s">
        <v>290</v>
      </c>
      <c r="B134" s="1515" t="s">
        <v>1637</v>
      </c>
      <c r="C134" s="1516">
        <v>0.121</v>
      </c>
      <c r="D134" s="1516">
        <v>0.121</v>
      </c>
      <c r="E134" s="1516">
        <v>0.1</v>
      </c>
      <c r="F134" s="1516">
        <v>0.13</v>
      </c>
      <c r="G134" s="1517">
        <v>0.123</v>
      </c>
    </row>
    <row r="135" spans="1:7">
      <c r="A135" s="1526" t="s">
        <v>290</v>
      </c>
      <c r="B135" s="1515" t="s">
        <v>1647</v>
      </c>
      <c r="C135" s="1516">
        <v>0.105</v>
      </c>
      <c r="D135" s="1516">
        <v>0.106</v>
      </c>
      <c r="E135" s="1516">
        <v>0.1</v>
      </c>
      <c r="F135" s="1516">
        <v>0.13</v>
      </c>
      <c r="G135" s="1517">
        <v>0.115</v>
      </c>
    </row>
    <row r="136" spans="1:7">
      <c r="A136" s="1526" t="s">
        <v>290</v>
      </c>
      <c r="B136" s="1515" t="s">
        <v>1657</v>
      </c>
      <c r="C136" s="1516">
        <v>0.127</v>
      </c>
      <c r="D136" s="1516">
        <v>0.127</v>
      </c>
      <c r="E136" s="1516">
        <v>0.121</v>
      </c>
      <c r="F136" s="1516">
        <v>0.123</v>
      </c>
      <c r="G136" s="1517">
        <v>0.129</v>
      </c>
    </row>
    <row r="137" spans="1:7">
      <c r="A137" s="1526" t="s">
        <v>290</v>
      </c>
      <c r="B137" s="1515" t="s">
        <v>1667</v>
      </c>
      <c r="C137" s="1516">
        <v>0.13</v>
      </c>
      <c r="D137" s="1516">
        <v>0.13</v>
      </c>
      <c r="E137" s="1516">
        <v>0.129</v>
      </c>
      <c r="F137" s="1516">
        <v>0.13</v>
      </c>
      <c r="G137" s="1517">
        <v>0.13</v>
      </c>
    </row>
    <row r="138" spans="1:7">
      <c r="A138" s="1526" t="s">
        <v>290</v>
      </c>
      <c r="B138" s="1515" t="s">
        <v>1677</v>
      </c>
      <c r="C138" s="1516">
        <v>0.13</v>
      </c>
      <c r="D138" s="1516">
        <v>0.13</v>
      </c>
      <c r="E138" s="1516">
        <v>0.125</v>
      </c>
      <c r="F138" s="1516">
        <v>0.13</v>
      </c>
      <c r="G138" s="1517">
        <v>0.13</v>
      </c>
    </row>
    <row r="139" spans="1:7">
      <c r="A139" s="1526" t="s">
        <v>290</v>
      </c>
      <c r="B139" s="1515" t="s">
        <v>1687</v>
      </c>
      <c r="C139" s="1516">
        <v>0.13</v>
      </c>
      <c r="D139" s="1516">
        <v>0.13</v>
      </c>
      <c r="E139" s="1516">
        <v>0.126</v>
      </c>
      <c r="F139" s="1516">
        <v>0.13</v>
      </c>
      <c r="G139" s="1517">
        <v>0.13</v>
      </c>
    </row>
    <row r="140" spans="1:7">
      <c r="A140" s="1526" t="s">
        <v>290</v>
      </c>
      <c r="B140" s="1515" t="s">
        <v>1697</v>
      </c>
      <c r="C140" s="1516">
        <v>0.1</v>
      </c>
      <c r="D140" s="1516">
        <v>0.1</v>
      </c>
      <c r="E140" s="1516">
        <v>0.1</v>
      </c>
      <c r="F140" s="1516">
        <v>0.123</v>
      </c>
      <c r="G140" s="1517">
        <v>0.107</v>
      </c>
    </row>
    <row r="141" spans="1:7">
      <c r="A141" s="1526" t="s">
        <v>290</v>
      </c>
      <c r="B141" s="1515" t="s">
        <v>1707</v>
      </c>
      <c r="C141" s="1516">
        <v>0.127</v>
      </c>
      <c r="D141" s="1516">
        <v>0.127</v>
      </c>
      <c r="E141" s="1516">
        <v>0.122</v>
      </c>
      <c r="F141" s="1516">
        <v>0.1</v>
      </c>
      <c r="G141" s="1517">
        <v>0.129</v>
      </c>
    </row>
    <row r="142" spans="1:7">
      <c r="A142" s="1526" t="s">
        <v>290</v>
      </c>
      <c r="B142" s="1515" t="s">
        <v>1717</v>
      </c>
      <c r="C142" s="1516">
        <v>0.121</v>
      </c>
      <c r="D142" s="1516">
        <v>0.122</v>
      </c>
      <c r="E142" s="1516">
        <v>0.1</v>
      </c>
      <c r="F142" s="1516">
        <v>0.123</v>
      </c>
      <c r="G142" s="1517">
        <v>0.123</v>
      </c>
    </row>
    <row r="143" spans="1:7">
      <c r="A143" s="1526" t="s">
        <v>290</v>
      </c>
      <c r="B143" s="1515" t="s">
        <v>1727</v>
      </c>
      <c r="C143" s="1516">
        <v>0.1</v>
      </c>
      <c r="D143" s="1516">
        <v>0.1</v>
      </c>
      <c r="E143" s="1516">
        <v>0.1</v>
      </c>
      <c r="F143" s="1516">
        <v>0.13</v>
      </c>
      <c r="G143" s="1517">
        <v>0.1</v>
      </c>
    </row>
    <row r="144" spans="1:7">
      <c r="A144" s="1526" t="s">
        <v>290</v>
      </c>
      <c r="B144" s="1515" t="s">
        <v>1737</v>
      </c>
      <c r="C144" s="1516">
        <v>0.106</v>
      </c>
      <c r="D144" s="1516">
        <v>0.105</v>
      </c>
      <c r="E144" s="1516">
        <v>0.1</v>
      </c>
      <c r="F144" s="1516">
        <v>0.13</v>
      </c>
      <c r="G144" s="1517">
        <v>0.11799999999999999</v>
      </c>
    </row>
    <row r="145" spans="1:7">
      <c r="A145" s="1526" t="s">
        <v>290</v>
      </c>
      <c r="B145" s="1515" t="s">
        <v>1747</v>
      </c>
      <c r="C145" s="1516">
        <v>0.123</v>
      </c>
      <c r="D145" s="1516">
        <v>0.123</v>
      </c>
      <c r="E145" s="1516">
        <v>0.11700000000000001</v>
      </c>
      <c r="F145" s="1516">
        <v>0.13</v>
      </c>
      <c r="G145" s="1517">
        <v>0.126</v>
      </c>
    </row>
    <row r="146" spans="1:7">
      <c r="A146" s="1526" t="s">
        <v>290</v>
      </c>
      <c r="B146" s="1515" t="s">
        <v>1757</v>
      </c>
      <c r="C146" s="1516">
        <v>0.127</v>
      </c>
      <c r="D146" s="1516">
        <v>0.127</v>
      </c>
      <c r="E146" s="1516">
        <v>0.12</v>
      </c>
      <c r="F146" s="1527"/>
      <c r="G146" s="1517">
        <v>0.129</v>
      </c>
    </row>
    <row r="147" spans="1:7">
      <c r="A147" s="1526" t="s">
        <v>290</v>
      </c>
      <c r="B147" s="1515" t="s">
        <v>1766</v>
      </c>
      <c r="C147" s="1516">
        <v>0.13</v>
      </c>
      <c r="D147" s="1516">
        <v>0.13</v>
      </c>
      <c r="E147" s="1516">
        <v>0.126</v>
      </c>
      <c r="F147" s="1527"/>
      <c r="G147" s="1517">
        <v>0.13</v>
      </c>
    </row>
    <row r="148" spans="1:7">
      <c r="A148" s="1526" t="s">
        <v>290</v>
      </c>
      <c r="B148" s="1515" t="s">
        <v>1774</v>
      </c>
      <c r="C148" s="1516">
        <v>0.13</v>
      </c>
      <c r="D148" s="1516">
        <v>0.13</v>
      </c>
      <c r="E148" s="1516">
        <v>0.13</v>
      </c>
      <c r="F148" s="1527"/>
      <c r="G148" s="1517">
        <v>0.13</v>
      </c>
    </row>
    <row r="149" spans="1:7">
      <c r="A149" s="1526" t="s">
        <v>290</v>
      </c>
      <c r="B149" s="1515" t="s">
        <v>1782</v>
      </c>
      <c r="C149" s="1516">
        <v>0.13</v>
      </c>
      <c r="D149" s="1516">
        <v>0.13</v>
      </c>
      <c r="E149" s="1516">
        <v>0.13</v>
      </c>
      <c r="F149" s="1516">
        <v>0.13</v>
      </c>
      <c r="G149" s="1517">
        <v>0.13</v>
      </c>
    </row>
    <row r="150" spans="1:7">
      <c r="A150" s="1526" t="s">
        <v>290</v>
      </c>
      <c r="B150" s="1515" t="s">
        <v>1790</v>
      </c>
      <c r="C150" s="1516">
        <v>0.13</v>
      </c>
      <c r="D150" s="1516">
        <v>0.13</v>
      </c>
      <c r="E150" s="1516">
        <v>0.127</v>
      </c>
      <c r="F150" s="1516">
        <v>0.13</v>
      </c>
      <c r="G150" s="1517">
        <v>0.13</v>
      </c>
    </row>
    <row r="151" spans="1:7">
      <c r="A151" s="1526" t="s">
        <v>290</v>
      </c>
      <c r="B151" s="1515" t="s">
        <v>1798</v>
      </c>
      <c r="C151" s="1516">
        <v>0.13</v>
      </c>
      <c r="D151" s="1516">
        <v>0.13</v>
      </c>
      <c r="E151" s="1516">
        <v>0.13</v>
      </c>
      <c r="F151" s="1516">
        <v>0.13</v>
      </c>
      <c r="G151" s="1517">
        <v>0.13</v>
      </c>
    </row>
    <row r="152" spans="1:7">
      <c r="A152" s="1526" t="s">
        <v>290</v>
      </c>
      <c r="B152" s="1515" t="s">
        <v>1805</v>
      </c>
      <c r="C152" s="1516">
        <v>0.13</v>
      </c>
      <c r="D152" s="1516">
        <v>0.13</v>
      </c>
      <c r="E152" s="1516">
        <v>0.13</v>
      </c>
      <c r="F152" s="1516">
        <v>0.13</v>
      </c>
      <c r="G152" s="1517">
        <v>0.13</v>
      </c>
    </row>
    <row r="153" spans="1:7">
      <c r="A153" s="1526" t="s">
        <v>290</v>
      </c>
      <c r="B153" s="1515" t="s">
        <v>1812</v>
      </c>
      <c r="C153" s="1516">
        <v>0.13</v>
      </c>
      <c r="D153" s="1516">
        <v>0.13</v>
      </c>
      <c r="E153" s="1516">
        <v>0.13</v>
      </c>
      <c r="F153" s="1516">
        <v>0.13</v>
      </c>
      <c r="G153" s="1517">
        <v>0.13</v>
      </c>
    </row>
    <row r="154" spans="1:7">
      <c r="A154" s="1526" t="s">
        <v>290</v>
      </c>
      <c r="B154" s="1515" t="s">
        <v>1819</v>
      </c>
      <c r="C154" s="1516">
        <v>0.121</v>
      </c>
      <c r="D154" s="1516">
        <v>0.121</v>
      </c>
      <c r="E154" s="1516">
        <v>0.105</v>
      </c>
      <c r="F154" s="1516">
        <v>0.121</v>
      </c>
      <c r="G154" s="1517">
        <v>0.123</v>
      </c>
    </row>
    <row r="155" spans="1:7">
      <c r="A155" s="1526" t="s">
        <v>290</v>
      </c>
      <c r="B155" s="1515" t="s">
        <v>1826</v>
      </c>
      <c r="C155" s="1516">
        <v>0.1</v>
      </c>
      <c r="D155" s="1516">
        <v>0.1</v>
      </c>
      <c r="E155" s="1516">
        <v>0.1</v>
      </c>
      <c r="F155" s="1516">
        <v>0.1</v>
      </c>
      <c r="G155" s="1517">
        <v>0.1</v>
      </c>
    </row>
    <row r="156" spans="1:7">
      <c r="A156" s="1526" t="s">
        <v>290</v>
      </c>
      <c r="B156" s="1515" t="s">
        <v>1833</v>
      </c>
      <c r="C156" s="1516">
        <v>0.13</v>
      </c>
      <c r="D156" s="1516">
        <v>0.13</v>
      </c>
      <c r="E156" s="1516">
        <v>0.13</v>
      </c>
      <c r="F156" s="1516">
        <v>0.13</v>
      </c>
      <c r="G156" s="1517">
        <v>0.13</v>
      </c>
    </row>
    <row r="157" spans="1:7">
      <c r="A157" s="1526" t="s">
        <v>290</v>
      </c>
      <c r="B157" s="1515" t="s">
        <v>1840</v>
      </c>
      <c r="C157" s="1516">
        <v>0.13</v>
      </c>
      <c r="D157" s="1516">
        <v>0.13</v>
      </c>
      <c r="E157" s="1516">
        <v>0.125</v>
      </c>
      <c r="F157" s="1516">
        <v>0.13</v>
      </c>
      <c r="G157" s="1517">
        <v>0.13</v>
      </c>
    </row>
    <row r="158" spans="1:7">
      <c r="A158" s="1526" t="s">
        <v>290</v>
      </c>
      <c r="B158" s="1515" t="s">
        <v>1847</v>
      </c>
      <c r="C158" s="1516">
        <v>0.124</v>
      </c>
      <c r="D158" s="1516">
        <v>0.124</v>
      </c>
      <c r="E158" s="1516">
        <v>0.11700000000000001</v>
      </c>
      <c r="F158" s="1516">
        <v>0.121</v>
      </c>
      <c r="G158" s="1517">
        <v>0.124</v>
      </c>
    </row>
    <row r="159" spans="1:7">
      <c r="A159" s="1526" t="s">
        <v>290</v>
      </c>
      <c r="B159" s="1515" t="s">
        <v>1852</v>
      </c>
      <c r="C159" s="1516">
        <v>0.127</v>
      </c>
      <c r="D159" s="1516">
        <v>0.127</v>
      </c>
      <c r="E159" s="1516">
        <v>0.122</v>
      </c>
      <c r="F159" s="1516">
        <v>0.13</v>
      </c>
      <c r="G159" s="1517">
        <v>0.129</v>
      </c>
    </row>
    <row r="160" spans="1:7">
      <c r="A160" s="1526" t="s">
        <v>290</v>
      </c>
      <c r="B160" s="1515" t="s">
        <v>1857</v>
      </c>
      <c r="C160" s="1516">
        <v>0.13</v>
      </c>
      <c r="D160" s="1516">
        <v>0.13</v>
      </c>
      <c r="E160" s="1516">
        <v>0.124</v>
      </c>
      <c r="F160" s="1516">
        <v>0.126</v>
      </c>
      <c r="G160" s="1517">
        <v>0.13</v>
      </c>
    </row>
    <row r="161" spans="1:7">
      <c r="A161" s="1526" t="s">
        <v>290</v>
      </c>
      <c r="B161" s="1515" t="s">
        <v>1862</v>
      </c>
      <c r="C161" s="1516">
        <v>0.13</v>
      </c>
      <c r="D161" s="1516">
        <v>0.13</v>
      </c>
      <c r="E161" s="1516">
        <v>0.124</v>
      </c>
      <c r="F161" s="1516">
        <v>0.127</v>
      </c>
      <c r="G161" s="1517">
        <v>0.13</v>
      </c>
    </row>
    <row r="162" spans="1:7">
      <c r="A162" s="1526" t="s">
        <v>290</v>
      </c>
      <c r="B162" s="1515" t="s">
        <v>1867</v>
      </c>
      <c r="C162" s="1516">
        <v>0.1</v>
      </c>
      <c r="D162" s="1516">
        <v>0.1</v>
      </c>
      <c r="E162" s="1516">
        <v>0.1</v>
      </c>
      <c r="F162" s="1516">
        <v>0.121</v>
      </c>
      <c r="G162" s="1517">
        <v>0.105</v>
      </c>
    </row>
    <row r="163" spans="1:7">
      <c r="A163" s="1526" t="s">
        <v>290</v>
      </c>
      <c r="B163" s="1515" t="s">
        <v>1872</v>
      </c>
      <c r="C163" s="1516">
        <v>0.1</v>
      </c>
      <c r="D163" s="1516">
        <v>0.1</v>
      </c>
      <c r="E163" s="1516">
        <v>0.1</v>
      </c>
      <c r="F163" s="1516">
        <v>0.1</v>
      </c>
      <c r="G163" s="1517">
        <v>0.1</v>
      </c>
    </row>
    <row r="164" spans="1:7">
      <c r="A164" s="1526" t="s">
        <v>290</v>
      </c>
      <c r="B164" s="1515" t="s">
        <v>1877</v>
      </c>
      <c r="C164" s="1532"/>
      <c r="D164" s="1532"/>
      <c r="E164" s="1532"/>
      <c r="F164" s="1516">
        <v>0.1</v>
      </c>
      <c r="G164" s="1528"/>
    </row>
    <row r="165" spans="1:7">
      <c r="A165" s="1526" t="s">
        <v>290</v>
      </c>
      <c r="B165" s="1515" t="s">
        <v>1882</v>
      </c>
      <c r="C165" s="1516">
        <v>0.126</v>
      </c>
      <c r="D165" s="1516">
        <v>0.126</v>
      </c>
      <c r="E165" s="1516">
        <v>0.11899999999999999</v>
      </c>
      <c r="F165" s="1516">
        <v>0.13</v>
      </c>
      <c r="G165" s="1517">
        <v>0.128</v>
      </c>
    </row>
    <row r="166" spans="1:7">
      <c r="A166" s="1526" t="s">
        <v>290</v>
      </c>
      <c r="B166" s="1515" t="s">
        <v>1887</v>
      </c>
      <c r="C166" s="1516">
        <v>0.129</v>
      </c>
      <c r="D166" s="1516">
        <v>0.129</v>
      </c>
      <c r="E166" s="1516">
        <v>0.123</v>
      </c>
      <c r="F166" s="1516">
        <v>0.128</v>
      </c>
      <c r="G166" s="1517">
        <v>0.13</v>
      </c>
    </row>
    <row r="167" spans="1:7">
      <c r="A167" s="1526" t="s">
        <v>290</v>
      </c>
      <c r="B167" s="1515" t="s">
        <v>1891</v>
      </c>
      <c r="C167" s="1516">
        <v>0.125</v>
      </c>
      <c r="D167" s="1516">
        <v>0.125</v>
      </c>
      <c r="E167" s="1516">
        <v>0.11700000000000001</v>
      </c>
      <c r="F167" s="1516">
        <v>0.13</v>
      </c>
      <c r="G167" s="1517">
        <v>0.126</v>
      </c>
    </row>
    <row r="168" spans="1:7">
      <c r="A168" s="1526" t="s">
        <v>290</v>
      </c>
      <c r="B168" s="1515" t="s">
        <v>1895</v>
      </c>
      <c r="C168" s="1516">
        <v>0.128</v>
      </c>
      <c r="D168" s="1516">
        <v>0.128</v>
      </c>
      <c r="E168" s="1516">
        <v>0.123</v>
      </c>
      <c r="F168" s="1527"/>
      <c r="G168" s="1517">
        <v>0.13</v>
      </c>
    </row>
    <row r="169" spans="1:7">
      <c r="A169" s="1526" t="s">
        <v>290</v>
      </c>
      <c r="B169" s="1515" t="s">
        <v>1899</v>
      </c>
      <c r="C169" s="1532"/>
      <c r="D169" s="1532"/>
      <c r="E169" s="1532"/>
      <c r="F169" s="1516">
        <v>0.05</v>
      </c>
      <c r="G169" s="1528"/>
    </row>
    <row r="170" spans="1:7">
      <c r="A170" s="1526" t="s">
        <v>290</v>
      </c>
      <c r="B170" s="1515" t="s">
        <v>1903</v>
      </c>
      <c r="C170" s="1532"/>
      <c r="D170" s="1532"/>
      <c r="E170" s="1532"/>
      <c r="F170" s="1516">
        <v>0.05</v>
      </c>
      <c r="G170" s="1528"/>
    </row>
    <row r="171" spans="1:7">
      <c r="A171" s="1526" t="s">
        <v>290</v>
      </c>
      <c r="B171" s="1515" t="s">
        <v>1906</v>
      </c>
      <c r="C171" s="1532"/>
      <c r="D171" s="1532"/>
      <c r="E171" s="1532"/>
      <c r="F171" s="1516">
        <v>0.05</v>
      </c>
      <c r="G171" s="1533"/>
    </row>
    <row r="172" spans="1:7">
      <c r="A172" s="1526" t="s">
        <v>290</v>
      </c>
      <c r="B172" s="1515" t="s">
        <v>1908</v>
      </c>
      <c r="C172" s="1532"/>
      <c r="D172" s="1532"/>
      <c r="E172" s="1532"/>
      <c r="F172" s="1516">
        <v>0.05</v>
      </c>
      <c r="G172" s="1533"/>
    </row>
    <row r="173" spans="1:7">
      <c r="A173" s="1526" t="s">
        <v>290</v>
      </c>
      <c r="B173" s="1515" t="s">
        <v>1910</v>
      </c>
      <c r="C173" s="1532"/>
      <c r="D173" s="1532"/>
      <c r="E173" s="1532"/>
      <c r="F173" s="1516">
        <v>0.05</v>
      </c>
      <c r="G173" s="1528"/>
    </row>
    <row r="174" spans="1:7">
      <c r="A174" s="1526" t="s">
        <v>290</v>
      </c>
      <c r="B174" s="1515" t="s">
        <v>1912</v>
      </c>
      <c r="C174" s="1532"/>
      <c r="D174" s="1532"/>
      <c r="E174" s="1532"/>
      <c r="F174" s="1516">
        <v>0.05</v>
      </c>
      <c r="G174" s="1528"/>
    </row>
    <row r="175" spans="1:7">
      <c r="A175" s="1526" t="s">
        <v>290</v>
      </c>
      <c r="B175" s="1515" t="s">
        <v>1914</v>
      </c>
      <c r="C175" s="1532"/>
      <c r="D175" s="1532"/>
      <c r="E175" s="1532"/>
      <c r="F175" s="1516">
        <v>0.05</v>
      </c>
      <c r="G175" s="1528"/>
    </row>
    <row r="176" spans="1:7">
      <c r="A176" s="1526" t="s">
        <v>290</v>
      </c>
      <c r="B176" s="1515" t="s">
        <v>1916</v>
      </c>
      <c r="C176" s="1532"/>
      <c r="D176" s="1532"/>
      <c r="E176" s="1532"/>
      <c r="F176" s="1516">
        <v>0.05</v>
      </c>
      <c r="G176" s="1528"/>
    </row>
    <row r="177" spans="1:7">
      <c r="A177" s="1526" t="s">
        <v>290</v>
      </c>
      <c r="B177" s="1515" t="s">
        <v>1918</v>
      </c>
      <c r="C177" s="1527"/>
      <c r="D177" s="1527"/>
      <c r="E177" s="1527"/>
      <c r="F177" s="1516">
        <v>0.05</v>
      </c>
      <c r="G177" s="1533"/>
    </row>
    <row r="178" spans="1:7">
      <c r="A178" s="1526" t="s">
        <v>290</v>
      </c>
      <c r="B178" s="1515" t="s">
        <v>1919</v>
      </c>
      <c r="C178" s="1527"/>
      <c r="D178" s="1527"/>
      <c r="E178" s="1527"/>
      <c r="F178" s="1516">
        <v>0.05</v>
      </c>
      <c r="G178" s="1533"/>
    </row>
    <row r="179" spans="1:7">
      <c r="A179" s="1526" t="s">
        <v>290</v>
      </c>
      <c r="B179" s="1515" t="s">
        <v>1920</v>
      </c>
      <c r="C179" s="1527"/>
      <c r="D179" s="1527"/>
      <c r="E179" s="1527"/>
      <c r="F179" s="1516">
        <v>0.05</v>
      </c>
      <c r="G179" s="1533"/>
    </row>
    <row r="180" spans="1:7">
      <c r="A180" s="1526" t="s">
        <v>290</v>
      </c>
      <c r="B180" s="1515" t="s">
        <v>1921</v>
      </c>
      <c r="C180" s="1527"/>
      <c r="D180" s="1527"/>
      <c r="E180" s="1527"/>
      <c r="F180" s="1516">
        <v>0.05</v>
      </c>
      <c r="G180" s="1533"/>
    </row>
    <row r="181" spans="1:7">
      <c r="A181" s="1526" t="s">
        <v>290</v>
      </c>
      <c r="B181" s="1515" t="s">
        <v>1922</v>
      </c>
      <c r="C181" s="1527"/>
      <c r="D181" s="1527"/>
      <c r="E181" s="1527"/>
      <c r="F181" s="1516">
        <v>0.05</v>
      </c>
      <c r="G181" s="1533"/>
    </row>
    <row r="182" spans="1:7">
      <c r="A182" s="1526" t="s">
        <v>290</v>
      </c>
      <c r="B182" s="1515" t="s">
        <v>1923</v>
      </c>
      <c r="C182" s="1527"/>
      <c r="D182" s="1527"/>
      <c r="E182" s="1527"/>
      <c r="F182" s="1516">
        <v>0.05</v>
      </c>
      <c r="G182" s="1533"/>
    </row>
    <row r="183" spans="1:7">
      <c r="A183" s="1526" t="s">
        <v>290</v>
      </c>
      <c r="B183" s="1515" t="s">
        <v>1924</v>
      </c>
      <c r="C183" s="1527"/>
      <c r="D183" s="1527"/>
      <c r="E183" s="1527"/>
      <c r="F183" s="1516">
        <v>0.05</v>
      </c>
      <c r="G183" s="1533"/>
    </row>
    <row r="184" spans="1:7">
      <c r="A184" s="1526" t="s">
        <v>290</v>
      </c>
      <c r="B184" s="1515" t="s">
        <v>1925</v>
      </c>
      <c r="C184" s="1527"/>
      <c r="D184" s="1527"/>
      <c r="E184" s="1527"/>
      <c r="F184" s="1516">
        <v>0.05</v>
      </c>
      <c r="G184" s="1533"/>
    </row>
    <row r="185" spans="1:7">
      <c r="A185" s="1526" t="s">
        <v>290</v>
      </c>
      <c r="B185" s="1515" t="s">
        <v>1926</v>
      </c>
      <c r="C185" s="1527"/>
      <c r="D185" s="1527"/>
      <c r="E185" s="1527"/>
      <c r="F185" s="1516">
        <v>0.05</v>
      </c>
      <c r="G185" s="1533"/>
    </row>
    <row r="186" spans="1:7">
      <c r="A186" s="1526" t="s">
        <v>290</v>
      </c>
      <c r="B186" s="1515" t="s">
        <v>1927</v>
      </c>
      <c r="C186" s="1527"/>
      <c r="D186" s="1527"/>
      <c r="E186" s="1527"/>
      <c r="F186" s="1516">
        <v>0.05</v>
      </c>
      <c r="G186" s="1533"/>
    </row>
    <row r="187" spans="1:7">
      <c r="A187" s="1526" t="s">
        <v>290</v>
      </c>
      <c r="B187" s="1515" t="s">
        <v>1928</v>
      </c>
      <c r="C187" s="1527"/>
      <c r="D187" s="1527"/>
      <c r="E187" s="1527"/>
      <c r="F187" s="1516">
        <v>0.05</v>
      </c>
      <c r="G187" s="1533"/>
    </row>
    <row r="188" spans="1:7">
      <c r="A188" s="1526" t="s">
        <v>290</v>
      </c>
      <c r="B188" s="1515" t="s">
        <v>1929</v>
      </c>
      <c r="C188" s="1527"/>
      <c r="D188" s="1527"/>
      <c r="E188" s="1527"/>
      <c r="F188" s="1516">
        <v>0.05</v>
      </c>
      <c r="G188" s="1533"/>
    </row>
    <row r="189" spans="1:7">
      <c r="A189" s="1529" t="s">
        <v>290</v>
      </c>
      <c r="B189" s="1519" t="s">
        <v>1930</v>
      </c>
      <c r="C189" s="1521"/>
      <c r="D189" s="1521"/>
      <c r="E189" s="1521"/>
      <c r="F189" s="1520">
        <v>0.05</v>
      </c>
      <c r="G189" s="1534"/>
    </row>
    <row r="190" spans="1:7">
      <c r="A190" s="1525" t="s">
        <v>295</v>
      </c>
      <c r="B190" s="1511" t="s">
        <v>1555</v>
      </c>
      <c r="C190" s="1512">
        <v>0.124</v>
      </c>
      <c r="D190" s="1512">
        <v>0.124</v>
      </c>
      <c r="E190" s="1512">
        <v>0.129</v>
      </c>
      <c r="F190" s="1512">
        <v>0.13</v>
      </c>
      <c r="G190" s="1513">
        <v>0.127</v>
      </c>
    </row>
    <row r="191" spans="1:7">
      <c r="A191" s="1526" t="s">
        <v>295</v>
      </c>
      <c r="B191" s="1515" t="s">
        <v>1568</v>
      </c>
      <c r="C191" s="1516">
        <v>0.13</v>
      </c>
      <c r="D191" s="1516">
        <v>0.13</v>
      </c>
      <c r="E191" s="1516">
        <v>0.13</v>
      </c>
      <c r="F191" s="1516">
        <v>0.13</v>
      </c>
      <c r="G191" s="1517">
        <v>0.13</v>
      </c>
    </row>
    <row r="192" spans="1:7">
      <c r="A192" s="1526" t="s">
        <v>295</v>
      </c>
      <c r="B192" s="1515" t="s">
        <v>1581</v>
      </c>
      <c r="C192" s="1516">
        <v>0.13</v>
      </c>
      <c r="D192" s="1516">
        <v>0.13</v>
      </c>
      <c r="E192" s="1516">
        <v>0.13</v>
      </c>
      <c r="F192" s="1516">
        <v>0.13</v>
      </c>
      <c r="G192" s="1517">
        <v>0.13</v>
      </c>
    </row>
    <row r="193" spans="1:7">
      <c r="A193" s="1526" t="s">
        <v>295</v>
      </c>
      <c r="B193" s="1515" t="s">
        <v>1593</v>
      </c>
      <c r="C193" s="1516">
        <v>0.13</v>
      </c>
      <c r="D193" s="1516">
        <v>0.13</v>
      </c>
      <c r="E193" s="1516">
        <v>0.13</v>
      </c>
      <c r="F193" s="1516">
        <v>0.13</v>
      </c>
      <c r="G193" s="1517">
        <v>0.13</v>
      </c>
    </row>
    <row r="194" spans="1:7">
      <c r="A194" s="1526" t="s">
        <v>295</v>
      </c>
      <c r="B194" s="1515" t="s">
        <v>1605</v>
      </c>
      <c r="C194" s="1516">
        <v>0.123</v>
      </c>
      <c r="D194" s="1516">
        <v>0.123</v>
      </c>
      <c r="E194" s="1516">
        <v>0.128</v>
      </c>
      <c r="F194" s="1516">
        <v>0.13</v>
      </c>
      <c r="G194" s="1517">
        <v>0.126</v>
      </c>
    </row>
    <row r="195" spans="1:7">
      <c r="A195" s="1526" t="s">
        <v>295</v>
      </c>
      <c r="B195" s="1515" t="s">
        <v>1616</v>
      </c>
      <c r="C195" s="1516">
        <v>0.127</v>
      </c>
      <c r="D195" s="1516">
        <v>0.127</v>
      </c>
      <c r="E195" s="1516">
        <v>0.121</v>
      </c>
      <c r="F195" s="1516">
        <v>0.129</v>
      </c>
      <c r="G195" s="1517">
        <v>0.129</v>
      </c>
    </row>
    <row r="196" spans="1:7">
      <c r="A196" s="1526" t="s">
        <v>295</v>
      </c>
      <c r="B196" s="1515" t="s">
        <v>1627</v>
      </c>
      <c r="C196" s="1516">
        <v>0.127</v>
      </c>
      <c r="D196" s="1516">
        <v>0.128</v>
      </c>
      <c r="E196" s="1516">
        <v>0.122</v>
      </c>
      <c r="F196" s="1516">
        <v>0.13</v>
      </c>
      <c r="G196" s="1517">
        <v>0.129</v>
      </c>
    </row>
    <row r="197" spans="1:7">
      <c r="A197" s="1526" t="s">
        <v>295</v>
      </c>
      <c r="B197" s="1515" t="s">
        <v>1638</v>
      </c>
      <c r="C197" s="1516">
        <v>0.126</v>
      </c>
      <c r="D197" s="1516">
        <v>0.126</v>
      </c>
      <c r="E197" s="1516">
        <v>0.11899999999999999</v>
      </c>
      <c r="F197" s="1516">
        <v>0.13</v>
      </c>
      <c r="G197" s="1517">
        <v>0.128</v>
      </c>
    </row>
    <row r="198" spans="1:7">
      <c r="A198" s="1526" t="s">
        <v>295</v>
      </c>
      <c r="B198" s="1515" t="s">
        <v>1648</v>
      </c>
      <c r="C198" s="1516">
        <v>0.13</v>
      </c>
      <c r="D198" s="1516">
        <v>0.13</v>
      </c>
      <c r="E198" s="1516">
        <v>0.126</v>
      </c>
      <c r="F198" s="1532"/>
      <c r="G198" s="1517">
        <v>0.13</v>
      </c>
    </row>
    <row r="199" spans="1:7">
      <c r="A199" s="1526" t="s">
        <v>295</v>
      </c>
      <c r="B199" s="1515" t="s">
        <v>1658</v>
      </c>
      <c r="C199" s="1516">
        <v>0.13</v>
      </c>
      <c r="D199" s="1516">
        <v>0.13</v>
      </c>
      <c r="E199" s="1516">
        <v>0.13</v>
      </c>
      <c r="F199" s="1516">
        <v>0.13</v>
      </c>
      <c r="G199" s="1517">
        <v>0.13</v>
      </c>
    </row>
    <row r="200" spans="1:7">
      <c r="A200" s="1526" t="s">
        <v>295</v>
      </c>
      <c r="B200" s="1515" t="s">
        <v>1668</v>
      </c>
      <c r="C200" s="1532"/>
      <c r="D200" s="1532"/>
      <c r="E200" s="1532"/>
      <c r="F200" s="1516">
        <v>0.13</v>
      </c>
      <c r="G200" s="1528"/>
    </row>
    <row r="201" spans="1:7">
      <c r="A201" s="1526" t="s">
        <v>295</v>
      </c>
      <c r="B201" s="1515" t="s">
        <v>1678</v>
      </c>
      <c r="C201" s="1516">
        <v>0.13</v>
      </c>
      <c r="D201" s="1516">
        <v>0.13</v>
      </c>
      <c r="E201" s="1516">
        <v>0.13</v>
      </c>
      <c r="F201" s="1516">
        <v>0.129</v>
      </c>
      <c r="G201" s="1517">
        <v>0.13</v>
      </c>
    </row>
    <row r="202" spans="1:7">
      <c r="A202" s="1526" t="s">
        <v>295</v>
      </c>
      <c r="B202" s="1515" t="s">
        <v>1688</v>
      </c>
      <c r="C202" s="1516">
        <v>0.13</v>
      </c>
      <c r="D202" s="1516">
        <v>0.13</v>
      </c>
      <c r="E202" s="1516">
        <v>0.13</v>
      </c>
      <c r="F202" s="1516">
        <v>0.13</v>
      </c>
      <c r="G202" s="1517">
        <v>0.13</v>
      </c>
    </row>
    <row r="203" spans="1:7">
      <c r="A203" s="1526" t="s">
        <v>295</v>
      </c>
      <c r="B203" s="1515" t="s">
        <v>1698</v>
      </c>
      <c r="C203" s="1516">
        <v>0.129</v>
      </c>
      <c r="D203" s="1516">
        <v>0.129</v>
      </c>
      <c r="E203" s="1516">
        <v>0.13</v>
      </c>
      <c r="F203" s="1516">
        <v>0.13</v>
      </c>
      <c r="G203" s="1517">
        <v>0.13</v>
      </c>
    </row>
    <row r="204" spans="1:7">
      <c r="A204" s="1526" t="s">
        <v>295</v>
      </c>
      <c r="B204" s="1515" t="s">
        <v>1708</v>
      </c>
      <c r="C204" s="1516">
        <v>0.129</v>
      </c>
      <c r="D204" s="1516">
        <v>0.129</v>
      </c>
      <c r="E204" s="1516">
        <v>0.123</v>
      </c>
      <c r="F204" s="1516">
        <v>0.13</v>
      </c>
      <c r="G204" s="1517">
        <v>0.13</v>
      </c>
    </row>
    <row r="205" spans="1:7">
      <c r="A205" s="1526" t="s">
        <v>295</v>
      </c>
      <c r="B205" s="1515" t="s">
        <v>1718</v>
      </c>
      <c r="C205" s="1516">
        <v>0.13</v>
      </c>
      <c r="D205" s="1516">
        <v>0.13</v>
      </c>
      <c r="E205" s="1516">
        <v>0.13</v>
      </c>
      <c r="F205" s="1516">
        <v>0.13</v>
      </c>
      <c r="G205" s="1517">
        <v>0.13</v>
      </c>
    </row>
    <row r="206" spans="1:7">
      <c r="A206" s="1526" t="s">
        <v>295</v>
      </c>
      <c r="B206" s="1515" t="s">
        <v>1728</v>
      </c>
      <c r="C206" s="1516">
        <v>0.13</v>
      </c>
      <c r="D206" s="1516">
        <v>0.13</v>
      </c>
      <c r="E206" s="1516">
        <v>0.13</v>
      </c>
      <c r="F206" s="1516">
        <v>0.128</v>
      </c>
      <c r="G206" s="1517">
        <v>0.13</v>
      </c>
    </row>
    <row r="207" spans="1:7">
      <c r="A207" s="1526" t="s">
        <v>295</v>
      </c>
      <c r="B207" s="1515" t="s">
        <v>1738</v>
      </c>
      <c r="C207" s="1516">
        <v>0.13</v>
      </c>
      <c r="D207" s="1516">
        <v>0.13</v>
      </c>
      <c r="E207" s="1516">
        <v>0.13</v>
      </c>
      <c r="F207" s="1516">
        <v>0.13</v>
      </c>
      <c r="G207" s="1517">
        <v>0.13</v>
      </c>
    </row>
    <row r="208" spans="1:7">
      <c r="A208" s="1526" t="s">
        <v>295</v>
      </c>
      <c r="B208" s="1515" t="s">
        <v>1748</v>
      </c>
      <c r="C208" s="1516">
        <v>0.13</v>
      </c>
      <c r="D208" s="1516">
        <v>0.13</v>
      </c>
      <c r="E208" s="1516">
        <v>0.13</v>
      </c>
      <c r="F208" s="1516">
        <v>0.13</v>
      </c>
      <c r="G208" s="1517">
        <v>0.13</v>
      </c>
    </row>
    <row r="209" spans="1:7">
      <c r="A209" s="1526" t="s">
        <v>295</v>
      </c>
      <c r="B209" s="1515" t="s">
        <v>1758</v>
      </c>
      <c r="C209" s="1516">
        <v>0.13</v>
      </c>
      <c r="D209" s="1516">
        <v>0.13</v>
      </c>
      <c r="E209" s="1516">
        <v>0.13</v>
      </c>
      <c r="F209" s="1516">
        <v>0.13</v>
      </c>
      <c r="G209" s="1517">
        <v>0.13</v>
      </c>
    </row>
    <row r="210" spans="1:7">
      <c r="A210" s="1526" t="s">
        <v>295</v>
      </c>
      <c r="B210" s="1515" t="s">
        <v>1767</v>
      </c>
      <c r="C210" s="1516">
        <v>0.121</v>
      </c>
      <c r="D210" s="1516">
        <v>0.121</v>
      </c>
      <c r="E210" s="1516">
        <v>0.125</v>
      </c>
      <c r="F210" s="1516">
        <v>0.13</v>
      </c>
      <c r="G210" s="1517">
        <v>0.123</v>
      </c>
    </row>
    <row r="211" spans="1:7">
      <c r="A211" s="1526" t="s">
        <v>295</v>
      </c>
      <c r="B211" s="1515" t="s">
        <v>1775</v>
      </c>
      <c r="C211" s="1516">
        <v>0.123</v>
      </c>
      <c r="D211" s="1516">
        <v>0.123</v>
      </c>
      <c r="E211" s="1516">
        <v>0.127</v>
      </c>
      <c r="F211" s="1516">
        <v>0.115</v>
      </c>
      <c r="G211" s="1517">
        <v>0.126</v>
      </c>
    </row>
    <row r="212" spans="1:7">
      <c r="A212" s="1526" t="s">
        <v>295</v>
      </c>
      <c r="B212" s="1515" t="s">
        <v>1783</v>
      </c>
      <c r="C212" s="1516">
        <v>0.126</v>
      </c>
      <c r="D212" s="1516">
        <v>0.126</v>
      </c>
      <c r="E212" s="1516">
        <v>0.13</v>
      </c>
      <c r="F212" s="1516">
        <v>0.13</v>
      </c>
      <c r="G212" s="1517">
        <v>0.129</v>
      </c>
    </row>
    <row r="213" spans="1:7">
      <c r="A213" s="1526" t="s">
        <v>295</v>
      </c>
      <c r="B213" s="1515" t="s">
        <v>1791</v>
      </c>
      <c r="C213" s="1516">
        <v>0.129</v>
      </c>
      <c r="D213" s="1516">
        <v>0.13</v>
      </c>
      <c r="E213" s="1516">
        <v>0.127</v>
      </c>
      <c r="F213" s="1516">
        <v>0.13</v>
      </c>
      <c r="G213" s="1517">
        <v>0.13</v>
      </c>
    </row>
    <row r="214" spans="1:7">
      <c r="A214" s="1526" t="s">
        <v>295</v>
      </c>
      <c r="B214" s="1515" t="s">
        <v>1799</v>
      </c>
      <c r="C214" s="1516">
        <v>0.128</v>
      </c>
      <c r="D214" s="1516">
        <v>0.128</v>
      </c>
      <c r="E214" s="1516">
        <v>0.13</v>
      </c>
      <c r="F214" s="1516">
        <v>0.13</v>
      </c>
      <c r="G214" s="1517">
        <v>0.13</v>
      </c>
    </row>
    <row r="215" spans="1:7">
      <c r="A215" s="1526" t="s">
        <v>295</v>
      </c>
      <c r="B215" s="1515" t="s">
        <v>1806</v>
      </c>
      <c r="C215" s="1516">
        <v>0.13</v>
      </c>
      <c r="D215" s="1516">
        <v>0.13</v>
      </c>
      <c r="E215" s="1516">
        <v>0.13</v>
      </c>
      <c r="F215" s="1516">
        <v>0.129</v>
      </c>
      <c r="G215" s="1517">
        <v>0.13</v>
      </c>
    </row>
    <row r="216" spans="1:7">
      <c r="A216" s="1526" t="s">
        <v>295</v>
      </c>
      <c r="B216" s="1515" t="s">
        <v>1813</v>
      </c>
      <c r="C216" s="1516">
        <v>0.13</v>
      </c>
      <c r="D216" s="1516">
        <v>0.13</v>
      </c>
      <c r="E216" s="1516">
        <v>0.13</v>
      </c>
      <c r="F216" s="1516">
        <v>0.13</v>
      </c>
      <c r="G216" s="1517">
        <v>0.13</v>
      </c>
    </row>
    <row r="217" spans="1:7">
      <c r="A217" s="1526" t="s">
        <v>295</v>
      </c>
      <c r="B217" s="1515" t="s">
        <v>1820</v>
      </c>
      <c r="C217" s="1516">
        <v>0.129</v>
      </c>
      <c r="D217" s="1516">
        <v>0.129</v>
      </c>
      <c r="E217" s="1516">
        <v>0.13</v>
      </c>
      <c r="F217" s="1516">
        <v>0.13</v>
      </c>
      <c r="G217" s="1517">
        <v>0.13</v>
      </c>
    </row>
    <row r="218" spans="1:7">
      <c r="A218" s="1526" t="s">
        <v>295</v>
      </c>
      <c r="B218" s="1515" t="s">
        <v>1827</v>
      </c>
      <c r="C218" s="1527"/>
      <c r="D218" s="1527"/>
      <c r="E218" s="1527"/>
      <c r="F218" s="1516">
        <v>0.05</v>
      </c>
      <c r="G218" s="1533"/>
    </row>
    <row r="219" spans="1:7">
      <c r="A219" s="1526" t="s">
        <v>295</v>
      </c>
      <c r="B219" s="1515" t="s">
        <v>1834</v>
      </c>
      <c r="C219" s="1527"/>
      <c r="D219" s="1527"/>
      <c r="E219" s="1527"/>
      <c r="F219" s="1516">
        <v>0.05</v>
      </c>
      <c r="G219" s="1533"/>
    </row>
    <row r="220" spans="1:7">
      <c r="A220" s="1526" t="s">
        <v>295</v>
      </c>
      <c r="B220" s="1515" t="s">
        <v>1841</v>
      </c>
      <c r="C220" s="1527"/>
      <c r="D220" s="1527"/>
      <c r="E220" s="1527"/>
      <c r="F220" s="1516">
        <v>0.05</v>
      </c>
      <c r="G220" s="1533"/>
    </row>
    <row r="221" spans="1:7">
      <c r="A221" s="1526" t="s">
        <v>295</v>
      </c>
      <c r="B221" s="1515" t="s">
        <v>1848</v>
      </c>
      <c r="C221" s="1527"/>
      <c r="D221" s="1527"/>
      <c r="E221" s="1527"/>
      <c r="F221" s="1516">
        <v>0.05</v>
      </c>
      <c r="G221" s="1533"/>
    </row>
    <row r="222" spans="1:7">
      <c r="A222" s="1526" t="s">
        <v>295</v>
      </c>
      <c r="B222" s="1515" t="s">
        <v>1853</v>
      </c>
      <c r="C222" s="1527"/>
      <c r="D222" s="1527"/>
      <c r="E222" s="1527"/>
      <c r="F222" s="1516">
        <v>0.05</v>
      </c>
      <c r="G222" s="1533"/>
    </row>
    <row r="223" spans="1:7">
      <c r="A223" s="1526" t="s">
        <v>295</v>
      </c>
      <c r="B223" s="1515" t="s">
        <v>1858</v>
      </c>
      <c r="C223" s="1527"/>
      <c r="D223" s="1527"/>
      <c r="E223" s="1527"/>
      <c r="F223" s="1516">
        <v>0.05</v>
      </c>
      <c r="G223" s="1533"/>
    </row>
    <row r="224" spans="1:7">
      <c r="A224" s="1526" t="s">
        <v>295</v>
      </c>
      <c r="B224" s="1515" t="s">
        <v>1863</v>
      </c>
      <c r="C224" s="1527"/>
      <c r="D224" s="1527"/>
      <c r="E224" s="1527"/>
      <c r="F224" s="1516">
        <v>0.05</v>
      </c>
      <c r="G224" s="1533"/>
    </row>
    <row r="225" spans="1:7">
      <c r="A225" s="1526" t="s">
        <v>295</v>
      </c>
      <c r="B225" s="1515" t="s">
        <v>1868</v>
      </c>
      <c r="C225" s="1527"/>
      <c r="D225" s="1527"/>
      <c r="E225" s="1527"/>
      <c r="F225" s="1516">
        <v>0.05</v>
      </c>
      <c r="G225" s="1533"/>
    </row>
    <row r="226" spans="1:7">
      <c r="A226" s="1526" t="s">
        <v>295</v>
      </c>
      <c r="B226" s="1515" t="s">
        <v>1873</v>
      </c>
      <c r="C226" s="1527"/>
      <c r="D226" s="1527"/>
      <c r="E226" s="1527"/>
      <c r="F226" s="1516">
        <v>0.05</v>
      </c>
      <c r="G226" s="1533"/>
    </row>
    <row r="227" spans="1:7">
      <c r="A227" s="1526" t="s">
        <v>295</v>
      </c>
      <c r="B227" s="1515" t="s">
        <v>1878</v>
      </c>
      <c r="C227" s="1527"/>
      <c r="D227" s="1527"/>
      <c r="E227" s="1527"/>
      <c r="F227" s="1516">
        <v>0.05</v>
      </c>
      <c r="G227" s="1533"/>
    </row>
    <row r="228" spans="1:7">
      <c r="A228" s="1526" t="s">
        <v>295</v>
      </c>
      <c r="B228" s="1515" t="s">
        <v>1883</v>
      </c>
      <c r="C228" s="1527"/>
      <c r="D228" s="1527"/>
      <c r="E228" s="1527"/>
      <c r="F228" s="1516">
        <v>0.05</v>
      </c>
      <c r="G228" s="1533"/>
    </row>
    <row r="229" spans="1:7">
      <c r="A229" s="1526" t="s">
        <v>295</v>
      </c>
      <c r="B229" s="1515" t="s">
        <v>1888</v>
      </c>
      <c r="C229" s="1527"/>
      <c r="D229" s="1527"/>
      <c r="E229" s="1527"/>
      <c r="F229" s="1516">
        <v>0.05</v>
      </c>
      <c r="G229" s="1533"/>
    </row>
    <row r="230" spans="1:7">
      <c r="A230" s="1526" t="s">
        <v>295</v>
      </c>
      <c r="B230" s="1515" t="s">
        <v>1892</v>
      </c>
      <c r="C230" s="1527"/>
      <c r="D230" s="1527"/>
      <c r="E230" s="1527"/>
      <c r="F230" s="1516">
        <v>0.05</v>
      </c>
      <c r="G230" s="1533"/>
    </row>
    <row r="231" spans="1:7">
      <c r="A231" s="1526" t="s">
        <v>295</v>
      </c>
      <c r="B231" s="1515" t="s">
        <v>1896</v>
      </c>
      <c r="C231" s="1527"/>
      <c r="D231" s="1527"/>
      <c r="E231" s="1527"/>
      <c r="F231" s="1516">
        <v>0.05</v>
      </c>
      <c r="G231" s="1533"/>
    </row>
    <row r="232" spans="1:7">
      <c r="A232" s="1526" t="s">
        <v>295</v>
      </c>
      <c r="B232" s="1515" t="s">
        <v>1900</v>
      </c>
      <c r="C232" s="1527"/>
      <c r="D232" s="1527"/>
      <c r="E232" s="1527"/>
      <c r="F232" s="1516">
        <v>0.05</v>
      </c>
      <c r="G232" s="1533"/>
    </row>
    <row r="233" spans="1:7">
      <c r="A233" s="1529" t="s">
        <v>295</v>
      </c>
      <c r="B233" s="1519" t="s">
        <v>1904</v>
      </c>
      <c r="C233" s="1521"/>
      <c r="D233" s="1521"/>
      <c r="E233" s="1521"/>
      <c r="F233" s="1520">
        <v>0.05</v>
      </c>
      <c r="G233" s="1534"/>
    </row>
    <row r="234" spans="1:7">
      <c r="A234" s="1525" t="s">
        <v>301</v>
      </c>
      <c r="B234" s="1511" t="s">
        <v>1556</v>
      </c>
      <c r="C234" s="1512">
        <v>0.13</v>
      </c>
      <c r="D234" s="1512">
        <v>0.128</v>
      </c>
      <c r="E234" s="1512">
        <v>0.14199999999999999</v>
      </c>
      <c r="F234" s="1512">
        <v>0.14699999999999999</v>
      </c>
      <c r="G234" s="1513">
        <v>0.14000000000000001</v>
      </c>
    </row>
    <row r="235" spans="1:7">
      <c r="A235" s="1526" t="s">
        <v>301</v>
      </c>
      <c r="B235" s="1515" t="s">
        <v>1569</v>
      </c>
      <c r="C235" s="1516">
        <v>0.13600000000000001</v>
      </c>
      <c r="D235" s="1516">
        <v>0.13800000000000001</v>
      </c>
      <c r="E235" s="1516">
        <v>0.14499999999999999</v>
      </c>
      <c r="F235" s="1516">
        <v>0.14299999999999999</v>
      </c>
      <c r="G235" s="1517">
        <v>0.14099999999999999</v>
      </c>
    </row>
    <row r="236" spans="1:7">
      <c r="A236" s="1526" t="s">
        <v>301</v>
      </c>
      <c r="B236" s="1515" t="s">
        <v>1582</v>
      </c>
      <c r="C236" s="1516">
        <v>0.15</v>
      </c>
      <c r="D236" s="1516">
        <v>0.15</v>
      </c>
      <c r="E236" s="1516">
        <v>0.15</v>
      </c>
      <c r="F236" s="1516">
        <v>0.15</v>
      </c>
      <c r="G236" s="1517">
        <v>0.15</v>
      </c>
    </row>
    <row r="237" spans="1:7">
      <c r="A237" s="1526" t="s">
        <v>301</v>
      </c>
      <c r="B237" s="1515" t="s">
        <v>1594</v>
      </c>
      <c r="C237" s="1516">
        <v>0.15</v>
      </c>
      <c r="D237" s="1516">
        <v>0.15</v>
      </c>
      <c r="E237" s="1516">
        <v>0.15</v>
      </c>
      <c r="F237" s="1516">
        <v>0.15</v>
      </c>
      <c r="G237" s="1517">
        <v>0.15</v>
      </c>
    </row>
    <row r="238" spans="1:7">
      <c r="A238" s="1526" t="s">
        <v>301</v>
      </c>
      <c r="B238" s="1515" t="s">
        <v>1606</v>
      </c>
      <c r="C238" s="1516">
        <v>0.14899999999999999</v>
      </c>
      <c r="D238" s="1516">
        <v>0.14899999999999999</v>
      </c>
      <c r="E238" s="1516">
        <v>0.15</v>
      </c>
      <c r="F238" s="1516">
        <v>0.15</v>
      </c>
      <c r="G238" s="1517">
        <v>0.15</v>
      </c>
    </row>
    <row r="239" spans="1:7">
      <c r="A239" s="1526" t="s">
        <v>301</v>
      </c>
      <c r="B239" s="1515" t="s">
        <v>1617</v>
      </c>
      <c r="C239" s="1516">
        <v>0.15</v>
      </c>
      <c r="D239" s="1516">
        <v>0.15</v>
      </c>
      <c r="E239" s="1516">
        <v>0.15</v>
      </c>
      <c r="F239" s="1516">
        <v>0.15</v>
      </c>
      <c r="G239" s="1517">
        <v>0.15</v>
      </c>
    </row>
    <row r="240" spans="1:7">
      <c r="A240" s="1526" t="s">
        <v>301</v>
      </c>
      <c r="B240" s="1515" t="s">
        <v>1628</v>
      </c>
      <c r="C240" s="1516">
        <v>0.15</v>
      </c>
      <c r="D240" s="1516">
        <v>0.15</v>
      </c>
      <c r="E240" s="1516">
        <v>0.15</v>
      </c>
      <c r="F240" s="1516">
        <v>0.15</v>
      </c>
      <c r="G240" s="1517">
        <v>0.15</v>
      </c>
    </row>
    <row r="241" spans="1:7">
      <c r="A241" s="1526" t="s">
        <v>301</v>
      </c>
      <c r="B241" s="1515" t="s">
        <v>1639</v>
      </c>
      <c r="C241" s="1516">
        <v>0.14099999999999999</v>
      </c>
      <c r="D241" s="1516">
        <v>0.14199999999999999</v>
      </c>
      <c r="E241" s="1516">
        <v>0.14899999999999999</v>
      </c>
      <c r="F241" s="1516">
        <v>0.15</v>
      </c>
      <c r="G241" s="1517">
        <v>0.14399999999999999</v>
      </c>
    </row>
    <row r="242" spans="1:7">
      <c r="A242" s="1526" t="s">
        <v>301</v>
      </c>
      <c r="B242" s="1515" t="s">
        <v>1649</v>
      </c>
      <c r="C242" s="1516">
        <v>0.14099999999999999</v>
      </c>
      <c r="D242" s="1516">
        <v>0.14199999999999999</v>
      </c>
      <c r="E242" s="1516">
        <v>0.14799999999999999</v>
      </c>
      <c r="F242" s="1516">
        <v>0.127</v>
      </c>
      <c r="G242" s="1517">
        <v>0.14399999999999999</v>
      </c>
    </row>
    <row r="243" spans="1:7">
      <c r="A243" s="1526" t="s">
        <v>301</v>
      </c>
      <c r="B243" s="1515" t="s">
        <v>1659</v>
      </c>
      <c r="C243" s="1516">
        <v>0.14699999999999999</v>
      </c>
      <c r="D243" s="1516">
        <v>0.14699999999999999</v>
      </c>
      <c r="E243" s="1516">
        <v>0.15</v>
      </c>
      <c r="F243" s="1516">
        <v>0.15</v>
      </c>
      <c r="G243" s="1517">
        <v>0.14899999999999999</v>
      </c>
    </row>
    <row r="244" spans="1:7">
      <c r="A244" s="1526" t="s">
        <v>301</v>
      </c>
      <c r="B244" s="1515" t="s">
        <v>1669</v>
      </c>
      <c r="C244" s="1516">
        <v>0.15</v>
      </c>
      <c r="D244" s="1516">
        <v>0.15</v>
      </c>
      <c r="E244" s="1516">
        <v>0.15</v>
      </c>
      <c r="F244" s="1516">
        <v>0.15</v>
      </c>
      <c r="G244" s="1517">
        <v>0.15</v>
      </c>
    </row>
    <row r="245" spans="1:7">
      <c r="A245" s="1526" t="s">
        <v>301</v>
      </c>
      <c r="B245" s="1515" t="s">
        <v>1679</v>
      </c>
      <c r="C245" s="1516">
        <v>0.14199999999999999</v>
      </c>
      <c r="D245" s="1516">
        <v>0.14199999999999999</v>
      </c>
      <c r="E245" s="1516">
        <v>0.15</v>
      </c>
      <c r="F245" s="1516">
        <v>0.15</v>
      </c>
      <c r="G245" s="1517">
        <v>0.14499999999999999</v>
      </c>
    </row>
    <row r="246" spans="1:7">
      <c r="A246" s="1526" t="s">
        <v>301</v>
      </c>
      <c r="B246" s="1515" t="s">
        <v>1689</v>
      </c>
      <c r="C246" s="1516">
        <v>0.14199999999999999</v>
      </c>
      <c r="D246" s="1516">
        <v>0.14299999999999999</v>
      </c>
      <c r="E246" s="1516">
        <v>0.15</v>
      </c>
      <c r="F246" s="1516">
        <v>0.14199999999999999</v>
      </c>
      <c r="G246" s="1517">
        <v>0.14399999999999999</v>
      </c>
    </row>
    <row r="247" spans="1:7">
      <c r="A247" s="1526" t="s">
        <v>301</v>
      </c>
      <c r="B247" s="1515" t="s">
        <v>1699</v>
      </c>
      <c r="C247" s="1516">
        <v>0.14899999999999999</v>
      </c>
      <c r="D247" s="1516">
        <v>0.14899999999999999</v>
      </c>
      <c r="E247" s="1516">
        <v>0.15</v>
      </c>
      <c r="F247" s="1516">
        <v>0.15</v>
      </c>
      <c r="G247" s="1517">
        <v>0.15</v>
      </c>
    </row>
    <row r="248" spans="1:7">
      <c r="A248" s="1526" t="s">
        <v>301</v>
      </c>
      <c r="B248" s="1515" t="s">
        <v>1709</v>
      </c>
      <c r="C248" s="1516">
        <v>0.14399999999999999</v>
      </c>
      <c r="D248" s="1516">
        <v>0.14399999999999999</v>
      </c>
      <c r="E248" s="1516">
        <v>0.14899999999999999</v>
      </c>
      <c r="F248" s="1516">
        <v>0.14799999999999999</v>
      </c>
      <c r="G248" s="1517">
        <v>0.14599999999999999</v>
      </c>
    </row>
    <row r="249" spans="1:7">
      <c r="A249" s="1526" t="s">
        <v>301</v>
      </c>
      <c r="B249" s="1515" t="s">
        <v>1719</v>
      </c>
      <c r="C249" s="1516">
        <v>0.14000000000000001</v>
      </c>
      <c r="D249" s="1516">
        <v>0.14000000000000001</v>
      </c>
      <c r="E249" s="1516">
        <v>0.14699999999999999</v>
      </c>
      <c r="F249" s="1516">
        <v>0.14899999999999999</v>
      </c>
      <c r="G249" s="1517">
        <v>0.14199999999999999</v>
      </c>
    </row>
    <row r="250" spans="1:7">
      <c r="A250" s="1526" t="s">
        <v>301</v>
      </c>
      <c r="B250" s="1515" t="s">
        <v>1729</v>
      </c>
      <c r="C250" s="1516">
        <v>0.14399999999999999</v>
      </c>
      <c r="D250" s="1516">
        <v>0.14299999999999999</v>
      </c>
      <c r="E250" s="1516">
        <v>0.14899999999999999</v>
      </c>
      <c r="F250" s="1516">
        <v>0.15</v>
      </c>
      <c r="G250" s="1517">
        <v>0.14599999999999999</v>
      </c>
    </row>
    <row r="251" spans="1:7">
      <c r="A251" s="1526" t="s">
        <v>301</v>
      </c>
      <c r="B251" s="1515" t="s">
        <v>1739</v>
      </c>
      <c r="C251" s="1532"/>
      <c r="D251" s="1527"/>
      <c r="E251" s="1527"/>
      <c r="F251" s="1516">
        <v>0.1</v>
      </c>
      <c r="G251" s="1533"/>
    </row>
    <row r="252" spans="1:7">
      <c r="A252" s="1526" t="s">
        <v>301</v>
      </c>
      <c r="B252" s="1515" t="s">
        <v>1749</v>
      </c>
      <c r="C252" s="1516">
        <v>0.14399999999999999</v>
      </c>
      <c r="D252" s="1516">
        <v>0.14399999999999999</v>
      </c>
      <c r="E252" s="1516">
        <v>0.15</v>
      </c>
      <c r="F252" s="1516">
        <v>0.14899999999999999</v>
      </c>
      <c r="G252" s="1517">
        <v>0.14599999999999999</v>
      </c>
    </row>
    <row r="253" spans="1:7">
      <c r="A253" s="1526" t="s">
        <v>301</v>
      </c>
      <c r="B253" s="1515" t="s">
        <v>1759</v>
      </c>
      <c r="C253" s="1516">
        <v>0.14199999999999999</v>
      </c>
      <c r="D253" s="1516">
        <v>0.14199999999999999</v>
      </c>
      <c r="E253" s="1516">
        <v>0.14599999999999999</v>
      </c>
      <c r="F253" s="1516">
        <v>0.14799999999999999</v>
      </c>
      <c r="G253" s="1517">
        <v>0.14499999999999999</v>
      </c>
    </row>
    <row r="254" spans="1:7">
      <c r="A254" s="1526" t="s">
        <v>301</v>
      </c>
      <c r="B254" s="1515" t="s">
        <v>1768</v>
      </c>
      <c r="C254" s="1516">
        <v>0.15</v>
      </c>
      <c r="D254" s="1516">
        <v>0.15</v>
      </c>
      <c r="E254" s="1516">
        <v>0.15</v>
      </c>
      <c r="F254" s="1516">
        <v>0.15</v>
      </c>
      <c r="G254" s="1517">
        <v>0.15</v>
      </c>
    </row>
    <row r="255" spans="1:7">
      <c r="A255" s="1526" t="s">
        <v>301</v>
      </c>
      <c r="B255" s="1515" t="s">
        <v>1776</v>
      </c>
      <c r="C255" s="1516">
        <v>0.14299999999999999</v>
      </c>
      <c r="D255" s="1516">
        <v>0.14299999999999999</v>
      </c>
      <c r="E255" s="1516">
        <v>0.15</v>
      </c>
      <c r="F255" s="1516">
        <v>0.15</v>
      </c>
      <c r="G255" s="1517">
        <v>0.14499999999999999</v>
      </c>
    </row>
    <row r="256" spans="1:7">
      <c r="A256" s="1526" t="s">
        <v>301</v>
      </c>
      <c r="B256" s="1515" t="s">
        <v>1784</v>
      </c>
      <c r="C256" s="1516">
        <v>0.15</v>
      </c>
      <c r="D256" s="1516">
        <v>0.15</v>
      </c>
      <c r="E256" s="1516">
        <v>0.15</v>
      </c>
      <c r="F256" s="1516">
        <v>0.14599999999999999</v>
      </c>
      <c r="G256" s="1517">
        <v>0.15</v>
      </c>
    </row>
    <row r="257" spans="1:7">
      <c r="A257" s="1526" t="s">
        <v>301</v>
      </c>
      <c r="B257" s="1515" t="s">
        <v>1792</v>
      </c>
      <c r="C257" s="1516">
        <v>0.14199999999999999</v>
      </c>
      <c r="D257" s="1516">
        <v>0.14299999999999999</v>
      </c>
      <c r="E257" s="1516">
        <v>0.14799999999999999</v>
      </c>
      <c r="F257" s="1516">
        <v>0.15</v>
      </c>
      <c r="G257" s="1517">
        <v>0.14499999999999999</v>
      </c>
    </row>
    <row r="258" spans="1:7">
      <c r="A258" s="1526" t="s">
        <v>301</v>
      </c>
      <c r="B258" s="1515" t="s">
        <v>1800</v>
      </c>
      <c r="C258" s="1516">
        <v>0.14299999999999999</v>
      </c>
      <c r="D258" s="1516">
        <v>0.14299999999999999</v>
      </c>
      <c r="E258" s="1516">
        <v>0.15</v>
      </c>
      <c r="F258" s="1516">
        <v>0.14799999999999999</v>
      </c>
      <c r="G258" s="1517">
        <v>0.14599999999999999</v>
      </c>
    </row>
    <row r="259" spans="1:7">
      <c r="A259" s="1526" t="s">
        <v>301</v>
      </c>
      <c r="B259" s="1515" t="s">
        <v>1807</v>
      </c>
      <c r="C259" s="1516">
        <v>0.14399999999999999</v>
      </c>
      <c r="D259" s="1516">
        <v>0.14399999999999999</v>
      </c>
      <c r="E259" s="1516">
        <v>0.14899999999999999</v>
      </c>
      <c r="F259" s="1516">
        <v>0.14699999999999999</v>
      </c>
      <c r="G259" s="1517">
        <v>0.14599999999999999</v>
      </c>
    </row>
    <row r="260" spans="1:7">
      <c r="A260" s="1526" t="s">
        <v>301</v>
      </c>
      <c r="B260" s="1515" t="s">
        <v>1814</v>
      </c>
      <c r="C260" s="1516">
        <v>0.109</v>
      </c>
      <c r="D260" s="1516">
        <v>0.111</v>
      </c>
      <c r="E260" s="1516">
        <v>0.13100000000000001</v>
      </c>
      <c r="F260" s="1516">
        <v>0.126</v>
      </c>
      <c r="G260" s="1517">
        <v>0.11899999999999999</v>
      </c>
    </row>
    <row r="261" spans="1:7">
      <c r="A261" s="1526" t="s">
        <v>301</v>
      </c>
      <c r="B261" s="1515" t="s">
        <v>1821</v>
      </c>
      <c r="C261" s="1516">
        <v>0.1</v>
      </c>
      <c r="D261" s="1516">
        <v>0.1</v>
      </c>
      <c r="E261" s="1516">
        <v>0.11799999999999999</v>
      </c>
      <c r="F261" s="1516">
        <v>0.108</v>
      </c>
      <c r="G261" s="1517">
        <v>0.107</v>
      </c>
    </row>
    <row r="262" spans="1:7">
      <c r="A262" s="1526" t="s">
        <v>301</v>
      </c>
      <c r="B262" s="1515" t="s">
        <v>1828</v>
      </c>
      <c r="C262" s="1516">
        <v>0.1</v>
      </c>
      <c r="D262" s="1516">
        <v>0.1</v>
      </c>
      <c r="E262" s="1516">
        <v>0.1</v>
      </c>
      <c r="F262" s="1516">
        <v>0.14099999999999999</v>
      </c>
      <c r="G262" s="1517">
        <v>0.1</v>
      </c>
    </row>
    <row r="263" spans="1:7">
      <c r="A263" s="1526" t="s">
        <v>301</v>
      </c>
      <c r="B263" s="1515" t="s">
        <v>1835</v>
      </c>
      <c r="C263" s="1516">
        <v>0.14799999999999999</v>
      </c>
      <c r="D263" s="1516">
        <v>0.14799999999999999</v>
      </c>
      <c r="E263" s="1516">
        <v>0.15</v>
      </c>
      <c r="F263" s="1516">
        <v>0.14699999999999999</v>
      </c>
      <c r="G263" s="1517">
        <v>0.15</v>
      </c>
    </row>
    <row r="264" spans="1:7">
      <c r="A264" s="1526" t="s">
        <v>301</v>
      </c>
      <c r="B264" s="1515" t="s">
        <v>1842</v>
      </c>
      <c r="C264" s="1516">
        <v>0.14299999999999999</v>
      </c>
      <c r="D264" s="1516">
        <v>0.14299999999999999</v>
      </c>
      <c r="E264" s="1516">
        <v>0.15</v>
      </c>
      <c r="F264" s="1516">
        <v>0.14899999999999999</v>
      </c>
      <c r="G264" s="1517">
        <v>0.14599999999999999</v>
      </c>
    </row>
    <row r="265" spans="1:7">
      <c r="A265" s="1526" t="s">
        <v>301</v>
      </c>
      <c r="B265" s="1515" t="s">
        <v>1849</v>
      </c>
      <c r="C265" s="1527"/>
      <c r="D265" s="1527"/>
      <c r="E265" s="1527"/>
      <c r="F265" s="1516">
        <v>0.05</v>
      </c>
      <c r="G265" s="1533"/>
    </row>
    <row r="266" spans="1:7">
      <c r="A266" s="1526" t="s">
        <v>301</v>
      </c>
      <c r="B266" s="1515" t="s">
        <v>1854</v>
      </c>
      <c r="C266" s="1527"/>
      <c r="D266" s="1527"/>
      <c r="E266" s="1527"/>
      <c r="F266" s="1516">
        <v>0.05</v>
      </c>
      <c r="G266" s="1533"/>
    </row>
    <row r="267" spans="1:7">
      <c r="A267" s="1526" t="s">
        <v>301</v>
      </c>
      <c r="B267" s="1515" t="s">
        <v>1859</v>
      </c>
      <c r="C267" s="1527"/>
      <c r="D267" s="1527"/>
      <c r="E267" s="1527"/>
      <c r="F267" s="1516">
        <v>0.05</v>
      </c>
      <c r="G267" s="1533"/>
    </row>
    <row r="268" spans="1:7">
      <c r="A268" s="1526" t="s">
        <v>301</v>
      </c>
      <c r="B268" s="1515" t="s">
        <v>1864</v>
      </c>
      <c r="C268" s="1527"/>
      <c r="D268" s="1527"/>
      <c r="E268" s="1527"/>
      <c r="F268" s="1516">
        <v>0.05</v>
      </c>
      <c r="G268" s="1533"/>
    </row>
    <row r="269" spans="1:7">
      <c r="A269" s="1526" t="s">
        <v>301</v>
      </c>
      <c r="B269" s="1515" t="s">
        <v>1869</v>
      </c>
      <c r="C269" s="1527"/>
      <c r="D269" s="1527"/>
      <c r="E269" s="1527"/>
      <c r="F269" s="1516">
        <v>0.05</v>
      </c>
      <c r="G269" s="1533"/>
    </row>
    <row r="270" spans="1:7">
      <c r="A270" s="1526" t="s">
        <v>301</v>
      </c>
      <c r="B270" s="1515" t="s">
        <v>1874</v>
      </c>
      <c r="C270" s="1527"/>
      <c r="D270" s="1527"/>
      <c r="E270" s="1527"/>
      <c r="F270" s="1516">
        <v>0.05</v>
      </c>
      <c r="G270" s="1533"/>
    </row>
    <row r="271" spans="1:7">
      <c r="A271" s="1526" t="s">
        <v>301</v>
      </c>
      <c r="B271" s="1515" t="s">
        <v>1879</v>
      </c>
      <c r="C271" s="1527"/>
      <c r="D271" s="1527"/>
      <c r="E271" s="1527"/>
      <c r="F271" s="1516">
        <v>0.05</v>
      </c>
      <c r="G271" s="1533"/>
    </row>
    <row r="272" spans="1:7">
      <c r="A272" s="1526" t="s">
        <v>301</v>
      </c>
      <c r="B272" s="1515" t="s">
        <v>1884</v>
      </c>
      <c r="C272" s="1527"/>
      <c r="D272" s="1527"/>
      <c r="E272" s="1527"/>
      <c r="F272" s="1516">
        <v>0.05</v>
      </c>
      <c r="G272" s="1533"/>
    </row>
    <row r="273" spans="1:7">
      <c r="A273" s="1526" t="s">
        <v>301</v>
      </c>
      <c r="B273" s="1515" t="s">
        <v>1889</v>
      </c>
      <c r="C273" s="1527"/>
      <c r="D273" s="1527"/>
      <c r="E273" s="1527"/>
      <c r="F273" s="1516">
        <v>0.05</v>
      </c>
      <c r="G273" s="1533"/>
    </row>
    <row r="274" spans="1:7">
      <c r="A274" s="1526" t="s">
        <v>301</v>
      </c>
      <c r="B274" s="1515" t="s">
        <v>1893</v>
      </c>
      <c r="C274" s="1527"/>
      <c r="D274" s="1527"/>
      <c r="E274" s="1527"/>
      <c r="F274" s="1516">
        <v>0.05</v>
      </c>
      <c r="G274" s="1533"/>
    </row>
    <row r="275" spans="1:7">
      <c r="A275" s="1526" t="s">
        <v>301</v>
      </c>
      <c r="B275" s="1515" t="s">
        <v>1897</v>
      </c>
      <c r="C275" s="1527"/>
      <c r="D275" s="1527"/>
      <c r="E275" s="1527"/>
      <c r="F275" s="1516">
        <v>0.05</v>
      </c>
      <c r="G275" s="1533"/>
    </row>
    <row r="276" spans="1:7">
      <c r="A276" s="1529" t="s">
        <v>301</v>
      </c>
      <c r="B276" s="1519" t="s">
        <v>1901</v>
      </c>
      <c r="C276" s="1521"/>
      <c r="D276" s="1521"/>
      <c r="E276" s="1521"/>
      <c r="F276" s="1520">
        <v>0.05</v>
      </c>
      <c r="G276" s="1534"/>
    </row>
    <row r="277" spans="1:7">
      <c r="A277" s="1525" t="s">
        <v>305</v>
      </c>
      <c r="B277" s="1511" t="s">
        <v>1557</v>
      </c>
      <c r="C277" s="1512">
        <v>0.15</v>
      </c>
      <c r="D277" s="1512">
        <v>0.15</v>
      </c>
      <c r="E277" s="1512">
        <v>0.15</v>
      </c>
      <c r="F277" s="1512">
        <v>0.15</v>
      </c>
      <c r="G277" s="1513">
        <v>0.15</v>
      </c>
    </row>
    <row r="278" spans="1:7">
      <c r="A278" s="1526" t="s">
        <v>305</v>
      </c>
      <c r="B278" s="1515" t="s">
        <v>1570</v>
      </c>
      <c r="C278" s="1516">
        <v>0.15</v>
      </c>
      <c r="D278" s="1516">
        <v>0.15</v>
      </c>
      <c r="E278" s="1516">
        <v>0.15</v>
      </c>
      <c r="F278" s="1516">
        <v>0.15</v>
      </c>
      <c r="G278" s="1517">
        <v>0.15</v>
      </c>
    </row>
    <row r="279" spans="1:7">
      <c r="A279" s="1526" t="s">
        <v>305</v>
      </c>
      <c r="B279" s="1515" t="s">
        <v>1583</v>
      </c>
      <c r="C279" s="1516">
        <v>0.15</v>
      </c>
      <c r="D279" s="1516">
        <v>0.15</v>
      </c>
      <c r="E279" s="1516">
        <v>0.15</v>
      </c>
      <c r="F279" s="1516">
        <v>0.15</v>
      </c>
      <c r="G279" s="1517">
        <v>0.15</v>
      </c>
    </row>
    <row r="280" spans="1:7">
      <c r="A280" s="1526" t="s">
        <v>305</v>
      </c>
      <c r="B280" s="1515" t="s">
        <v>1595</v>
      </c>
      <c r="C280" s="1516">
        <v>0.15</v>
      </c>
      <c r="D280" s="1516">
        <v>0.15</v>
      </c>
      <c r="E280" s="1516">
        <v>0.15</v>
      </c>
      <c r="F280" s="1516">
        <v>0.15</v>
      </c>
      <c r="G280" s="1517">
        <v>0.15</v>
      </c>
    </row>
    <row r="281" spans="1:7">
      <c r="A281" s="1526" t="s">
        <v>305</v>
      </c>
      <c r="B281" s="1515" t="s">
        <v>1607</v>
      </c>
      <c r="C281" s="1516">
        <v>0.15</v>
      </c>
      <c r="D281" s="1516">
        <v>0.15</v>
      </c>
      <c r="E281" s="1516">
        <v>0.15</v>
      </c>
      <c r="F281" s="1516">
        <v>0.15</v>
      </c>
      <c r="G281" s="1517">
        <v>0.15</v>
      </c>
    </row>
    <row r="282" spans="1:7">
      <c r="A282" s="1526" t="s">
        <v>305</v>
      </c>
      <c r="B282" s="1515" t="s">
        <v>1618</v>
      </c>
      <c r="C282" s="1516">
        <v>0.15</v>
      </c>
      <c r="D282" s="1516">
        <v>0.15</v>
      </c>
      <c r="E282" s="1516">
        <v>0.15</v>
      </c>
      <c r="F282" s="1516">
        <v>0.14499999999999999</v>
      </c>
      <c r="G282" s="1517">
        <v>0.15</v>
      </c>
    </row>
    <row r="283" spans="1:7">
      <c r="A283" s="1526" t="s">
        <v>305</v>
      </c>
      <c r="B283" s="1515" t="s">
        <v>1629</v>
      </c>
      <c r="C283" s="1516">
        <v>0.15</v>
      </c>
      <c r="D283" s="1516">
        <v>0.15</v>
      </c>
      <c r="E283" s="1516">
        <v>0.15</v>
      </c>
      <c r="F283" s="1516">
        <v>0.14199999999999999</v>
      </c>
      <c r="G283" s="1517">
        <v>0.15</v>
      </c>
    </row>
    <row r="284" spans="1:7">
      <c r="A284" s="1526" t="s">
        <v>305</v>
      </c>
      <c r="B284" s="1515" t="s">
        <v>1640</v>
      </c>
      <c r="C284" s="1516">
        <v>0.15</v>
      </c>
      <c r="D284" s="1516">
        <v>0.15</v>
      </c>
      <c r="E284" s="1516">
        <v>0.15</v>
      </c>
      <c r="F284" s="1516">
        <v>0.15</v>
      </c>
      <c r="G284" s="1517">
        <v>0.15</v>
      </c>
    </row>
    <row r="285" spans="1:7">
      <c r="A285" s="1526" t="s">
        <v>305</v>
      </c>
      <c r="B285" s="1515" t="s">
        <v>1650</v>
      </c>
      <c r="C285" s="1516">
        <v>0.15</v>
      </c>
      <c r="D285" s="1516">
        <v>0.15</v>
      </c>
      <c r="E285" s="1516">
        <v>0.15</v>
      </c>
      <c r="F285" s="1516">
        <v>0.15</v>
      </c>
      <c r="G285" s="1517">
        <v>0.15</v>
      </c>
    </row>
    <row r="286" spans="1:7">
      <c r="A286" s="1526" t="s">
        <v>305</v>
      </c>
      <c r="B286" s="1515" t="s">
        <v>1660</v>
      </c>
      <c r="C286" s="1516">
        <v>0.14499999999999999</v>
      </c>
      <c r="D286" s="1516">
        <v>0.14499999999999999</v>
      </c>
      <c r="E286" s="1516">
        <v>0.15</v>
      </c>
      <c r="F286" s="1516">
        <v>0.14099999999999999</v>
      </c>
      <c r="G286" s="1517">
        <v>0.14499999999999999</v>
      </c>
    </row>
    <row r="287" spans="1:7">
      <c r="A287" s="1526" t="s">
        <v>305</v>
      </c>
      <c r="B287" s="1515" t="s">
        <v>1670</v>
      </c>
      <c r="C287" s="1516">
        <v>0.11</v>
      </c>
      <c r="D287" s="1516">
        <v>0.111</v>
      </c>
      <c r="E287" s="1516">
        <v>0.14099999999999999</v>
      </c>
      <c r="F287" s="1516">
        <v>0.11</v>
      </c>
      <c r="G287" s="1517">
        <v>0.12</v>
      </c>
    </row>
    <row r="288" spans="1:7">
      <c r="A288" s="1526" t="s">
        <v>305</v>
      </c>
      <c r="B288" s="1515" t="s">
        <v>1680</v>
      </c>
      <c r="C288" s="1516">
        <v>0.14199999999999999</v>
      </c>
      <c r="D288" s="1516">
        <v>0.14299999999999999</v>
      </c>
      <c r="E288" s="1516">
        <v>0.15</v>
      </c>
      <c r="F288" s="1516">
        <v>0.14199999999999999</v>
      </c>
      <c r="G288" s="1517">
        <v>0.14399999999999999</v>
      </c>
    </row>
    <row r="289" spans="1:7">
      <c r="A289" s="1526" t="s">
        <v>305</v>
      </c>
      <c r="B289" s="1515" t="s">
        <v>1690</v>
      </c>
      <c r="C289" s="1516">
        <v>0.14299999999999999</v>
      </c>
      <c r="D289" s="1516">
        <v>0.14299999999999999</v>
      </c>
      <c r="E289" s="1516">
        <v>0.14799999999999999</v>
      </c>
      <c r="F289" s="1516">
        <v>0.14399999999999999</v>
      </c>
      <c r="G289" s="1517">
        <v>0.14399999999999999</v>
      </c>
    </row>
    <row r="290" spans="1:7">
      <c r="A290" s="1526" t="s">
        <v>305</v>
      </c>
      <c r="B290" s="1515" t="s">
        <v>1700</v>
      </c>
      <c r="C290" s="1516">
        <v>0.14799999999999999</v>
      </c>
      <c r="D290" s="1516">
        <v>0.14899999999999999</v>
      </c>
      <c r="E290" s="1516">
        <v>0.15</v>
      </c>
      <c r="F290" s="1516">
        <v>0.127</v>
      </c>
      <c r="G290" s="1517">
        <v>0.15</v>
      </c>
    </row>
    <row r="291" spans="1:7">
      <c r="A291" s="1526" t="s">
        <v>305</v>
      </c>
      <c r="B291" s="1515" t="s">
        <v>1710</v>
      </c>
      <c r="C291" s="1516">
        <v>0.15</v>
      </c>
      <c r="D291" s="1516">
        <v>0.15</v>
      </c>
      <c r="E291" s="1516">
        <v>0.15</v>
      </c>
      <c r="F291" s="1516">
        <v>0.14899999999999999</v>
      </c>
      <c r="G291" s="1517">
        <v>0.15</v>
      </c>
    </row>
    <row r="292" spans="1:7">
      <c r="A292" s="1526" t="s">
        <v>305</v>
      </c>
      <c r="B292" s="1515" t="s">
        <v>1720</v>
      </c>
      <c r="C292" s="1516">
        <v>0.15</v>
      </c>
      <c r="D292" s="1516">
        <v>0.15</v>
      </c>
      <c r="E292" s="1516">
        <v>0.15</v>
      </c>
      <c r="F292" s="1516">
        <v>0.14399999999999999</v>
      </c>
      <c r="G292" s="1517">
        <v>0.15</v>
      </c>
    </row>
    <row r="293" spans="1:7">
      <c r="A293" s="1526" t="s">
        <v>305</v>
      </c>
      <c r="B293" s="1515" t="s">
        <v>1730</v>
      </c>
      <c r="C293" s="1516">
        <v>0.15</v>
      </c>
      <c r="D293" s="1516">
        <v>0.15</v>
      </c>
      <c r="E293" s="1516">
        <v>0.15</v>
      </c>
      <c r="F293" s="1516">
        <v>0.14499999999999999</v>
      </c>
      <c r="G293" s="1517">
        <v>0.15</v>
      </c>
    </row>
    <row r="294" spans="1:7">
      <c r="A294" s="1526" t="s">
        <v>305</v>
      </c>
      <c r="B294" s="1515" t="s">
        <v>1740</v>
      </c>
      <c r="C294" s="1516">
        <v>0.15</v>
      </c>
      <c r="D294" s="1516">
        <v>0.15</v>
      </c>
      <c r="E294" s="1516">
        <v>0.15</v>
      </c>
      <c r="F294" s="1516">
        <v>0.14899999999999999</v>
      </c>
      <c r="G294" s="1517">
        <v>0.15</v>
      </c>
    </row>
    <row r="295" spans="1:7">
      <c r="A295" s="1526" t="s">
        <v>305</v>
      </c>
      <c r="B295" s="1515" t="s">
        <v>1750</v>
      </c>
      <c r="C295" s="1516">
        <v>0.15</v>
      </c>
      <c r="D295" s="1516">
        <v>0.15</v>
      </c>
      <c r="E295" s="1516">
        <v>0.15</v>
      </c>
      <c r="F295" s="1516">
        <v>0.14799999999999999</v>
      </c>
      <c r="G295" s="1517">
        <v>0.15</v>
      </c>
    </row>
    <row r="296" spans="1:7">
      <c r="A296" s="1526" t="s">
        <v>305</v>
      </c>
      <c r="B296" s="1515" t="s">
        <v>1760</v>
      </c>
      <c r="C296" s="1516">
        <v>0.15</v>
      </c>
      <c r="D296" s="1516">
        <v>0.15</v>
      </c>
      <c r="E296" s="1516">
        <v>0.15</v>
      </c>
      <c r="F296" s="1516">
        <v>0.14399999999999999</v>
      </c>
      <c r="G296" s="1517">
        <v>0.15</v>
      </c>
    </row>
    <row r="297" spans="1:7">
      <c r="A297" s="1526" t="s">
        <v>305</v>
      </c>
      <c r="B297" s="1515" t="s">
        <v>1769</v>
      </c>
      <c r="C297" s="1516">
        <v>0.15</v>
      </c>
      <c r="D297" s="1516">
        <v>0.15</v>
      </c>
      <c r="E297" s="1516">
        <v>0.15</v>
      </c>
      <c r="F297" s="1516">
        <v>0.14499999999999999</v>
      </c>
      <c r="G297" s="1517">
        <v>0.15</v>
      </c>
    </row>
    <row r="298" spans="1:7">
      <c r="A298" s="1526" t="s">
        <v>305</v>
      </c>
      <c r="B298" s="1515" t="s">
        <v>1777</v>
      </c>
      <c r="C298" s="1516">
        <v>0.15</v>
      </c>
      <c r="D298" s="1516">
        <v>0.15</v>
      </c>
      <c r="E298" s="1516">
        <v>0.15</v>
      </c>
      <c r="F298" s="1516">
        <v>0.15</v>
      </c>
      <c r="G298" s="1517">
        <v>0.15</v>
      </c>
    </row>
    <row r="299" spans="1:7">
      <c r="A299" s="1526" t="s">
        <v>305</v>
      </c>
      <c r="B299" s="1535" t="s">
        <v>1785</v>
      </c>
      <c r="C299" s="1516">
        <v>0.15</v>
      </c>
      <c r="D299" s="1516">
        <v>0.15</v>
      </c>
      <c r="E299" s="1516">
        <v>0.15</v>
      </c>
      <c r="F299" s="1516">
        <v>0.14499999999999999</v>
      </c>
      <c r="G299" s="1517">
        <v>0.15</v>
      </c>
    </row>
    <row r="300" spans="1:7">
      <c r="A300" s="1526" t="s">
        <v>305</v>
      </c>
      <c r="B300" s="1535" t="s">
        <v>1793</v>
      </c>
      <c r="C300" s="1516">
        <v>0.15</v>
      </c>
      <c r="D300" s="1516">
        <v>0.15</v>
      </c>
      <c r="E300" s="1516">
        <v>0.15</v>
      </c>
      <c r="F300" s="1516">
        <v>0.14599999999999999</v>
      </c>
      <c r="G300" s="1517">
        <v>0.15</v>
      </c>
    </row>
    <row r="301" spans="1:7">
      <c r="A301" s="1526" t="s">
        <v>305</v>
      </c>
      <c r="B301" s="1535" t="s">
        <v>1801</v>
      </c>
      <c r="C301" s="1516">
        <v>0.126</v>
      </c>
      <c r="D301" s="1516">
        <v>0.124</v>
      </c>
      <c r="E301" s="1516">
        <v>0.14099999999999999</v>
      </c>
      <c r="F301" s="1516">
        <v>0.14399999999999999</v>
      </c>
      <c r="G301" s="1517">
        <v>0.13</v>
      </c>
    </row>
    <row r="302" spans="1:7">
      <c r="A302" s="1526" t="s">
        <v>305</v>
      </c>
      <c r="B302" s="1515" t="s">
        <v>1808</v>
      </c>
      <c r="C302" s="1516">
        <v>0.15</v>
      </c>
      <c r="D302" s="1516">
        <v>0.15</v>
      </c>
      <c r="E302" s="1516">
        <v>0.15</v>
      </c>
      <c r="F302" s="1516">
        <v>0.14699999999999999</v>
      </c>
      <c r="G302" s="1517">
        <v>0.15</v>
      </c>
    </row>
    <row r="303" spans="1:7">
      <c r="A303" s="1526" t="s">
        <v>305</v>
      </c>
      <c r="B303" s="1515" t="s">
        <v>1815</v>
      </c>
      <c r="C303" s="1516">
        <v>0.15</v>
      </c>
      <c r="D303" s="1516">
        <v>0.15</v>
      </c>
      <c r="E303" s="1516">
        <v>0.15</v>
      </c>
      <c r="F303" s="1516">
        <v>0.14199999999999999</v>
      </c>
      <c r="G303" s="1517">
        <v>0.15</v>
      </c>
    </row>
    <row r="304" spans="1:7">
      <c r="A304" s="1526" t="s">
        <v>305</v>
      </c>
      <c r="B304" s="1515" t="s">
        <v>1822</v>
      </c>
      <c r="C304" s="1516">
        <v>0.15</v>
      </c>
      <c r="D304" s="1516">
        <v>0.15</v>
      </c>
      <c r="E304" s="1516">
        <v>0.15</v>
      </c>
      <c r="F304" s="1516">
        <v>0.14499999999999999</v>
      </c>
      <c r="G304" s="1517">
        <v>0.15</v>
      </c>
    </row>
    <row r="305" spans="1:7">
      <c r="A305" s="1526" t="s">
        <v>305</v>
      </c>
      <c r="B305" s="1515" t="s">
        <v>1829</v>
      </c>
      <c r="C305" s="1516">
        <v>0.15</v>
      </c>
      <c r="D305" s="1516">
        <v>0.15</v>
      </c>
      <c r="E305" s="1516">
        <v>0.15</v>
      </c>
      <c r="F305" s="1516">
        <v>0.111</v>
      </c>
      <c r="G305" s="1517">
        <v>0.15</v>
      </c>
    </row>
    <row r="306" spans="1:7">
      <c r="A306" s="1526" t="s">
        <v>305</v>
      </c>
      <c r="B306" s="1515" t="s">
        <v>1836</v>
      </c>
      <c r="C306" s="1516">
        <v>0.15</v>
      </c>
      <c r="D306" s="1516">
        <v>0.15</v>
      </c>
      <c r="E306" s="1516">
        <v>0.15</v>
      </c>
      <c r="F306" s="1516">
        <v>0.126</v>
      </c>
      <c r="G306" s="1517">
        <v>0.15</v>
      </c>
    </row>
    <row r="307" spans="1:7">
      <c r="A307" s="1526" t="s">
        <v>305</v>
      </c>
      <c r="B307" s="1515" t="s">
        <v>1843</v>
      </c>
      <c r="C307" s="1516">
        <v>0.15</v>
      </c>
      <c r="D307" s="1516">
        <v>0.15</v>
      </c>
      <c r="E307" s="1516">
        <v>0.15</v>
      </c>
      <c r="F307" s="1516">
        <v>0.12</v>
      </c>
      <c r="G307" s="1517">
        <v>0.15</v>
      </c>
    </row>
    <row r="308" spans="1:7">
      <c r="A308" s="1526" t="s">
        <v>305</v>
      </c>
      <c r="B308" s="1515" t="s">
        <v>1850</v>
      </c>
      <c r="C308" s="1516">
        <v>0.15</v>
      </c>
      <c r="D308" s="1516">
        <v>0.15</v>
      </c>
      <c r="E308" s="1516">
        <v>0.15</v>
      </c>
      <c r="F308" s="1516">
        <v>0.13</v>
      </c>
      <c r="G308" s="1517">
        <v>0.15</v>
      </c>
    </row>
    <row r="309" spans="1:7">
      <c r="A309" s="1526" t="s">
        <v>305</v>
      </c>
      <c r="B309" s="1515" t="s">
        <v>1855</v>
      </c>
      <c r="C309" s="1516">
        <v>0.15</v>
      </c>
      <c r="D309" s="1516">
        <v>0.15</v>
      </c>
      <c r="E309" s="1516">
        <v>0.15</v>
      </c>
      <c r="F309" s="1516">
        <v>0.14099999999999999</v>
      </c>
      <c r="G309" s="1517">
        <v>0.15</v>
      </c>
    </row>
    <row r="310" spans="1:7">
      <c r="A310" s="1526" t="s">
        <v>305</v>
      </c>
      <c r="B310" s="1515" t="s">
        <v>1860</v>
      </c>
      <c r="C310" s="1516">
        <v>0.15</v>
      </c>
      <c r="D310" s="1516">
        <v>0.15</v>
      </c>
      <c r="E310" s="1516">
        <v>0.15</v>
      </c>
      <c r="F310" s="1516">
        <v>0.15</v>
      </c>
      <c r="G310" s="1517">
        <v>0.15</v>
      </c>
    </row>
    <row r="311" spans="1:7">
      <c r="A311" s="1526" t="s">
        <v>305</v>
      </c>
      <c r="B311" s="1515" t="s">
        <v>1865</v>
      </c>
      <c r="C311" s="1516">
        <v>0.13200000000000001</v>
      </c>
      <c r="D311" s="1516">
        <v>0.13300000000000001</v>
      </c>
      <c r="E311" s="1516">
        <v>0.14499999999999999</v>
      </c>
      <c r="F311" s="1516">
        <v>0.14199999999999999</v>
      </c>
      <c r="G311" s="1517">
        <v>0.14000000000000001</v>
      </c>
    </row>
    <row r="312" spans="1:7">
      <c r="A312" s="1526" t="s">
        <v>305</v>
      </c>
      <c r="B312" s="1515" t="s">
        <v>1870</v>
      </c>
      <c r="C312" s="1516">
        <v>0.13800000000000001</v>
      </c>
      <c r="D312" s="1516">
        <v>0.14000000000000001</v>
      </c>
      <c r="E312" s="1516">
        <v>0.14599999999999999</v>
      </c>
      <c r="F312" s="1516">
        <v>0.14899999999999999</v>
      </c>
      <c r="G312" s="1517">
        <v>0.14199999999999999</v>
      </c>
    </row>
    <row r="313" spans="1:7">
      <c r="A313" s="1526" t="s">
        <v>305</v>
      </c>
      <c r="B313" s="1515" t="s">
        <v>1875</v>
      </c>
      <c r="C313" s="1516">
        <v>0.125</v>
      </c>
      <c r="D313" s="1516">
        <v>0.127</v>
      </c>
      <c r="E313" s="1516">
        <v>0.14399999999999999</v>
      </c>
      <c r="F313" s="1516">
        <v>0.115</v>
      </c>
      <c r="G313" s="1517">
        <v>0.13600000000000001</v>
      </c>
    </row>
    <row r="314" spans="1:7">
      <c r="A314" s="1526" t="s">
        <v>305</v>
      </c>
      <c r="B314" s="1515" t="s">
        <v>1880</v>
      </c>
      <c r="C314" s="1532"/>
      <c r="D314" s="1532"/>
      <c r="E314" s="1532"/>
      <c r="F314" s="1516">
        <v>0.05</v>
      </c>
      <c r="G314" s="1533"/>
    </row>
    <row r="315" spans="1:7">
      <c r="A315" s="1526" t="s">
        <v>305</v>
      </c>
      <c r="B315" s="1515" t="s">
        <v>1885</v>
      </c>
      <c r="C315" s="1532"/>
      <c r="D315" s="1532"/>
      <c r="E315" s="1532"/>
      <c r="F315" s="1516">
        <v>0.05</v>
      </c>
      <c r="G315" s="1533"/>
    </row>
    <row r="316" spans="1:7">
      <c r="A316" s="1526" t="s">
        <v>305</v>
      </c>
      <c r="B316" s="1515" t="s">
        <v>1890</v>
      </c>
      <c r="C316" s="1527"/>
      <c r="D316" s="1527"/>
      <c r="E316" s="1527"/>
      <c r="F316" s="1516">
        <v>0.05</v>
      </c>
      <c r="G316" s="1533"/>
    </row>
    <row r="317" spans="1:7">
      <c r="A317" s="1526" t="s">
        <v>305</v>
      </c>
      <c r="B317" s="1515" t="s">
        <v>1894</v>
      </c>
      <c r="C317" s="1527"/>
      <c r="D317" s="1527"/>
      <c r="E317" s="1527"/>
      <c r="F317" s="1516">
        <v>0.05</v>
      </c>
      <c r="G317" s="1533"/>
    </row>
    <row r="318" spans="1:7">
      <c r="A318" s="1526" t="s">
        <v>305</v>
      </c>
      <c r="B318" s="1515" t="s">
        <v>1898</v>
      </c>
      <c r="C318" s="1527"/>
      <c r="D318" s="1527"/>
      <c r="E318" s="1527"/>
      <c r="F318" s="1516">
        <v>0.05</v>
      </c>
      <c r="G318" s="1533"/>
    </row>
    <row r="319" spans="1:7">
      <c r="A319" s="1526" t="s">
        <v>305</v>
      </c>
      <c r="B319" s="1515" t="s">
        <v>1902</v>
      </c>
      <c r="C319" s="1527"/>
      <c r="D319" s="1527"/>
      <c r="E319" s="1527"/>
      <c r="F319" s="1516">
        <v>0.05</v>
      </c>
      <c r="G319" s="1533"/>
    </row>
    <row r="320" spans="1:7">
      <c r="A320" s="1526" t="s">
        <v>305</v>
      </c>
      <c r="B320" s="1515" t="s">
        <v>1905</v>
      </c>
      <c r="C320" s="1527"/>
      <c r="D320" s="1527"/>
      <c r="E320" s="1527"/>
      <c r="F320" s="1516">
        <v>0.05</v>
      </c>
      <c r="G320" s="1533"/>
    </row>
    <row r="321" spans="1:7">
      <c r="A321" s="1526" t="s">
        <v>305</v>
      </c>
      <c r="B321" s="1515" t="s">
        <v>1907</v>
      </c>
      <c r="C321" s="1527"/>
      <c r="D321" s="1527"/>
      <c r="E321" s="1527"/>
      <c r="F321" s="1516">
        <v>0.05</v>
      </c>
      <c r="G321" s="1533"/>
    </row>
    <row r="322" spans="1:7">
      <c r="A322" s="1526" t="s">
        <v>305</v>
      </c>
      <c r="B322" s="1515" t="s">
        <v>1909</v>
      </c>
      <c r="C322" s="1527"/>
      <c r="D322" s="1527"/>
      <c r="E322" s="1527"/>
      <c r="F322" s="1516">
        <v>0.05</v>
      </c>
      <c r="G322" s="1533"/>
    </row>
    <row r="323" spans="1:7">
      <c r="A323" s="1526" t="s">
        <v>305</v>
      </c>
      <c r="B323" s="1515" t="s">
        <v>1911</v>
      </c>
      <c r="C323" s="1527"/>
      <c r="D323" s="1527"/>
      <c r="E323" s="1527"/>
      <c r="F323" s="1516">
        <v>0.05</v>
      </c>
      <c r="G323" s="1533"/>
    </row>
    <row r="324" spans="1:7">
      <c r="A324" s="1526" t="s">
        <v>305</v>
      </c>
      <c r="B324" s="1515" t="s">
        <v>1913</v>
      </c>
      <c r="C324" s="1527"/>
      <c r="D324" s="1527"/>
      <c r="E324" s="1527"/>
      <c r="F324" s="1516">
        <v>0.05</v>
      </c>
      <c r="G324" s="1533"/>
    </row>
    <row r="325" spans="1:7">
      <c r="A325" s="1526" t="s">
        <v>305</v>
      </c>
      <c r="B325" s="1515" t="s">
        <v>1915</v>
      </c>
      <c r="C325" s="1527"/>
      <c r="D325" s="1527"/>
      <c r="E325" s="1527"/>
      <c r="F325" s="1516">
        <v>0.05</v>
      </c>
      <c r="G325" s="1533"/>
    </row>
    <row r="326" spans="1:7">
      <c r="A326" s="1529" t="s">
        <v>305</v>
      </c>
      <c r="B326" s="1519" t="s">
        <v>1917</v>
      </c>
      <c r="C326" s="1521"/>
      <c r="D326" s="1521"/>
      <c r="E326" s="1521"/>
      <c r="F326" s="1520">
        <v>0.05</v>
      </c>
      <c r="G326" s="1534"/>
    </row>
    <row r="327" spans="1:7">
      <c r="A327" s="1525" t="s">
        <v>309</v>
      </c>
      <c r="B327" s="1511" t="s">
        <v>1558</v>
      </c>
      <c r="C327" s="1512">
        <v>0.15</v>
      </c>
      <c r="D327" s="1512">
        <v>0.15</v>
      </c>
      <c r="E327" s="1512">
        <v>0.15</v>
      </c>
      <c r="F327" s="1512">
        <v>0.15</v>
      </c>
      <c r="G327" s="1513">
        <v>0.15</v>
      </c>
    </row>
    <row r="328" spans="1:7">
      <c r="A328" s="1526" t="s">
        <v>309</v>
      </c>
      <c r="B328" s="1515" t="s">
        <v>1571</v>
      </c>
      <c r="C328" s="1516">
        <v>0.15</v>
      </c>
      <c r="D328" s="1516">
        <v>0.15</v>
      </c>
      <c r="E328" s="1516">
        <v>0.15</v>
      </c>
      <c r="F328" s="1516">
        <v>0.126</v>
      </c>
      <c r="G328" s="1517">
        <v>0.15</v>
      </c>
    </row>
    <row r="329" spans="1:7">
      <c r="A329" s="1526" t="s">
        <v>309</v>
      </c>
      <c r="B329" s="1515" t="s">
        <v>1584</v>
      </c>
      <c r="C329" s="1516">
        <v>0.15</v>
      </c>
      <c r="D329" s="1516">
        <v>0.15</v>
      </c>
      <c r="E329" s="1516">
        <v>0.15</v>
      </c>
      <c r="F329" s="1516">
        <v>0.15</v>
      </c>
      <c r="G329" s="1517">
        <v>0.15</v>
      </c>
    </row>
    <row r="330" spans="1:7">
      <c r="A330" s="1526" t="s">
        <v>309</v>
      </c>
      <c r="B330" s="1515" t="s">
        <v>1596</v>
      </c>
      <c r="C330" s="1516">
        <v>0.15</v>
      </c>
      <c r="D330" s="1516">
        <v>0.15</v>
      </c>
      <c r="E330" s="1516">
        <v>0.15</v>
      </c>
      <c r="F330" s="1516">
        <v>0.15</v>
      </c>
      <c r="G330" s="1517">
        <v>0.15</v>
      </c>
    </row>
    <row r="331" spans="1:7">
      <c r="A331" s="1526" t="s">
        <v>309</v>
      </c>
      <c r="B331" s="1515" t="s">
        <v>1608</v>
      </c>
      <c r="C331" s="1516">
        <v>0.15</v>
      </c>
      <c r="D331" s="1516">
        <v>0.15</v>
      </c>
      <c r="E331" s="1516">
        <v>0.15</v>
      </c>
      <c r="F331" s="1516">
        <v>0.15</v>
      </c>
      <c r="G331" s="1517">
        <v>0.15</v>
      </c>
    </row>
    <row r="332" spans="1:7">
      <c r="A332" s="1526" t="s">
        <v>309</v>
      </c>
      <c r="B332" s="1515" t="s">
        <v>1619</v>
      </c>
      <c r="C332" s="1516">
        <v>0.15</v>
      </c>
      <c r="D332" s="1516">
        <v>0.15</v>
      </c>
      <c r="E332" s="1516">
        <v>0.15</v>
      </c>
      <c r="F332" s="1516">
        <v>0.15</v>
      </c>
      <c r="G332" s="1517">
        <v>0.15</v>
      </c>
    </row>
    <row r="333" spans="1:7">
      <c r="A333" s="1526" t="s">
        <v>309</v>
      </c>
      <c r="B333" s="1515" t="s">
        <v>1630</v>
      </c>
      <c r="C333" s="1516">
        <v>0.14899999999999999</v>
      </c>
      <c r="D333" s="1516">
        <v>0.14899999999999999</v>
      </c>
      <c r="E333" s="1516">
        <v>0.15</v>
      </c>
      <c r="F333" s="1516">
        <v>0.11600000000000001</v>
      </c>
      <c r="G333" s="1517">
        <v>0.15</v>
      </c>
    </row>
    <row r="334" spans="1:7">
      <c r="A334" s="1526" t="s">
        <v>309</v>
      </c>
      <c r="B334" s="1515" t="s">
        <v>1641</v>
      </c>
      <c r="C334" s="1516">
        <v>0.15</v>
      </c>
      <c r="D334" s="1516">
        <v>0.15</v>
      </c>
      <c r="E334" s="1516">
        <v>0.15</v>
      </c>
      <c r="F334" s="1516">
        <v>0.13</v>
      </c>
      <c r="G334" s="1517">
        <v>0.15</v>
      </c>
    </row>
    <row r="335" spans="1:7">
      <c r="A335" s="1526" t="s">
        <v>309</v>
      </c>
      <c r="B335" s="1515" t="s">
        <v>1651</v>
      </c>
      <c r="C335" s="1516">
        <v>0.15</v>
      </c>
      <c r="D335" s="1516">
        <v>0.15</v>
      </c>
      <c r="E335" s="1516">
        <v>0.15</v>
      </c>
      <c r="F335" s="1516">
        <v>0.14399999999999999</v>
      </c>
      <c r="G335" s="1517">
        <v>0.15</v>
      </c>
    </row>
    <row r="336" spans="1:7">
      <c r="A336" s="1526" t="s">
        <v>309</v>
      </c>
      <c r="B336" s="1515" t="s">
        <v>1661</v>
      </c>
      <c r="C336" s="1516">
        <v>0.15</v>
      </c>
      <c r="D336" s="1516">
        <v>0.15</v>
      </c>
      <c r="E336" s="1516">
        <v>0.15</v>
      </c>
      <c r="F336" s="1516">
        <v>0.14199999999999999</v>
      </c>
      <c r="G336" s="1517">
        <v>0.15</v>
      </c>
    </row>
    <row r="337" spans="1:7">
      <c r="A337" s="1526" t="s">
        <v>309</v>
      </c>
      <c r="B337" s="1515" t="s">
        <v>1671</v>
      </c>
      <c r="C337" s="1516">
        <v>0.15</v>
      </c>
      <c r="D337" s="1516">
        <v>0.15</v>
      </c>
      <c r="E337" s="1516">
        <v>0.15</v>
      </c>
      <c r="F337" s="1516">
        <v>0.14499999999999999</v>
      </c>
      <c r="G337" s="1517">
        <v>0.15</v>
      </c>
    </row>
    <row r="338" spans="1:7">
      <c r="A338" s="1526" t="s">
        <v>309</v>
      </c>
      <c r="B338" s="1515" t="s">
        <v>1681</v>
      </c>
      <c r="C338" s="1516">
        <v>0.15</v>
      </c>
      <c r="D338" s="1516">
        <v>0.15</v>
      </c>
      <c r="E338" s="1516">
        <v>0.15</v>
      </c>
      <c r="F338" s="1516">
        <v>0.15</v>
      </c>
      <c r="G338" s="1517">
        <v>0.15</v>
      </c>
    </row>
    <row r="339" spans="1:7">
      <c r="A339" s="1526" t="s">
        <v>309</v>
      </c>
      <c r="B339" s="1515" t="s">
        <v>1691</v>
      </c>
      <c r="C339" s="1516">
        <v>0.15</v>
      </c>
      <c r="D339" s="1516">
        <v>0.15</v>
      </c>
      <c r="E339" s="1516">
        <v>0.15</v>
      </c>
      <c r="F339" s="1516">
        <v>0.14699999999999999</v>
      </c>
      <c r="G339" s="1517">
        <v>0.15</v>
      </c>
    </row>
    <row r="340" spans="1:7">
      <c r="A340" s="1526" t="s">
        <v>309</v>
      </c>
      <c r="B340" s="1515" t="s">
        <v>1701</v>
      </c>
      <c r="C340" s="1516">
        <v>0.14599999999999999</v>
      </c>
      <c r="D340" s="1516">
        <v>0.14599999999999999</v>
      </c>
      <c r="E340" s="1516">
        <v>0.15</v>
      </c>
      <c r="F340" s="1516">
        <v>0.14099999999999999</v>
      </c>
      <c r="G340" s="1517">
        <v>0.14699999999999999</v>
      </c>
    </row>
    <row r="341" spans="1:7">
      <c r="A341" s="1526" t="s">
        <v>309</v>
      </c>
      <c r="B341" s="1515" t="s">
        <v>1711</v>
      </c>
      <c r="C341" s="1516">
        <v>0.126</v>
      </c>
      <c r="D341" s="1516">
        <v>0.124</v>
      </c>
      <c r="E341" s="1516">
        <v>0.14099999999999999</v>
      </c>
      <c r="F341" s="1516">
        <v>0.14399999999999999</v>
      </c>
      <c r="G341" s="1517">
        <v>0.13</v>
      </c>
    </row>
    <row r="342" spans="1:7">
      <c r="A342" s="1526" t="s">
        <v>309</v>
      </c>
      <c r="B342" s="1515" t="s">
        <v>1721</v>
      </c>
      <c r="C342" s="1516">
        <v>0.15</v>
      </c>
      <c r="D342" s="1516">
        <v>0.15</v>
      </c>
      <c r="E342" s="1516">
        <v>0.15</v>
      </c>
      <c r="F342" s="1516">
        <v>0.14399999999999999</v>
      </c>
      <c r="G342" s="1517">
        <v>0.15</v>
      </c>
    </row>
    <row r="343" spans="1:7">
      <c r="A343" s="1526" t="s">
        <v>309</v>
      </c>
      <c r="B343" s="1515" t="s">
        <v>1731</v>
      </c>
      <c r="C343" s="1516">
        <v>0.15</v>
      </c>
      <c r="D343" s="1516">
        <v>0.15</v>
      </c>
      <c r="E343" s="1516">
        <v>0.15</v>
      </c>
      <c r="F343" s="1516">
        <v>0.128</v>
      </c>
      <c r="G343" s="1517">
        <v>0.15</v>
      </c>
    </row>
    <row r="344" spans="1:7">
      <c r="A344" s="1526" t="s">
        <v>309</v>
      </c>
      <c r="B344" s="1515" t="s">
        <v>1741</v>
      </c>
      <c r="C344" s="1516">
        <v>0.15</v>
      </c>
      <c r="D344" s="1516">
        <v>0.15</v>
      </c>
      <c r="E344" s="1516">
        <v>0.15</v>
      </c>
      <c r="F344" s="1516">
        <v>0.14799999999999999</v>
      </c>
      <c r="G344" s="1517">
        <v>0.15</v>
      </c>
    </row>
    <row r="345" spans="1:7">
      <c r="A345" s="1526" t="s">
        <v>309</v>
      </c>
      <c r="B345" s="1515" t="s">
        <v>1751</v>
      </c>
      <c r="C345" s="1516">
        <v>0.15</v>
      </c>
      <c r="D345" s="1516">
        <v>0.15</v>
      </c>
      <c r="E345" s="1516">
        <v>0.15</v>
      </c>
      <c r="F345" s="1516">
        <v>0.13800000000000001</v>
      </c>
      <c r="G345" s="1517">
        <v>0.15</v>
      </c>
    </row>
    <row r="346" spans="1:7">
      <c r="A346" s="1526" t="s">
        <v>309</v>
      </c>
      <c r="B346" s="1515" t="s">
        <v>1761</v>
      </c>
      <c r="C346" s="1516">
        <v>0.15</v>
      </c>
      <c r="D346" s="1516">
        <v>0.15</v>
      </c>
      <c r="E346" s="1516">
        <v>0.15</v>
      </c>
      <c r="F346" s="1516">
        <v>0.14399999999999999</v>
      </c>
      <c r="G346" s="1517">
        <v>0.15</v>
      </c>
    </row>
    <row r="347" spans="1:7">
      <c r="A347" s="1526" t="s">
        <v>309</v>
      </c>
      <c r="B347" s="1515" t="s">
        <v>1770</v>
      </c>
      <c r="C347" s="1516">
        <v>0.15</v>
      </c>
      <c r="D347" s="1516">
        <v>0.15</v>
      </c>
      <c r="E347" s="1516">
        <v>0.15</v>
      </c>
      <c r="F347" s="1516">
        <v>0.14599999999999999</v>
      </c>
      <c r="G347" s="1517">
        <v>0.15</v>
      </c>
    </row>
    <row r="348" spans="1:7">
      <c r="A348" s="1526" t="s">
        <v>309</v>
      </c>
      <c r="B348" s="1515" t="s">
        <v>1778</v>
      </c>
      <c r="C348" s="1516">
        <v>0.15</v>
      </c>
      <c r="D348" s="1516">
        <v>0.15</v>
      </c>
      <c r="E348" s="1516">
        <v>0.15</v>
      </c>
      <c r="F348" s="1516">
        <v>0.14399999999999999</v>
      </c>
      <c r="G348" s="1517">
        <v>0.15</v>
      </c>
    </row>
    <row r="349" spans="1:7">
      <c r="A349" s="1526" t="s">
        <v>309</v>
      </c>
      <c r="B349" s="1515" t="s">
        <v>1786</v>
      </c>
      <c r="C349" s="1516">
        <v>0.15</v>
      </c>
      <c r="D349" s="1516">
        <v>0.15</v>
      </c>
      <c r="E349" s="1516">
        <v>0.15</v>
      </c>
      <c r="F349" s="1516">
        <v>0.15</v>
      </c>
      <c r="G349" s="1517">
        <v>0.15</v>
      </c>
    </row>
    <row r="350" spans="1:7">
      <c r="A350" s="1526" t="s">
        <v>309</v>
      </c>
      <c r="B350" s="1515" t="s">
        <v>1794</v>
      </c>
      <c r="C350" s="1516">
        <v>0.15</v>
      </c>
      <c r="D350" s="1516">
        <v>0.15</v>
      </c>
      <c r="E350" s="1516">
        <v>0.15</v>
      </c>
      <c r="F350" s="1516">
        <v>0.14699999999999999</v>
      </c>
      <c r="G350" s="1517">
        <v>0.15</v>
      </c>
    </row>
    <row r="351" spans="1:7">
      <c r="A351" s="1526" t="s">
        <v>309</v>
      </c>
      <c r="B351" s="1515" t="s">
        <v>1802</v>
      </c>
      <c r="C351" s="1516">
        <v>0.15</v>
      </c>
      <c r="D351" s="1516">
        <v>0.15</v>
      </c>
      <c r="E351" s="1516">
        <v>0.15</v>
      </c>
      <c r="F351" s="1516">
        <v>0.13</v>
      </c>
      <c r="G351" s="1517">
        <v>0.15</v>
      </c>
    </row>
    <row r="352" spans="1:7">
      <c r="A352" s="1526" t="s">
        <v>309</v>
      </c>
      <c r="B352" s="1515" t="s">
        <v>1809</v>
      </c>
      <c r="C352" s="1516">
        <v>0.15</v>
      </c>
      <c r="D352" s="1516">
        <v>0.15</v>
      </c>
      <c r="E352" s="1516">
        <v>0.15</v>
      </c>
      <c r="F352" s="1516">
        <v>0.14599999999999999</v>
      </c>
      <c r="G352" s="1517">
        <v>0.15</v>
      </c>
    </row>
    <row r="353" spans="1:7">
      <c r="A353" s="1526" t="s">
        <v>309</v>
      </c>
      <c r="B353" s="1515" t="s">
        <v>1816</v>
      </c>
      <c r="C353" s="1516">
        <v>0.15</v>
      </c>
      <c r="D353" s="1516">
        <v>0.15</v>
      </c>
      <c r="E353" s="1516">
        <v>0.15</v>
      </c>
      <c r="F353" s="1516">
        <v>0.14499999999999999</v>
      </c>
      <c r="G353" s="1517">
        <v>0.15</v>
      </c>
    </row>
    <row r="354" spans="1:7">
      <c r="A354" s="1526" t="s">
        <v>309</v>
      </c>
      <c r="B354" s="1515" t="s">
        <v>1823</v>
      </c>
      <c r="C354" s="1516">
        <v>0.15</v>
      </c>
      <c r="D354" s="1516">
        <v>0.15</v>
      </c>
      <c r="E354" s="1516">
        <v>0.15</v>
      </c>
      <c r="F354" s="1516">
        <v>0.14099999999999999</v>
      </c>
      <c r="G354" s="1517">
        <v>0.15</v>
      </c>
    </row>
    <row r="355" spans="1:7">
      <c r="A355" s="1526" t="s">
        <v>309</v>
      </c>
      <c r="B355" s="1515" t="s">
        <v>1830</v>
      </c>
      <c r="C355" s="1516">
        <v>0.15</v>
      </c>
      <c r="D355" s="1516">
        <v>0.15</v>
      </c>
      <c r="E355" s="1516">
        <v>0.15</v>
      </c>
      <c r="F355" s="1516">
        <v>0.15</v>
      </c>
      <c r="G355" s="1517">
        <v>0.15</v>
      </c>
    </row>
    <row r="356" spans="1:7">
      <c r="A356" s="1526" t="s">
        <v>309</v>
      </c>
      <c r="B356" s="1515" t="s">
        <v>1837</v>
      </c>
      <c r="C356" s="1516">
        <v>0.15</v>
      </c>
      <c r="D356" s="1516">
        <v>0.15</v>
      </c>
      <c r="E356" s="1516">
        <v>0.15</v>
      </c>
      <c r="F356" s="1516">
        <v>0.15</v>
      </c>
      <c r="G356" s="1517">
        <v>0.15</v>
      </c>
    </row>
    <row r="357" spans="1:7">
      <c r="A357" s="1529" t="s">
        <v>309</v>
      </c>
      <c r="B357" s="1519" t="s">
        <v>1844</v>
      </c>
      <c r="C357" s="1520">
        <v>0.126</v>
      </c>
      <c r="D357" s="1520">
        <v>0.127</v>
      </c>
      <c r="E357" s="1520">
        <v>0.14299999999999999</v>
      </c>
      <c r="F357" s="1520">
        <v>0.125</v>
      </c>
      <c r="G357" s="1522">
        <v>0.129</v>
      </c>
    </row>
    <row r="358" spans="1:7">
      <c r="A358" s="1525" t="s">
        <v>313</v>
      </c>
      <c r="B358" s="1511" t="s">
        <v>1559</v>
      </c>
      <c r="C358" s="1512">
        <v>0.15</v>
      </c>
      <c r="D358" s="1512">
        <v>0.15</v>
      </c>
      <c r="E358" s="1512">
        <v>0.15</v>
      </c>
      <c r="F358" s="1512">
        <v>0.15</v>
      </c>
      <c r="G358" s="1513">
        <v>0.15</v>
      </c>
    </row>
    <row r="359" spans="1:7">
      <c r="A359" s="1526" t="s">
        <v>313</v>
      </c>
      <c r="B359" s="1515" t="s">
        <v>1572</v>
      </c>
      <c r="C359" s="1516">
        <v>0.1</v>
      </c>
      <c r="D359" s="1516">
        <v>0.1</v>
      </c>
      <c r="E359" s="1516">
        <v>0.1</v>
      </c>
      <c r="F359" s="1516">
        <v>0.1</v>
      </c>
      <c r="G359" s="1517">
        <v>0.1</v>
      </c>
    </row>
    <row r="360" spans="1:7">
      <c r="A360" s="1526" t="s">
        <v>313</v>
      </c>
      <c r="B360" s="1515" t="s">
        <v>1585</v>
      </c>
      <c r="C360" s="1516">
        <v>0.15</v>
      </c>
      <c r="D360" s="1516">
        <v>0.15</v>
      </c>
      <c r="E360" s="1516">
        <v>0.15</v>
      </c>
      <c r="F360" s="1516">
        <v>0.14899999999999999</v>
      </c>
      <c r="G360" s="1517">
        <v>0.15</v>
      </c>
    </row>
    <row r="361" spans="1:7">
      <c r="A361" s="1526" t="s">
        <v>313</v>
      </c>
      <c r="B361" s="1515" t="s">
        <v>1597</v>
      </c>
      <c r="C361" s="1516">
        <v>0.15</v>
      </c>
      <c r="D361" s="1516">
        <v>0.15</v>
      </c>
      <c r="E361" s="1516">
        <v>0.15</v>
      </c>
      <c r="F361" s="1516">
        <v>0.115</v>
      </c>
      <c r="G361" s="1517">
        <v>0.15</v>
      </c>
    </row>
    <row r="362" spans="1:7">
      <c r="A362" s="1526" t="s">
        <v>313</v>
      </c>
      <c r="B362" s="1515" t="s">
        <v>1609</v>
      </c>
      <c r="C362" s="1516">
        <v>0.15</v>
      </c>
      <c r="D362" s="1516">
        <v>0.15</v>
      </c>
      <c r="E362" s="1516">
        <v>0.15</v>
      </c>
      <c r="F362" s="1516">
        <v>0.106</v>
      </c>
      <c r="G362" s="1517">
        <v>0.15</v>
      </c>
    </row>
    <row r="363" spans="1:7">
      <c r="A363" s="1526" t="s">
        <v>313</v>
      </c>
      <c r="B363" s="1515" t="s">
        <v>1620</v>
      </c>
      <c r="C363" s="1516">
        <v>0.15</v>
      </c>
      <c r="D363" s="1516">
        <v>0.15</v>
      </c>
      <c r="E363" s="1516">
        <v>0.15</v>
      </c>
      <c r="F363" s="1516">
        <v>0.14699999999999999</v>
      </c>
      <c r="G363" s="1517">
        <v>0.15</v>
      </c>
    </row>
    <row r="364" spans="1:7">
      <c r="A364" s="1526" t="s">
        <v>313</v>
      </c>
      <c r="B364" s="1515" t="s">
        <v>1631</v>
      </c>
      <c r="C364" s="1516">
        <v>0.15</v>
      </c>
      <c r="D364" s="1516">
        <v>0.15</v>
      </c>
      <c r="E364" s="1516">
        <v>0.15</v>
      </c>
      <c r="F364" s="1516">
        <v>0.14799999999999999</v>
      </c>
      <c r="G364" s="1517">
        <v>0.15</v>
      </c>
    </row>
    <row r="365" spans="1:7">
      <c r="A365" s="1526" t="s">
        <v>313</v>
      </c>
      <c r="B365" s="1515" t="s">
        <v>1642</v>
      </c>
      <c r="C365" s="1516">
        <v>0.15</v>
      </c>
      <c r="D365" s="1516">
        <v>0.15</v>
      </c>
      <c r="E365" s="1516">
        <v>0.15</v>
      </c>
      <c r="F365" s="1516">
        <v>0.15</v>
      </c>
      <c r="G365" s="1517">
        <v>0.15</v>
      </c>
    </row>
    <row r="366" spans="1:7">
      <c r="A366" s="1526" t="s">
        <v>313</v>
      </c>
      <c r="B366" s="1515" t="s">
        <v>1652</v>
      </c>
      <c r="C366" s="1516">
        <v>0.15</v>
      </c>
      <c r="D366" s="1516">
        <v>0.15</v>
      </c>
      <c r="E366" s="1516">
        <v>0.15</v>
      </c>
      <c r="F366" s="1516">
        <v>0.15</v>
      </c>
      <c r="G366" s="1517">
        <v>0.15</v>
      </c>
    </row>
    <row r="367" spans="1:7">
      <c r="A367" s="1526" t="s">
        <v>313</v>
      </c>
      <c r="B367" s="1515" t="s">
        <v>1662</v>
      </c>
      <c r="C367" s="1516">
        <v>0.15</v>
      </c>
      <c r="D367" s="1516">
        <v>0.15</v>
      </c>
      <c r="E367" s="1516">
        <v>0.15</v>
      </c>
      <c r="F367" s="1516">
        <v>0.14699999999999999</v>
      </c>
      <c r="G367" s="1517">
        <v>0.15</v>
      </c>
    </row>
    <row r="368" spans="1:7">
      <c r="A368" s="1526" t="s">
        <v>313</v>
      </c>
      <c r="B368" s="1515" t="s">
        <v>1672</v>
      </c>
      <c r="C368" s="1516">
        <v>0.15</v>
      </c>
      <c r="D368" s="1516">
        <v>0.15</v>
      </c>
      <c r="E368" s="1516">
        <v>0.15</v>
      </c>
      <c r="F368" s="1516">
        <v>0.13600000000000001</v>
      </c>
      <c r="G368" s="1517">
        <v>0.15</v>
      </c>
    </row>
    <row r="369" spans="1:7">
      <c r="A369" s="1526" t="s">
        <v>313</v>
      </c>
      <c r="B369" s="1515" t="s">
        <v>1682</v>
      </c>
      <c r="C369" s="1516">
        <v>0.15</v>
      </c>
      <c r="D369" s="1516">
        <v>0.15</v>
      </c>
      <c r="E369" s="1516">
        <v>0.15</v>
      </c>
      <c r="F369" s="1516">
        <v>0.14399999999999999</v>
      </c>
      <c r="G369" s="1517">
        <v>0.15</v>
      </c>
    </row>
    <row r="370" spans="1:7">
      <c r="A370" s="1526" t="s">
        <v>313</v>
      </c>
      <c r="B370" s="1515" t="s">
        <v>1692</v>
      </c>
      <c r="C370" s="1516">
        <v>0.15</v>
      </c>
      <c r="D370" s="1516">
        <v>0.15</v>
      </c>
      <c r="E370" s="1516">
        <v>0.15</v>
      </c>
      <c r="F370" s="1516">
        <v>0.14599999999999999</v>
      </c>
      <c r="G370" s="1517">
        <v>0.15</v>
      </c>
    </row>
    <row r="371" spans="1:7">
      <c r="A371" s="1526" t="s">
        <v>313</v>
      </c>
      <c r="B371" s="1515" t="s">
        <v>1702</v>
      </c>
      <c r="C371" s="1516">
        <v>0.15</v>
      </c>
      <c r="D371" s="1516">
        <v>0.15</v>
      </c>
      <c r="E371" s="1516">
        <v>0.15</v>
      </c>
      <c r="F371" s="1516">
        <v>0.12</v>
      </c>
      <c r="G371" s="1517">
        <v>0.15</v>
      </c>
    </row>
    <row r="372" spans="1:7">
      <c r="A372" s="1526" t="s">
        <v>313</v>
      </c>
      <c r="B372" s="1515" t="s">
        <v>1712</v>
      </c>
      <c r="C372" s="1516">
        <v>0.15</v>
      </c>
      <c r="D372" s="1516">
        <v>0.15</v>
      </c>
      <c r="E372" s="1516">
        <v>0.15</v>
      </c>
      <c r="F372" s="1516">
        <v>0.14299999999999999</v>
      </c>
      <c r="G372" s="1517">
        <v>0.15</v>
      </c>
    </row>
    <row r="373" spans="1:7">
      <c r="A373" s="1526" t="s">
        <v>313</v>
      </c>
      <c r="B373" s="1515" t="s">
        <v>1722</v>
      </c>
      <c r="C373" s="1516">
        <v>0.15</v>
      </c>
      <c r="D373" s="1516">
        <v>0.15</v>
      </c>
      <c r="E373" s="1516">
        <v>0.15</v>
      </c>
      <c r="F373" s="1516">
        <v>0.14599999999999999</v>
      </c>
      <c r="G373" s="1517">
        <v>0.15</v>
      </c>
    </row>
    <row r="374" spans="1:7">
      <c r="A374" s="1526" t="s">
        <v>313</v>
      </c>
      <c r="B374" s="1515" t="s">
        <v>1732</v>
      </c>
      <c r="C374" s="1516">
        <v>0.15</v>
      </c>
      <c r="D374" s="1516">
        <v>0.15</v>
      </c>
      <c r="E374" s="1516">
        <v>0.15</v>
      </c>
      <c r="F374" s="1516">
        <v>0.14399999999999999</v>
      </c>
      <c r="G374" s="1517">
        <v>0.15</v>
      </c>
    </row>
    <row r="375" spans="1:7">
      <c r="A375" s="1526" t="s">
        <v>313</v>
      </c>
      <c r="B375" s="1515" t="s">
        <v>1742</v>
      </c>
      <c r="C375" s="1516">
        <v>0.15</v>
      </c>
      <c r="D375" s="1516">
        <v>0.15</v>
      </c>
      <c r="E375" s="1516">
        <v>0.15</v>
      </c>
      <c r="F375" s="1516">
        <v>0.13</v>
      </c>
      <c r="G375" s="1517">
        <v>0.15</v>
      </c>
    </row>
    <row r="376" spans="1:7">
      <c r="A376" s="1526" t="s">
        <v>313</v>
      </c>
      <c r="B376" s="1515" t="s">
        <v>1752</v>
      </c>
      <c r="C376" s="1516">
        <v>0.15</v>
      </c>
      <c r="D376" s="1516">
        <v>0.15</v>
      </c>
      <c r="E376" s="1516">
        <v>0.15</v>
      </c>
      <c r="F376" s="1516">
        <v>0.14199999999999999</v>
      </c>
      <c r="G376" s="1517">
        <v>0.15</v>
      </c>
    </row>
    <row r="377" spans="1:7">
      <c r="A377" s="1529" t="s">
        <v>313</v>
      </c>
      <c r="B377" s="1519" t="s">
        <v>1762</v>
      </c>
      <c r="C377" s="1520">
        <v>0.15</v>
      </c>
      <c r="D377" s="1520">
        <v>0.15</v>
      </c>
      <c r="E377" s="1520">
        <v>0.15</v>
      </c>
      <c r="F377" s="1520">
        <v>0.14000000000000001</v>
      </c>
      <c r="G377" s="1522">
        <v>0.15</v>
      </c>
    </row>
    <row r="378" spans="1:7">
      <c r="A378" s="1525" t="s">
        <v>317</v>
      </c>
      <c r="B378" s="1511" t="s">
        <v>1560</v>
      </c>
      <c r="C378" s="1512">
        <v>0.15</v>
      </c>
      <c r="D378" s="1512">
        <v>0.15</v>
      </c>
      <c r="E378" s="1512">
        <v>0.15</v>
      </c>
      <c r="F378" s="1512">
        <v>0.107</v>
      </c>
      <c r="G378" s="1513">
        <v>0.15</v>
      </c>
    </row>
    <row r="379" spans="1:7">
      <c r="A379" s="1526" t="s">
        <v>317</v>
      </c>
      <c r="B379" s="1515" t="s">
        <v>1573</v>
      </c>
      <c r="C379" s="1516">
        <v>0.15</v>
      </c>
      <c r="D379" s="1516">
        <v>0.15</v>
      </c>
      <c r="E379" s="1516">
        <v>0.15</v>
      </c>
      <c r="F379" s="1516">
        <v>0.115</v>
      </c>
      <c r="G379" s="1517">
        <v>0.14899999999999999</v>
      </c>
    </row>
    <row r="380" spans="1:7">
      <c r="A380" s="1526" t="s">
        <v>317</v>
      </c>
      <c r="B380" s="1515" t="s">
        <v>1586</v>
      </c>
      <c r="C380" s="1516">
        <v>0.15</v>
      </c>
      <c r="D380" s="1516">
        <v>0.15</v>
      </c>
      <c r="E380" s="1516">
        <v>0.15</v>
      </c>
      <c r="F380" s="1516">
        <v>0.1</v>
      </c>
      <c r="G380" s="1517">
        <v>0.14799999999999999</v>
      </c>
    </row>
    <row r="381" spans="1:7">
      <c r="A381" s="1526" t="s">
        <v>317</v>
      </c>
      <c r="B381" s="1515" t="s">
        <v>1598</v>
      </c>
      <c r="C381" s="1516">
        <v>0.15</v>
      </c>
      <c r="D381" s="1516">
        <v>0.15</v>
      </c>
      <c r="E381" s="1516">
        <v>0.15</v>
      </c>
      <c r="F381" s="1516">
        <v>0.126</v>
      </c>
      <c r="G381" s="1517">
        <v>0.15</v>
      </c>
    </row>
    <row r="382" spans="1:7">
      <c r="A382" s="1526" t="s">
        <v>317</v>
      </c>
      <c r="B382" s="1515" t="s">
        <v>1610</v>
      </c>
      <c r="C382" s="1516">
        <v>0.15</v>
      </c>
      <c r="D382" s="1516">
        <v>0.15</v>
      </c>
      <c r="E382" s="1516">
        <v>0.15</v>
      </c>
      <c r="F382" s="1516">
        <v>0.15</v>
      </c>
      <c r="G382" s="1517">
        <v>0.15</v>
      </c>
    </row>
    <row r="383" spans="1:7">
      <c r="A383" s="1526" t="s">
        <v>317</v>
      </c>
      <c r="B383" s="1515" t="s">
        <v>1621</v>
      </c>
      <c r="C383" s="1516">
        <v>0.15</v>
      </c>
      <c r="D383" s="1516">
        <v>0.15</v>
      </c>
      <c r="E383" s="1516">
        <v>0.15</v>
      </c>
      <c r="F383" s="1516">
        <v>0.14699999999999999</v>
      </c>
      <c r="G383" s="1517">
        <v>0.15</v>
      </c>
    </row>
    <row r="384" spans="1:7">
      <c r="A384" s="1536" t="s">
        <v>317</v>
      </c>
      <c r="B384" s="1537" t="s">
        <v>1632</v>
      </c>
      <c r="C384" s="1538">
        <v>0.15</v>
      </c>
      <c r="D384" s="1538">
        <v>0.15</v>
      </c>
      <c r="E384" s="1538">
        <v>0.15</v>
      </c>
      <c r="F384" s="1538">
        <v>0.15</v>
      </c>
      <c r="G384" s="1539">
        <v>0.15</v>
      </c>
    </row>
  </sheetData>
  <sheetProtection password="CEE9" sheet="1" objects="1" scenarios="1"/>
  <mergeCells count="1">
    <mergeCell ref="A1:B1"/>
  </mergeCells>
  <phoneticPr fontId="25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7"/>
    <col min="2" max="6" width="9" style="1387" customWidth="1"/>
    <col min="7" max="7" width="9" style="1388" customWidth="1"/>
    <col min="8" max="12" width="9" style="1387" customWidth="1"/>
    <col min="13" max="13" width="2.25" style="1387" customWidth="1"/>
    <col min="14" max="14" width="9" style="1388" customWidth="1"/>
    <col min="15" max="17" width="9" style="1387" customWidth="1"/>
    <col min="18" max="18" width="2.375" style="1387" customWidth="1"/>
    <col min="19" max="19" width="7.125" style="1388" customWidth="1"/>
    <col min="20" max="22" width="7.125" style="1387" customWidth="1"/>
    <col min="23" max="23" width="24" style="1387" customWidth="1"/>
    <col min="24" max="25" width="9" style="1387"/>
    <col min="26" max="27" width="11.625" style="1387" customWidth="1"/>
    <col min="28" max="28" width="9" style="1387"/>
    <col min="29" max="29" width="2" style="1387" customWidth="1"/>
    <col min="30" max="16384" width="9" style="1387"/>
  </cols>
  <sheetData>
    <row r="1" spans="1:34" s="1379" customFormat="1">
      <c r="B1" s="3910" t="s">
        <v>1942</v>
      </c>
      <c r="C1" s="3910"/>
      <c r="D1" s="3910"/>
      <c r="E1" s="3910"/>
      <c r="F1" s="3910"/>
      <c r="G1" s="3911" t="s">
        <v>1943</v>
      </c>
      <c r="H1" s="3911"/>
      <c r="I1" s="3911"/>
      <c r="J1" s="3911"/>
      <c r="K1" s="3911"/>
      <c r="L1" s="3911"/>
      <c r="N1" s="3911" t="s">
        <v>1944</v>
      </c>
      <c r="O1" s="3911"/>
      <c r="P1" s="3911"/>
      <c r="Q1" s="3911"/>
      <c r="S1" s="3911" t="s">
        <v>1945</v>
      </c>
      <c r="T1" s="3911"/>
      <c r="U1" s="3911"/>
      <c r="V1" s="3911"/>
      <c r="X1" s="3912" t="s">
        <v>1946</v>
      </c>
      <c r="Y1" s="3911"/>
      <c r="Z1" s="3911"/>
      <c r="AA1" s="3911"/>
      <c r="AB1" s="3911"/>
      <c r="AD1" s="3912" t="s">
        <v>1947</v>
      </c>
      <c r="AE1" s="3911"/>
      <c r="AF1" s="3911"/>
      <c r="AG1" s="3911"/>
      <c r="AH1" s="3911"/>
    </row>
    <row r="2" spans="1:34" s="1380" customFormat="1" ht="13.5">
      <c r="B2" s="1389" t="s">
        <v>1113</v>
      </c>
      <c r="C2" s="1389" t="s">
        <v>1948</v>
      </c>
      <c r="D2" s="1390" t="s">
        <v>436</v>
      </c>
      <c r="E2" s="1390" t="s">
        <v>402</v>
      </c>
      <c r="F2" s="1389" t="s">
        <v>1949</v>
      </c>
      <c r="G2" s="1391"/>
      <c r="I2" s="1389" t="s">
        <v>1113</v>
      </c>
      <c r="J2" s="1390" t="s">
        <v>1325</v>
      </c>
      <c r="K2" s="1390" t="s">
        <v>402</v>
      </c>
      <c r="L2" s="1389" t="s">
        <v>1949</v>
      </c>
      <c r="N2" s="1389" t="s">
        <v>1113</v>
      </c>
      <c r="O2" s="1390" t="s">
        <v>1325</v>
      </c>
      <c r="P2" s="1390" t="s">
        <v>402</v>
      </c>
      <c r="Q2" s="1389" t="s">
        <v>1949</v>
      </c>
      <c r="S2" s="1389" t="s">
        <v>1113</v>
      </c>
      <c r="T2" s="1390" t="s">
        <v>1325</v>
      </c>
      <c r="U2" s="1390" t="s">
        <v>402</v>
      </c>
      <c r="V2" s="1389" t="s">
        <v>1949</v>
      </c>
      <c r="X2" s="1389" t="s">
        <v>1113</v>
      </c>
      <c r="Y2" s="1389" t="s">
        <v>1948</v>
      </c>
      <c r="Z2" s="1390" t="s">
        <v>436</v>
      </c>
      <c r="AA2" s="1390" t="s">
        <v>402</v>
      </c>
      <c r="AB2" s="1389" t="s">
        <v>1949</v>
      </c>
      <c r="AD2" s="1389" t="s">
        <v>1113</v>
      </c>
      <c r="AE2" s="1389" t="s">
        <v>1948</v>
      </c>
      <c r="AF2" s="1390" t="s">
        <v>436</v>
      </c>
      <c r="AG2" s="1390" t="s">
        <v>402</v>
      </c>
      <c r="AH2" s="1389" t="s">
        <v>1949</v>
      </c>
    </row>
    <row r="3" spans="1:34" s="1381" customFormat="1" ht="14.25">
      <c r="A3" s="1392" t="s">
        <v>1950</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25">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1951</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1952</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1953</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1954</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1955</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1956</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1957</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1958</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1959</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1960</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1961</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1962</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1963</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1964</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1965</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1966</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1967</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1968</v>
      </c>
      <c r="B22" s="1405">
        <f t="shared" si="11"/>
        <v>464.37293017158902</v>
      </c>
      <c r="C22" s="1405">
        <f t="shared" si="12"/>
        <v>344.73679941386001</v>
      </c>
      <c r="D22" s="1405">
        <f t="shared" si="2"/>
        <v>344.73679941386001</v>
      </c>
      <c r="E22" s="1405">
        <f t="shared" si="3"/>
        <v>663.23777951031104</v>
      </c>
      <c r="F22" s="1406">
        <f t="shared" si="4"/>
        <v>304.75936311478398</v>
      </c>
      <c r="G22" s="3913">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5" customHeight="1">
      <c r="A23" s="1401" t="s">
        <v>1969</v>
      </c>
      <c r="B23" s="1402">
        <f t="shared" si="11"/>
        <v>459.95733971036998</v>
      </c>
      <c r="C23" s="1402">
        <f t="shared" si="12"/>
        <v>341.22221064422399</v>
      </c>
      <c r="D23" s="1402">
        <f t="shared" si="2"/>
        <v>341.22221064422399</v>
      </c>
      <c r="E23" s="1402">
        <f t="shared" si="3"/>
        <v>657.19161663724799</v>
      </c>
      <c r="F23" s="1402">
        <f t="shared" si="4"/>
        <v>300.87803644464799</v>
      </c>
      <c r="G23" s="3913"/>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5" customHeight="1">
      <c r="A24" s="1401" t="s">
        <v>1970</v>
      </c>
      <c r="B24" s="1402">
        <f t="shared" si="11"/>
        <v>453.11529869999998</v>
      </c>
      <c r="C24" s="1402">
        <f t="shared" si="12"/>
        <v>336.47787263999999</v>
      </c>
      <c r="D24" s="1402">
        <f t="shared" si="2"/>
        <v>336.47787263999999</v>
      </c>
      <c r="E24" s="1402">
        <f t="shared" si="3"/>
        <v>647.35186824000004</v>
      </c>
      <c r="F24" s="1402">
        <f t="shared" si="4"/>
        <v>295.73229451999998</v>
      </c>
      <c r="G24" s="3913"/>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1971</v>
      </c>
      <c r="B25" s="1402">
        <f t="shared" si="11"/>
        <v>446.46300000000002</v>
      </c>
      <c r="C25" s="1402">
        <f t="shared" si="12"/>
        <v>333.27839999999998</v>
      </c>
      <c r="D25" s="1402">
        <f t="shared" ref="D25:D30" si="13">C25</f>
        <v>333.27839999999998</v>
      </c>
      <c r="E25" s="1402">
        <f t="shared" si="3"/>
        <v>637.28279999999995</v>
      </c>
      <c r="F25" s="1402">
        <f t="shared" si="4"/>
        <v>288.68830000000003</v>
      </c>
      <c r="G25" s="3914"/>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1972</v>
      </c>
      <c r="B26" s="1408">
        <v>439</v>
      </c>
      <c r="C26" s="1408">
        <v>327</v>
      </c>
      <c r="D26" s="1408">
        <f t="shared" si="13"/>
        <v>327</v>
      </c>
      <c r="E26" s="1408">
        <v>627</v>
      </c>
      <c r="F26" s="1409">
        <v>283</v>
      </c>
      <c r="G26" s="3915">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5" customHeight="1">
      <c r="A27" s="1401" t="s">
        <v>1973</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3"/>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5" customHeight="1">
      <c r="A28" s="1401" t="s">
        <v>1974</v>
      </c>
      <c r="B28" s="1402">
        <f t="shared" si="16"/>
        <v>419.31181600000002</v>
      </c>
      <c r="C28" s="1402">
        <f t="shared" si="16"/>
        <v>313.95436799999999</v>
      </c>
      <c r="D28" s="1402">
        <f t="shared" si="13"/>
        <v>313.95436799999999</v>
      </c>
      <c r="E28" s="1402">
        <f t="shared" si="17"/>
        <v>596.63028431999999</v>
      </c>
      <c r="F28" s="1402">
        <f t="shared" si="17"/>
        <v>274.74220703999998</v>
      </c>
      <c r="G28" s="3913"/>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1975</v>
      </c>
      <c r="B29" s="1402">
        <f t="shared" si="16"/>
        <v>405.524</v>
      </c>
      <c r="C29" s="1402">
        <f t="shared" si="16"/>
        <v>307.79840000000002</v>
      </c>
      <c r="D29" s="1402">
        <f t="shared" si="13"/>
        <v>307.79840000000002</v>
      </c>
      <c r="E29" s="1402">
        <f t="shared" si="17"/>
        <v>574.67759999999998</v>
      </c>
      <c r="F29" s="1402">
        <f t="shared" si="17"/>
        <v>270.20280000000002</v>
      </c>
      <c r="G29" s="3914"/>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1976</v>
      </c>
      <c r="B30" s="1410">
        <v>392</v>
      </c>
      <c r="C30" s="1410">
        <v>302</v>
      </c>
      <c r="D30" s="1410">
        <f t="shared" si="13"/>
        <v>302</v>
      </c>
      <c r="E30" s="1410">
        <v>553</v>
      </c>
      <c r="F30" s="1411">
        <v>266</v>
      </c>
      <c r="G30" s="3915">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1977</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3"/>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1978</v>
      </c>
      <c r="B32" s="1402">
        <f t="shared" si="19"/>
        <v>360.06949782209398</v>
      </c>
      <c r="C32" s="1402">
        <f t="shared" si="19"/>
        <v>289.84672674747799</v>
      </c>
      <c r="D32" s="1402">
        <f t="shared" si="20"/>
        <v>289.84672674747799</v>
      </c>
      <c r="E32" s="1402">
        <f t="shared" si="21"/>
        <v>501.06543001181501</v>
      </c>
      <c r="F32" s="1402">
        <f t="shared" si="21"/>
        <v>256.82882500745001</v>
      </c>
      <c r="G32" s="3913"/>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1979</v>
      </c>
      <c r="B33" s="1402">
        <f t="shared" si="19"/>
        <v>346.720748986128</v>
      </c>
      <c r="C33" s="1402">
        <f t="shared" si="19"/>
        <v>284.30282172386302</v>
      </c>
      <c r="D33" s="1402">
        <f t="shared" si="20"/>
        <v>284.30282172386302</v>
      </c>
      <c r="E33" s="1402">
        <f t="shared" si="21"/>
        <v>479.58023546306902</v>
      </c>
      <c r="F33" s="1402">
        <f t="shared" si="21"/>
        <v>253.25788877571199</v>
      </c>
      <c r="G33" s="3916"/>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1980</v>
      </c>
      <c r="B34" s="1410">
        <v>333</v>
      </c>
      <c r="C34" s="1410">
        <v>277</v>
      </c>
      <c r="D34" s="1410">
        <f t="shared" si="20"/>
        <v>277</v>
      </c>
      <c r="E34" s="1410">
        <v>459</v>
      </c>
      <c r="F34" s="1411">
        <v>249</v>
      </c>
      <c r="G34" s="3917">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1981</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3"/>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1982</v>
      </c>
      <c r="B36" s="1402">
        <f t="shared" si="23"/>
        <v>322.34053690220799</v>
      </c>
      <c r="C36" s="1402">
        <f t="shared" si="23"/>
        <v>271.461607704225</v>
      </c>
      <c r="D36" s="1402">
        <f t="shared" si="20"/>
        <v>271.461607704225</v>
      </c>
      <c r="E36" s="1402">
        <f t="shared" si="24"/>
        <v>442.69434542172502</v>
      </c>
      <c r="F36" s="1402">
        <f t="shared" si="24"/>
        <v>241.34030753190899</v>
      </c>
      <c r="G36" s="3913"/>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1983</v>
      </c>
      <c r="B37" s="1402">
        <f t="shared" si="23"/>
        <v>319.87748030386803</v>
      </c>
      <c r="C37" s="1402">
        <f t="shared" si="23"/>
        <v>269.60135833173598</v>
      </c>
      <c r="D37" s="1402">
        <f t="shared" si="20"/>
        <v>269.60135833173598</v>
      </c>
      <c r="E37" s="1402">
        <f t="shared" si="24"/>
        <v>439.18089823583801</v>
      </c>
      <c r="F37" s="1402">
        <f t="shared" si="24"/>
        <v>239.23503918706299</v>
      </c>
      <c r="G37" s="3916"/>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1984</v>
      </c>
      <c r="B38" s="1414">
        <v>318</v>
      </c>
      <c r="C38" s="1414">
        <v>268</v>
      </c>
      <c r="D38" s="1414">
        <f t="shared" si="20"/>
        <v>268</v>
      </c>
      <c r="E38" s="1414">
        <v>437</v>
      </c>
      <c r="F38" s="1415">
        <v>237</v>
      </c>
      <c r="G38" s="3917">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1985</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3"/>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1986</v>
      </c>
      <c r="B40" s="1402">
        <f t="shared" si="25"/>
        <v>314.721411723865</v>
      </c>
      <c r="C40" s="1402">
        <f t="shared" si="25"/>
        <v>263.03901319069001</v>
      </c>
      <c r="D40" s="1402">
        <f t="shared" si="20"/>
        <v>263.03901319069001</v>
      </c>
      <c r="E40" s="1402">
        <f t="shared" si="26"/>
        <v>433.65745506782798</v>
      </c>
      <c r="F40" s="1402">
        <f t="shared" si="26"/>
        <v>233.23005080045701</v>
      </c>
      <c r="G40" s="3913"/>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1987</v>
      </c>
      <c r="B41" s="1418">
        <f t="shared" si="25"/>
        <v>307.34512863658699</v>
      </c>
      <c r="C41" s="1418">
        <f t="shared" si="25"/>
        <v>257.80556031626998</v>
      </c>
      <c r="D41" s="1418">
        <f t="shared" si="20"/>
        <v>257.80556031626998</v>
      </c>
      <c r="E41" s="1418">
        <f t="shared" si="26"/>
        <v>422.70928459677202</v>
      </c>
      <c r="F41" s="1418">
        <f t="shared" si="26"/>
        <v>229.738032703366</v>
      </c>
      <c r="G41" s="3916"/>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1988</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1989</v>
      </c>
      <c r="B42" s="1410">
        <v>299</v>
      </c>
      <c r="C42" s="1410">
        <v>252</v>
      </c>
      <c r="D42" s="1410">
        <f t="shared" si="20"/>
        <v>252</v>
      </c>
      <c r="E42" s="1410">
        <v>409</v>
      </c>
      <c r="F42" s="1411">
        <v>227</v>
      </c>
      <c r="G42" s="3918">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1990</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19"/>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1991</v>
      </c>
      <c r="B44" s="1402">
        <f t="shared" si="27"/>
        <v>288.264905382878</v>
      </c>
      <c r="C44" s="1402">
        <f t="shared" si="27"/>
        <v>243.64564425013299</v>
      </c>
      <c r="D44" s="1402">
        <f t="shared" si="20"/>
        <v>243.64564425013299</v>
      </c>
      <c r="E44" s="1402">
        <f t="shared" si="28"/>
        <v>393.31080825986498</v>
      </c>
      <c r="F44" s="1402">
        <f t="shared" si="28"/>
        <v>223.079037905512</v>
      </c>
      <c r="G44" s="3919"/>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1992</v>
      </c>
      <c r="B45" s="1402">
        <f t="shared" si="27"/>
        <v>282.50186729015797</v>
      </c>
      <c r="C45" s="1402">
        <f t="shared" si="27"/>
        <v>238.097961741555</v>
      </c>
      <c r="D45" s="1402">
        <f t="shared" si="20"/>
        <v>238.097961741555</v>
      </c>
      <c r="E45" s="1402">
        <f t="shared" si="28"/>
        <v>385.33438646014099</v>
      </c>
      <c r="F45" s="1402">
        <f t="shared" si="28"/>
        <v>221.550340555677</v>
      </c>
      <c r="G45" s="3920"/>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1993</v>
      </c>
      <c r="B46" s="1421">
        <v>278</v>
      </c>
      <c r="C46" s="1421">
        <v>234</v>
      </c>
      <c r="D46" s="1421">
        <f t="shared" si="20"/>
        <v>234</v>
      </c>
      <c r="E46" s="1421">
        <v>379</v>
      </c>
      <c r="F46" s="1422">
        <v>220</v>
      </c>
      <c r="G46" s="3917">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1994</v>
      </c>
      <c r="B47" s="1402">
        <f>B46/(1+N46)</f>
        <v>275.49301357645402</v>
      </c>
      <c r="C47" s="1402">
        <f>C46/(1+O46)</f>
        <v>232.41954707985701</v>
      </c>
      <c r="D47" s="1402">
        <f t="shared" si="20"/>
        <v>232.41954707985701</v>
      </c>
      <c r="E47" s="1402">
        <f t="shared" ref="E47:F49" si="29">E46/(1+P46)</f>
        <v>375.32184591008098</v>
      </c>
      <c r="F47" s="1402">
        <f t="shared" si="29"/>
        <v>218.03766105054501</v>
      </c>
      <c r="G47" s="3913"/>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1995</v>
      </c>
      <c r="B48" s="1402">
        <f>B47/(1+N47)</f>
        <v>275.24529281292303</v>
      </c>
      <c r="C48" s="1402">
        <f>C47/(1+O47)</f>
        <v>231.74747938962699</v>
      </c>
      <c r="D48" s="1402">
        <f t="shared" si="20"/>
        <v>231.74747938962699</v>
      </c>
      <c r="E48" s="1402">
        <f t="shared" si="29"/>
        <v>375.35938184826603</v>
      </c>
      <c r="F48" s="1402">
        <f t="shared" si="29"/>
        <v>216.78033510692501</v>
      </c>
      <c r="G48" s="3913"/>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1996</v>
      </c>
      <c r="B49" s="1402">
        <f>B48/(1+N48)</f>
        <v>275.19025476196998</v>
      </c>
      <c r="C49" s="1423">
        <v>232</v>
      </c>
      <c r="D49" s="1423">
        <f t="shared" si="20"/>
        <v>232</v>
      </c>
      <c r="E49" s="1402">
        <f t="shared" si="29"/>
        <v>375.65990977608698</v>
      </c>
      <c r="F49" s="1402">
        <f t="shared" si="29"/>
        <v>214.12518283971301</v>
      </c>
      <c r="G49" s="3916"/>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1997</v>
      </c>
      <c r="B50" s="1410">
        <v>275</v>
      </c>
      <c r="C50" s="1410">
        <v>232</v>
      </c>
      <c r="D50" s="1410">
        <f t="shared" si="20"/>
        <v>232</v>
      </c>
      <c r="E50" s="1410">
        <v>376</v>
      </c>
      <c r="F50" s="1411">
        <v>213</v>
      </c>
      <c r="G50" s="3917">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1998</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3">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1999</v>
      </c>
      <c r="B52" s="1402">
        <f t="shared" si="30"/>
        <v>275.19335084830601</v>
      </c>
      <c r="C52" s="1402">
        <f t="shared" si="30"/>
        <v>230.18088050139701</v>
      </c>
      <c r="D52" s="1402">
        <f t="shared" si="20"/>
        <v>230.18088050139701</v>
      </c>
      <c r="E52" s="1402">
        <f t="shared" si="31"/>
        <v>377.58482925212297</v>
      </c>
      <c r="F52" s="1402">
        <f t="shared" si="31"/>
        <v>210.906879978479</v>
      </c>
      <c r="G52" s="3913">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2000</v>
      </c>
      <c r="B53" s="1402">
        <f t="shared" si="30"/>
        <v>276.29854502841999</v>
      </c>
      <c r="C53" s="1402">
        <f t="shared" si="30"/>
        <v>229.79023709833001</v>
      </c>
      <c r="D53" s="1402">
        <f t="shared" si="20"/>
        <v>229.79023709833001</v>
      </c>
      <c r="E53" s="1402">
        <f t="shared" si="31"/>
        <v>379.78759731655902</v>
      </c>
      <c r="F53" s="1402">
        <f t="shared" si="31"/>
        <v>211.32953905659201</v>
      </c>
      <c r="G53" s="3916">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2001</v>
      </c>
      <c r="B54" s="1410">
        <v>269</v>
      </c>
      <c r="C54" s="1410">
        <v>221</v>
      </c>
      <c r="D54" s="1410">
        <f t="shared" si="20"/>
        <v>221</v>
      </c>
      <c r="E54" s="1410">
        <v>373</v>
      </c>
      <c r="F54" s="1411">
        <v>196</v>
      </c>
      <c r="G54" s="3917">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2002</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3">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2003</v>
      </c>
      <c r="B56" s="1402">
        <f t="shared" si="32"/>
        <v>242.95398227588399</v>
      </c>
      <c r="C56" s="1402">
        <f t="shared" si="32"/>
        <v>199.591370536141</v>
      </c>
      <c r="D56" s="1402">
        <f t="shared" si="20"/>
        <v>199.591370536141</v>
      </c>
      <c r="E56" s="1402">
        <f t="shared" si="33"/>
        <v>335.92189522342102</v>
      </c>
      <c r="F56" s="1402">
        <f t="shared" si="33"/>
        <v>183.101399911095</v>
      </c>
      <c r="G56" s="3913">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2004</v>
      </c>
      <c r="B57" s="1402">
        <f t="shared" si="32"/>
        <v>232.06990378821601</v>
      </c>
      <c r="C57" s="1402">
        <f t="shared" si="32"/>
        <v>192.74878854286899</v>
      </c>
      <c r="D57" s="1402">
        <f t="shared" si="20"/>
        <v>192.74878854286899</v>
      </c>
      <c r="E57" s="1402">
        <f t="shared" si="33"/>
        <v>319.71247284993001</v>
      </c>
      <c r="F57" s="1402">
        <f t="shared" si="33"/>
        <v>175.670536228624</v>
      </c>
      <c r="G57" s="3916">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2005</v>
      </c>
      <c r="B58" s="1410">
        <v>220</v>
      </c>
      <c r="C58" s="1410">
        <v>187</v>
      </c>
      <c r="D58" s="1410">
        <f t="shared" si="20"/>
        <v>187</v>
      </c>
      <c r="E58" s="1410">
        <v>301</v>
      </c>
      <c r="F58" s="1411">
        <v>168</v>
      </c>
      <c r="G58" s="3917">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2006</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3">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2007</v>
      </c>
      <c r="B60" s="1402">
        <f t="shared" si="34"/>
        <v>210.630522469011</v>
      </c>
      <c r="C60" s="1402">
        <f t="shared" si="34"/>
        <v>181.695678122472</v>
      </c>
      <c r="D60" s="1402">
        <f t="shared" si="20"/>
        <v>181.695678122472</v>
      </c>
      <c r="E60" s="1402">
        <f t="shared" si="35"/>
        <v>286.13517466736698</v>
      </c>
      <c r="F60" s="1402">
        <f t="shared" si="35"/>
        <v>165.47535084591101</v>
      </c>
      <c r="G60" s="3913">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2008</v>
      </c>
      <c r="B61" s="1402">
        <f t="shared" si="34"/>
        <v>208.834545378754</v>
      </c>
      <c r="C61" s="1402">
        <f t="shared" si="34"/>
        <v>183.77230517090399</v>
      </c>
      <c r="D61" s="1402">
        <f t="shared" si="20"/>
        <v>183.77230517090399</v>
      </c>
      <c r="E61" s="1402">
        <f t="shared" si="35"/>
        <v>281.10342338870902</v>
      </c>
      <c r="F61" s="1402">
        <f t="shared" si="35"/>
        <v>168.97309388942301</v>
      </c>
      <c r="G61" s="3916">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2009</v>
      </c>
      <c r="B62" s="1421">
        <v>214</v>
      </c>
      <c r="C62" s="1421">
        <v>188</v>
      </c>
      <c r="D62" s="1421">
        <f t="shared" si="20"/>
        <v>188</v>
      </c>
      <c r="E62" s="1421">
        <v>289</v>
      </c>
      <c r="F62" s="1422">
        <v>166</v>
      </c>
      <c r="G62" s="3917">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2010</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3">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2011</v>
      </c>
      <c r="B64" s="1402">
        <f t="shared" si="36"/>
        <v>206.31694671589099</v>
      </c>
      <c r="C64" s="1402">
        <f t="shared" si="36"/>
        <v>183.61041121036101</v>
      </c>
      <c r="D64" s="1402">
        <f t="shared" si="20"/>
        <v>183.61041121036101</v>
      </c>
      <c r="E64" s="1402">
        <f t="shared" si="37"/>
        <v>276.66850301795603</v>
      </c>
      <c r="F64" s="1402">
        <f t="shared" si="37"/>
        <v>165.136093827861</v>
      </c>
      <c r="G64" s="3913">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2012</v>
      </c>
      <c r="B65" s="1460">
        <f t="shared" si="36"/>
        <v>196.62341248059801</v>
      </c>
      <c r="C65" s="1460">
        <f t="shared" si="36"/>
        <v>170.99125648199001</v>
      </c>
      <c r="D65" s="1460">
        <f t="shared" si="20"/>
        <v>170.99125648199001</v>
      </c>
      <c r="E65" s="1460">
        <f t="shared" si="37"/>
        <v>266.07857570490103</v>
      </c>
      <c r="F65" s="1460">
        <f t="shared" si="37"/>
        <v>154.53499328828499</v>
      </c>
      <c r="G65" s="3916">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2013</v>
      </c>
      <c r="B66" s="1410">
        <v>188</v>
      </c>
      <c r="C66" s="1410">
        <v>165</v>
      </c>
      <c r="D66" s="1410">
        <f t="shared" si="20"/>
        <v>165</v>
      </c>
      <c r="E66" s="1410">
        <v>254</v>
      </c>
      <c r="F66" s="1411">
        <v>148</v>
      </c>
      <c r="G66" s="3917">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2014</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3">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2015</v>
      </c>
      <c r="B68" s="1402">
        <f t="shared" si="40"/>
        <v>168.820177487156</v>
      </c>
      <c r="C68" s="1402">
        <f t="shared" si="40"/>
        <v>148.06267029972801</v>
      </c>
      <c r="D68" s="1402">
        <f t="shared" si="20"/>
        <v>148.06267029972801</v>
      </c>
      <c r="E68" s="1402">
        <f t="shared" si="41"/>
        <v>216.46288379323701</v>
      </c>
      <c r="F68" s="1402">
        <f t="shared" si="41"/>
        <v>134.23529411764699</v>
      </c>
      <c r="G68" s="3913">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2016</v>
      </c>
      <c r="B69" s="1402">
        <f t="shared" si="40"/>
        <v>163.849135917795</v>
      </c>
      <c r="C69" s="1402">
        <f t="shared" si="40"/>
        <v>145.028337874659</v>
      </c>
      <c r="D69" s="1402">
        <f t="shared" si="20"/>
        <v>145.028337874659</v>
      </c>
      <c r="E69" s="1402">
        <f t="shared" si="41"/>
        <v>204.95180722891601</v>
      </c>
      <c r="F69" s="1402">
        <f t="shared" si="41"/>
        <v>125.959203036053</v>
      </c>
      <c r="G69" s="3916">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2017</v>
      </c>
      <c r="B70" s="1414">
        <v>159</v>
      </c>
      <c r="C70" s="1414">
        <v>141</v>
      </c>
      <c r="D70" s="1414">
        <f t="shared" si="20"/>
        <v>141</v>
      </c>
      <c r="E70" s="1414">
        <v>195</v>
      </c>
      <c r="F70" s="1415">
        <v>122</v>
      </c>
      <c r="G70" s="3917">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2018</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3">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2019</v>
      </c>
      <c r="B72" s="1402">
        <f t="shared" si="44"/>
        <v>146.57412060301499</v>
      </c>
      <c r="C72" s="1402">
        <f t="shared" si="44"/>
        <v>136.468319559229</v>
      </c>
      <c r="D72" s="1402">
        <f t="shared" si="20"/>
        <v>136.468319559229</v>
      </c>
      <c r="E72" s="1402">
        <f t="shared" si="45"/>
        <v>166.73864894795099</v>
      </c>
      <c r="F72" s="1402">
        <f t="shared" si="45"/>
        <v>115.058823529412</v>
      </c>
      <c r="G72" s="3913">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2020</v>
      </c>
      <c r="B73" s="1402">
        <f t="shared" si="44"/>
        <v>144.04145728643201</v>
      </c>
      <c r="C73" s="1402">
        <f t="shared" si="44"/>
        <v>136.123966942149</v>
      </c>
      <c r="D73" s="1402">
        <f t="shared" si="20"/>
        <v>136.123966942149</v>
      </c>
      <c r="E73" s="1402">
        <f t="shared" si="45"/>
        <v>158.32225913621301</v>
      </c>
      <c r="F73" s="1402">
        <f t="shared" si="45"/>
        <v>114.04278074866301</v>
      </c>
      <c r="G73" s="3916">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2021</v>
      </c>
      <c r="B74" s="1414">
        <v>138</v>
      </c>
      <c r="C74" s="1414">
        <v>131</v>
      </c>
      <c r="D74" s="1414">
        <f t="shared" si="20"/>
        <v>131</v>
      </c>
      <c r="E74" s="1414">
        <v>155</v>
      </c>
      <c r="F74" s="1415">
        <v>114</v>
      </c>
      <c r="G74" s="3917">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2022</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3">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2023</v>
      </c>
      <c r="B76" s="1402">
        <f t="shared" si="48"/>
        <v>124.290322580645</v>
      </c>
      <c r="C76" s="1402">
        <f t="shared" si="48"/>
        <v>123.896860986547</v>
      </c>
      <c r="D76" s="1402">
        <f t="shared" si="20"/>
        <v>123.896860986547</v>
      </c>
      <c r="E76" s="1402">
        <f t="shared" si="49"/>
        <v>138.005076142132</v>
      </c>
      <c r="F76" s="1402">
        <f t="shared" si="49"/>
        <v>107.96106557377</v>
      </c>
      <c r="G76" s="3913">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2024</v>
      </c>
      <c r="B77" s="1402">
        <f t="shared" si="48"/>
        <v>122.57204301075301</v>
      </c>
      <c r="C77" s="1402">
        <f t="shared" si="48"/>
        <v>123.493273542601</v>
      </c>
      <c r="D77" s="1402">
        <f t="shared" si="20"/>
        <v>123.493273542601</v>
      </c>
      <c r="E77" s="1402">
        <f t="shared" si="49"/>
        <v>129.82233502538099</v>
      </c>
      <c r="F77" s="1402">
        <f t="shared" si="49"/>
        <v>107.39446721311501</v>
      </c>
      <c r="G77" s="3916">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2025</v>
      </c>
      <c r="B78" s="1421">
        <v>121</v>
      </c>
      <c r="C78" s="1421">
        <v>122</v>
      </c>
      <c r="D78" s="1421">
        <f t="shared" si="20"/>
        <v>122</v>
      </c>
      <c r="E78" s="1421">
        <v>124</v>
      </c>
      <c r="F78" s="1422">
        <v>107</v>
      </c>
      <c r="G78" s="3917">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2026</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3">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2027</v>
      </c>
      <c r="B80" s="1402">
        <f t="shared" si="52"/>
        <v>116.99099099099099</v>
      </c>
      <c r="C80" s="1402">
        <f t="shared" si="52"/>
        <v>118.848484848485</v>
      </c>
      <c r="D80" s="1402">
        <f t="shared" si="20"/>
        <v>118.848484848485</v>
      </c>
      <c r="E80" s="1402">
        <f t="shared" si="53"/>
        <v>117.60960960961</v>
      </c>
      <c r="F80" s="1402">
        <f t="shared" si="53"/>
        <v>104</v>
      </c>
      <c r="G80" s="3913">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2028</v>
      </c>
      <c r="B81" s="1460">
        <f t="shared" si="52"/>
        <v>112.486486486486</v>
      </c>
      <c r="C81" s="1460">
        <f t="shared" si="52"/>
        <v>115.212121212121</v>
      </c>
      <c r="D81" s="1460">
        <f t="shared" si="20"/>
        <v>115.212121212121</v>
      </c>
      <c r="E81" s="1460">
        <f t="shared" si="53"/>
        <v>110.402402402402</v>
      </c>
      <c r="F81" s="1460">
        <f t="shared" si="53"/>
        <v>104</v>
      </c>
      <c r="G81" s="3916">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2029</v>
      </c>
      <c r="B82" s="1463">
        <v>111</v>
      </c>
      <c r="C82" s="1463">
        <v>114</v>
      </c>
      <c r="D82" s="1463">
        <f t="shared" si="20"/>
        <v>114</v>
      </c>
      <c r="E82" s="1463">
        <v>108</v>
      </c>
      <c r="F82" s="1464">
        <v>104</v>
      </c>
      <c r="G82" s="3917">
        <v>2003</v>
      </c>
      <c r="H82" s="1462">
        <v>4</v>
      </c>
      <c r="I82" s="1485"/>
      <c r="J82" s="1485"/>
      <c r="K82" s="1485"/>
      <c r="L82" s="1485"/>
      <c r="N82" s="1486"/>
      <c r="O82" s="1485"/>
      <c r="P82" s="1485"/>
      <c r="Q82" s="1485"/>
      <c r="S82" s="1486"/>
      <c r="T82" s="1485"/>
      <c r="U82" s="1485"/>
      <c r="V82" s="1485"/>
      <c r="X82" s="1492"/>
      <c r="Y82" s="1492"/>
      <c r="Z82" s="1492"/>
    </row>
    <row r="83" spans="1:26">
      <c r="A83" s="1401" t="s">
        <v>2030</v>
      </c>
      <c r="B83" s="1465">
        <f t="shared" ref="B83:C85" si="54">B84+(B$82-B$86)/4</f>
        <v>109.75</v>
      </c>
      <c r="C83" s="1465">
        <f t="shared" si="54"/>
        <v>112.25</v>
      </c>
      <c r="D83" s="1465">
        <f t="shared" si="20"/>
        <v>112.25</v>
      </c>
      <c r="E83" s="1465">
        <f t="shared" ref="E83:F85" si="55">E84+(E$82-E$86)/4</f>
        <v>107.25</v>
      </c>
      <c r="F83" s="1465">
        <f t="shared" si="55"/>
        <v>103.5</v>
      </c>
      <c r="G83" s="3913">
        <v>2003</v>
      </c>
      <c r="H83" s="1413">
        <v>3</v>
      </c>
      <c r="I83" s="1485"/>
      <c r="J83" s="1485"/>
      <c r="K83" s="1485"/>
      <c r="L83" s="1485"/>
      <c r="X83" s="1492"/>
      <c r="Y83" s="1492"/>
      <c r="Z83" s="1492"/>
    </row>
    <row r="84" spans="1:26">
      <c r="A84" s="1401" t="s">
        <v>2031</v>
      </c>
      <c r="B84" s="1465">
        <f t="shared" si="54"/>
        <v>108.5</v>
      </c>
      <c r="C84" s="1465">
        <f t="shared" si="54"/>
        <v>110.5</v>
      </c>
      <c r="D84" s="1465">
        <f t="shared" si="20"/>
        <v>110.5</v>
      </c>
      <c r="E84" s="1465">
        <f t="shared" si="55"/>
        <v>106.5</v>
      </c>
      <c r="F84" s="1465">
        <f t="shared" si="55"/>
        <v>103</v>
      </c>
      <c r="G84" s="3913">
        <v>2003</v>
      </c>
      <c r="H84" s="1407">
        <v>2</v>
      </c>
      <c r="I84" s="1485"/>
      <c r="J84" s="1485"/>
      <c r="K84" s="1485"/>
      <c r="L84" s="1485"/>
      <c r="X84" s="1492"/>
      <c r="Y84" s="1492"/>
      <c r="Z84" s="1492"/>
    </row>
    <row r="85" spans="1:26">
      <c r="A85" s="1401" t="s">
        <v>2032</v>
      </c>
      <c r="B85" s="1465">
        <f t="shared" si="54"/>
        <v>107.25</v>
      </c>
      <c r="C85" s="1465">
        <f t="shared" si="54"/>
        <v>108.75</v>
      </c>
      <c r="D85" s="1465">
        <f t="shared" si="20"/>
        <v>108.75</v>
      </c>
      <c r="E85" s="1465">
        <f t="shared" si="55"/>
        <v>105.75</v>
      </c>
      <c r="F85" s="1465">
        <f t="shared" si="55"/>
        <v>102.5</v>
      </c>
      <c r="G85" s="3916">
        <v>2003</v>
      </c>
      <c r="H85" s="1466">
        <v>1</v>
      </c>
      <c r="I85" s="1485"/>
      <c r="J85" s="1485"/>
      <c r="K85" s="1485"/>
      <c r="L85" s="1485"/>
      <c r="S85" s="1428"/>
      <c r="T85" s="1429"/>
      <c r="U85" s="1429"/>
      <c r="X85" s="1492"/>
      <c r="Y85" s="1492"/>
      <c r="Z85" s="1492"/>
    </row>
    <row r="86" spans="1:26">
      <c r="A86" s="1401" t="s">
        <v>2033</v>
      </c>
      <c r="B86" s="1467">
        <v>106</v>
      </c>
      <c r="C86" s="1467">
        <v>107</v>
      </c>
      <c r="D86" s="1467">
        <f t="shared" si="20"/>
        <v>107</v>
      </c>
      <c r="E86" s="1467">
        <v>105</v>
      </c>
      <c r="F86" s="1468">
        <v>102</v>
      </c>
      <c r="G86" s="3917">
        <v>2002</v>
      </c>
      <c r="H86" s="1412">
        <v>4</v>
      </c>
      <c r="I86" s="1485"/>
      <c r="J86" s="1485"/>
      <c r="K86" s="1485"/>
      <c r="L86" s="1485"/>
      <c r="N86" s="1486"/>
      <c r="O86" s="1485"/>
      <c r="P86" s="1485"/>
      <c r="Q86" s="1485"/>
      <c r="S86" s="1486"/>
      <c r="T86" s="1485"/>
      <c r="U86" s="1485"/>
      <c r="V86" s="1485"/>
      <c r="X86" s="1492"/>
      <c r="Y86" s="1492"/>
      <c r="Z86" s="1492"/>
    </row>
    <row r="87" spans="1:26">
      <c r="A87" s="1401" t="s">
        <v>2034</v>
      </c>
      <c r="B87" s="1465">
        <f t="shared" ref="B87:C89" si="56">B88+(B$86-B$90)/4</f>
        <v>105</v>
      </c>
      <c r="C87" s="1465">
        <f t="shared" si="56"/>
        <v>106</v>
      </c>
      <c r="D87" s="1465">
        <f t="shared" si="20"/>
        <v>106</v>
      </c>
      <c r="E87" s="1465">
        <f t="shared" ref="E87:F89" si="57">E88+(E$86-E$90)/4</f>
        <v>104.5</v>
      </c>
      <c r="F87" s="1465">
        <f t="shared" si="57"/>
        <v>101.5</v>
      </c>
      <c r="G87" s="3913">
        <v>2002</v>
      </c>
      <c r="H87" s="1413">
        <v>3</v>
      </c>
      <c r="I87" s="1485"/>
      <c r="J87" s="1485"/>
      <c r="K87" s="1485"/>
      <c r="L87" s="1485"/>
      <c r="X87" s="1492"/>
      <c r="Y87" s="1492"/>
      <c r="Z87" s="1492"/>
    </row>
    <row r="88" spans="1:26">
      <c r="A88" s="1401" t="s">
        <v>2035</v>
      </c>
      <c r="B88" s="1465">
        <f t="shared" si="56"/>
        <v>104</v>
      </c>
      <c r="C88" s="1465">
        <f t="shared" si="56"/>
        <v>105</v>
      </c>
      <c r="D88" s="1465">
        <f t="shared" si="20"/>
        <v>105</v>
      </c>
      <c r="E88" s="1465">
        <f t="shared" si="57"/>
        <v>104</v>
      </c>
      <c r="F88" s="1465">
        <f t="shared" si="57"/>
        <v>101</v>
      </c>
      <c r="G88" s="3913">
        <v>2002</v>
      </c>
      <c r="H88" s="1407">
        <v>2</v>
      </c>
      <c r="I88" s="1485"/>
      <c r="J88" s="1485"/>
      <c r="K88" s="1485"/>
      <c r="L88" s="1485"/>
      <c r="X88" s="1492"/>
      <c r="Y88" s="1492"/>
      <c r="Z88" s="1492"/>
    </row>
    <row r="89" spans="1:26" s="1384" customFormat="1">
      <c r="A89" s="1417" t="s">
        <v>2036</v>
      </c>
      <c r="B89" s="1451">
        <f t="shared" si="56"/>
        <v>103</v>
      </c>
      <c r="C89" s="1451">
        <f t="shared" si="56"/>
        <v>104</v>
      </c>
      <c r="D89" s="1451">
        <f t="shared" si="20"/>
        <v>104</v>
      </c>
      <c r="E89" s="1451">
        <f t="shared" si="57"/>
        <v>103.5</v>
      </c>
      <c r="F89" s="1451">
        <f t="shared" si="57"/>
        <v>100.5</v>
      </c>
      <c r="G89" s="3916">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2037</v>
      </c>
      <c r="G92" s="1474"/>
      <c r="N92" s="1474"/>
      <c r="S92" s="1474"/>
    </row>
    <row r="93" spans="1:26" s="1386" customFormat="1">
      <c r="A93" s="1386" t="s">
        <v>2038</v>
      </c>
      <c r="G93" s="1474"/>
      <c r="N93" s="1474"/>
      <c r="S93" s="1474"/>
    </row>
    <row r="94" spans="1:26" s="1386" customFormat="1">
      <c r="A94" s="1386" t="s">
        <v>2039</v>
      </c>
      <c r="G94" s="1474"/>
      <c r="I94" s="1489"/>
      <c r="J94" s="1489"/>
      <c r="K94" s="1489"/>
      <c r="L94" s="1489"/>
      <c r="N94" s="1490"/>
      <c r="O94" s="1489"/>
      <c r="P94" s="1489"/>
      <c r="Q94" s="1489"/>
      <c r="S94" s="1490"/>
      <c r="T94" s="1489"/>
      <c r="U94" s="1489"/>
      <c r="V94" s="1489"/>
    </row>
    <row r="95" spans="1:26" s="1386" customFormat="1">
      <c r="A95" s="1386" t="s">
        <v>2040</v>
      </c>
      <c r="G95" s="1474"/>
      <c r="N95" s="1474"/>
      <c r="S95" s="1474"/>
    </row>
    <row r="103" spans="7:22">
      <c r="G103" s="1387"/>
      <c r="S103" s="1495" t="s">
        <v>2041</v>
      </c>
      <c r="T103" s="1496" t="s">
        <v>2042</v>
      </c>
      <c r="U103" s="1496" t="s">
        <v>2043</v>
      </c>
      <c r="V103" s="1496" t="s">
        <v>2044</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56.25">
      <c r="A7" s="3614" t="s">
        <v>84</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18.75">
      <c r="A21" s="3602" t="s">
        <v>91</v>
      </c>
    </row>
    <row r="22" spans="1:1" ht="93.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2">
        <f>基准地价!G23</f>
        <v>45257</v>
      </c>
      <c r="B1" s="1303" t="s">
        <v>2045</v>
      </c>
      <c r="C1" s="1304"/>
      <c r="D1" s="1304"/>
      <c r="E1" s="1304"/>
      <c r="F1" s="1304"/>
      <c r="G1" s="1304"/>
      <c r="H1" s="1304"/>
      <c r="I1" s="1304"/>
      <c r="J1" s="1334"/>
      <c r="K1" s="1304" t="s">
        <v>1944</v>
      </c>
      <c r="L1" s="1304"/>
      <c r="M1" s="1304"/>
      <c r="N1" s="1304"/>
      <c r="O1" s="1304"/>
      <c r="P1" s="1304"/>
      <c r="Q1" s="1334"/>
      <c r="R1" s="3921" t="s">
        <v>1946</v>
      </c>
      <c r="S1" s="3922"/>
      <c r="T1" s="3922"/>
      <c r="U1" s="3922"/>
      <c r="V1" s="3922"/>
      <c r="W1" s="3922"/>
      <c r="X1" s="1334"/>
      <c r="Y1" s="3921" t="s">
        <v>1947</v>
      </c>
      <c r="Z1" s="3922"/>
      <c r="AA1" s="3922"/>
      <c r="AB1" s="3922"/>
      <c r="AC1" s="3922"/>
      <c r="AD1" s="3922"/>
    </row>
    <row r="2" spans="1:30">
      <c r="A2" s="1305"/>
      <c r="B2" s="1306"/>
      <c r="C2" s="1307"/>
      <c r="D2" s="1308" t="s">
        <v>2046</v>
      </c>
      <c r="E2" s="1309" t="s">
        <v>435</v>
      </c>
      <c r="F2" s="1309" t="s">
        <v>436</v>
      </c>
      <c r="G2" s="1309" t="s">
        <v>402</v>
      </c>
      <c r="H2" s="1309" t="s">
        <v>164</v>
      </c>
      <c r="I2" s="1309" t="s">
        <v>297</v>
      </c>
      <c r="J2" s="1335"/>
      <c r="K2" s="1308" t="s">
        <v>2046</v>
      </c>
      <c r="L2" s="1309" t="s">
        <v>435</v>
      </c>
      <c r="M2" s="1309" t="s">
        <v>436</v>
      </c>
      <c r="N2" s="1309" t="s">
        <v>402</v>
      </c>
      <c r="O2" s="1309" t="s">
        <v>164</v>
      </c>
      <c r="P2" s="1309" t="s">
        <v>297</v>
      </c>
      <c r="Q2" s="1335"/>
      <c r="R2" s="1308" t="s">
        <v>2046</v>
      </c>
      <c r="S2" s="1309" t="s">
        <v>435</v>
      </c>
      <c r="T2" s="1309" t="s">
        <v>436</v>
      </c>
      <c r="U2" s="1309" t="s">
        <v>402</v>
      </c>
      <c r="V2" s="1309" t="s">
        <v>164</v>
      </c>
      <c r="W2" s="1309" t="s">
        <v>297</v>
      </c>
      <c r="X2" s="1335"/>
      <c r="Y2" s="1308" t="s">
        <v>2046</v>
      </c>
      <c r="Z2" s="1309" t="s">
        <v>435</v>
      </c>
      <c r="AA2" s="1309" t="s">
        <v>436</v>
      </c>
      <c r="AB2" s="1309" t="s">
        <v>402</v>
      </c>
      <c r="AC2" s="1309" t="s">
        <v>164</v>
      </c>
      <c r="AD2" s="1309" t="s">
        <v>297</v>
      </c>
    </row>
    <row r="3" spans="1:30">
      <c r="A3" s="1310" t="s">
        <v>1950</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2047</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2048</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2049</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2050</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2051</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1951</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1952</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1953</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1954</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1955</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1956</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1957</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1958</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1959</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2052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2053</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2054</v>
      </c>
      <c r="C23" s="1304"/>
      <c r="D23" s="1304"/>
      <c r="E23" s="1304"/>
      <c r="F23" s="1304"/>
      <c r="G23" s="1304"/>
      <c r="H23" s="1304"/>
      <c r="I23" s="1304"/>
      <c r="J23" s="1334"/>
      <c r="K23" s="1304" t="s">
        <v>1944</v>
      </c>
      <c r="L23" s="1304"/>
      <c r="M23" s="1304"/>
      <c r="N23" s="1304"/>
      <c r="O23" s="1304"/>
      <c r="P23" s="1304"/>
      <c r="Q23" s="1334"/>
      <c r="R23" s="3921" t="s">
        <v>1946</v>
      </c>
      <c r="S23" s="3922"/>
      <c r="T23" s="3922"/>
      <c r="U23" s="3922"/>
      <c r="V23" s="3922"/>
      <c r="W23" s="3922"/>
      <c r="X23" s="1334"/>
      <c r="Y23" s="3921" t="s">
        <v>1947</v>
      </c>
      <c r="Z23" s="3922"/>
      <c r="AA23" s="3922"/>
      <c r="AB23" s="3922"/>
      <c r="AC23" s="3922"/>
      <c r="AD23" s="3922"/>
    </row>
    <row r="24" spans="1:30">
      <c r="A24" s="1305"/>
      <c r="B24" s="1306"/>
      <c r="C24" s="1307"/>
      <c r="D24" s="1308" t="s">
        <v>2046</v>
      </c>
      <c r="E24" s="1309" t="s">
        <v>435</v>
      </c>
      <c r="F24" s="1309" t="s">
        <v>436</v>
      </c>
      <c r="G24" s="1309" t="s">
        <v>402</v>
      </c>
      <c r="H24" s="1309"/>
      <c r="I24" s="1309" t="s">
        <v>297</v>
      </c>
      <c r="J24" s="1335"/>
      <c r="K24" s="1308" t="s">
        <v>2046</v>
      </c>
      <c r="L24" s="1309" t="s">
        <v>435</v>
      </c>
      <c r="M24" s="1309" t="s">
        <v>436</v>
      </c>
      <c r="N24" s="1309" t="s">
        <v>402</v>
      </c>
      <c r="O24" s="1309"/>
      <c r="P24" s="1309" t="s">
        <v>297</v>
      </c>
      <c r="Q24" s="1335"/>
      <c r="R24" s="1308" t="s">
        <v>2046</v>
      </c>
      <c r="S24" s="1309" t="s">
        <v>435</v>
      </c>
      <c r="T24" s="1309" t="s">
        <v>436</v>
      </c>
      <c r="U24" s="1309" t="s">
        <v>402</v>
      </c>
      <c r="V24" s="1309"/>
      <c r="W24" s="1309" t="s">
        <v>297</v>
      </c>
      <c r="X24" s="1335"/>
      <c r="Y24" s="1308" t="s">
        <v>2046</v>
      </c>
      <c r="Z24" s="1309" t="s">
        <v>435</v>
      </c>
      <c r="AA24" s="1309" t="s">
        <v>436</v>
      </c>
      <c r="AB24" s="1309" t="s">
        <v>402</v>
      </c>
      <c r="AC24" s="1309"/>
      <c r="AD24" s="1309" t="s">
        <v>297</v>
      </c>
    </row>
    <row r="25" spans="1:30">
      <c r="A25" s="1310" t="s">
        <v>1950</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2047</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2048</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2049</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2050</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2051</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1951</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1952</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1953</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1954</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1955</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1956</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1957</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1958</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1959</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2055</v>
      </c>
    </row>
  </sheetData>
  <sheetProtection password="CEE9" sheet="1" objects="1" scenarios="1"/>
  <mergeCells count="4">
    <mergeCell ref="R1:W1"/>
    <mergeCell ref="Y1:AD1"/>
    <mergeCell ref="R23:W23"/>
    <mergeCell ref="Y23:AD23"/>
  </mergeCells>
  <phoneticPr fontId="25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89" customWidth="1"/>
    <col min="2" max="2" width="12.5" style="1289" customWidth="1"/>
    <col min="3" max="3" width="12.125" style="1289" customWidth="1"/>
    <col min="4" max="4" width="16.625" style="1289" customWidth="1"/>
    <col min="5" max="5" width="12.5" style="1289" customWidth="1"/>
    <col min="6" max="6" width="12.75" style="1289" customWidth="1"/>
    <col min="7" max="16384" width="8.875" style="1289"/>
  </cols>
  <sheetData>
    <row r="1" spans="1:14" ht="20.25">
      <c r="A1" s="1290" t="s">
        <v>330</v>
      </c>
      <c r="B1" s="1291"/>
      <c r="C1" s="1291"/>
      <c r="D1" s="1291"/>
      <c r="E1" s="1291"/>
      <c r="F1" s="1291"/>
      <c r="G1" s="1292"/>
      <c r="H1" s="1292"/>
      <c r="I1" s="1292"/>
      <c r="J1" s="1292"/>
      <c r="K1" s="1292"/>
      <c r="L1" s="1292"/>
      <c r="M1" s="1292"/>
      <c r="N1" s="1292"/>
    </row>
    <row r="2" spans="1:14" ht="14.25">
      <c r="A2" s="1293" t="s">
        <v>1140</v>
      </c>
      <c r="B2" s="1294">
        <f ca="1">SUMIF(B7:B14,"&lt;&gt;#ref!",B7:B14)</f>
        <v>0</v>
      </c>
      <c r="C2" s="1293" t="s">
        <v>997</v>
      </c>
      <c r="D2" s="1295"/>
      <c r="E2" s="1295"/>
      <c r="F2" s="1295"/>
      <c r="G2" s="1292"/>
      <c r="H2" s="1292"/>
      <c r="I2" s="1292"/>
      <c r="J2" s="1292"/>
      <c r="K2" s="1292"/>
      <c r="L2" s="1292"/>
      <c r="M2" s="1292"/>
      <c r="N2" s="1292"/>
    </row>
    <row r="3" spans="1:14" ht="14.25">
      <c r="A3" s="1293" t="s">
        <v>963</v>
      </c>
      <c r="B3" s="1294" t="e">
        <f ca="1">ROUND(B2*10000/E3,0)</f>
        <v>#DIV/0!</v>
      </c>
      <c r="C3" s="1293" t="s">
        <v>1142</v>
      </c>
      <c r="D3" s="1293" t="s">
        <v>2056</v>
      </c>
      <c r="E3" s="1296">
        <f ca="1">SUMIF(E7:E14,"&lt;&gt;#ref!",E7:E14)</f>
        <v>0</v>
      </c>
      <c r="F3" s="1295"/>
      <c r="G3" s="1292"/>
      <c r="H3" s="1292"/>
      <c r="I3" s="1292"/>
      <c r="J3" s="1292"/>
      <c r="K3" s="1292"/>
      <c r="L3" s="1292"/>
      <c r="M3" s="1292"/>
      <c r="N3" s="1292"/>
    </row>
    <row r="4" spans="1:14" ht="14.25">
      <c r="A4" s="1293" t="s">
        <v>1147</v>
      </c>
      <c r="B4" s="1294" t="e">
        <f ca="1">ROUND(B2*10000/E4,0)</f>
        <v>#DIV/0!</v>
      </c>
      <c r="C4" s="1293" t="s">
        <v>1142</v>
      </c>
      <c r="D4" s="1293" t="s">
        <v>2057</v>
      </c>
      <c r="E4" s="1296">
        <f ca="1">SUMIF(F7:F14,"&lt;&gt;#ref!",F7:F14)</f>
        <v>0</v>
      </c>
      <c r="F4" s="1295"/>
      <c r="G4" s="1292"/>
      <c r="H4" s="1292"/>
      <c r="I4" s="1292"/>
      <c r="J4" s="1292"/>
      <c r="K4" s="1292"/>
      <c r="L4" s="1292"/>
      <c r="M4" s="1292"/>
      <c r="N4" s="1292"/>
    </row>
    <row r="5" spans="1:14" ht="14.25">
      <c r="A5" s="1297"/>
      <c r="B5" s="1295"/>
      <c r="C5" s="1295"/>
      <c r="D5" s="1295"/>
      <c r="E5" s="1295"/>
      <c r="F5" s="1295"/>
      <c r="G5" s="1292"/>
      <c r="H5" s="1292"/>
      <c r="I5" s="1292"/>
      <c r="J5" s="1292"/>
      <c r="K5" s="1292"/>
      <c r="L5" s="1292"/>
      <c r="M5" s="1292"/>
      <c r="N5" s="1292"/>
    </row>
    <row r="6" spans="1:14" ht="28.5">
      <c r="A6" s="1298" t="s">
        <v>2058</v>
      </c>
      <c r="B6" s="1293" t="s">
        <v>2059</v>
      </c>
      <c r="C6" s="1299"/>
      <c r="D6" s="1295"/>
      <c r="E6" s="1293" t="s">
        <v>444</v>
      </c>
      <c r="F6" s="1293" t="s">
        <v>447</v>
      </c>
      <c r="G6" s="1292"/>
      <c r="H6" s="1292"/>
      <c r="I6" s="1292"/>
      <c r="J6" s="1292"/>
      <c r="K6" s="1292"/>
      <c r="L6" s="1292"/>
      <c r="M6" s="1292"/>
      <c r="N6" s="1292"/>
    </row>
    <row r="7" spans="1:14" ht="14.25">
      <c r="A7" s="1300"/>
      <c r="B7" s="1294" t="e">
        <f ca="1">SUMIF(INDIRECT("'"&amp;A7&amp;"'"&amp;"!A:A"),"总价",INDIRECT("'"&amp;A7&amp;"'"&amp;"!B:B"))</f>
        <v>#REF!</v>
      </c>
      <c r="C7" s="1293" t="s">
        <v>997</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4.25">
      <c r="A8" s="1300"/>
      <c r="B8" s="1294" t="e">
        <f t="shared" ref="B8:B14" ca="1" si="0">SUMIF(INDIRECT("'"&amp;A8&amp;"'"&amp;"!A:A"),"总价",INDIRECT("'"&amp;A8&amp;"'"&amp;"!B:B"))</f>
        <v>#REF!</v>
      </c>
      <c r="C8" s="1293" t="s">
        <v>997</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4.25">
      <c r="A9" s="1300"/>
      <c r="B9" s="1294" t="e">
        <f t="shared" ca="1" si="0"/>
        <v>#REF!</v>
      </c>
      <c r="C9" s="1293" t="s">
        <v>997</v>
      </c>
      <c r="D9" s="1295"/>
      <c r="E9" s="1296" t="e">
        <f t="shared" ca="1" si="1"/>
        <v>#REF!</v>
      </c>
      <c r="F9" s="1296" t="e">
        <f t="shared" ca="1" si="2"/>
        <v>#REF!</v>
      </c>
      <c r="G9" s="1292"/>
      <c r="H9" s="1292"/>
      <c r="I9" s="1292"/>
      <c r="J9" s="1292"/>
      <c r="K9" s="1292"/>
      <c r="L9" s="1292"/>
      <c r="M9" s="1292"/>
      <c r="N9" s="1292"/>
    </row>
    <row r="10" spans="1:14" ht="14.25">
      <c r="A10" s="1300"/>
      <c r="B10" s="1294" t="e">
        <f t="shared" ca="1" si="0"/>
        <v>#REF!</v>
      </c>
      <c r="C10" s="1293" t="s">
        <v>997</v>
      </c>
      <c r="D10" s="1295"/>
      <c r="E10" s="1296" t="e">
        <f t="shared" ca="1" si="1"/>
        <v>#REF!</v>
      </c>
      <c r="F10" s="1296" t="e">
        <f t="shared" ca="1" si="2"/>
        <v>#REF!</v>
      </c>
      <c r="G10" s="1292"/>
      <c r="H10" s="1292"/>
      <c r="I10" s="1292"/>
      <c r="J10" s="1292"/>
      <c r="K10" s="1292"/>
      <c r="L10" s="1292"/>
      <c r="M10" s="1292"/>
      <c r="N10" s="1292"/>
    </row>
    <row r="11" spans="1:14" ht="14.25">
      <c r="A11" s="1300"/>
      <c r="B11" s="1294" t="e">
        <f t="shared" ca="1" si="0"/>
        <v>#REF!</v>
      </c>
      <c r="C11" s="1293" t="s">
        <v>997</v>
      </c>
      <c r="D11" s="1295"/>
      <c r="E11" s="1296" t="e">
        <f t="shared" ca="1" si="1"/>
        <v>#REF!</v>
      </c>
      <c r="F11" s="1296" t="e">
        <f t="shared" ca="1" si="2"/>
        <v>#REF!</v>
      </c>
      <c r="G11" s="1292"/>
      <c r="H11" s="1292"/>
      <c r="I11" s="1292"/>
      <c r="J11" s="1292"/>
      <c r="K11" s="1292"/>
      <c r="L11" s="1292"/>
      <c r="M11" s="1292"/>
      <c r="N11" s="1292"/>
    </row>
    <row r="12" spans="1:14" ht="14.25">
      <c r="A12" s="1300"/>
      <c r="B12" s="1294" t="e">
        <f t="shared" ca="1" si="0"/>
        <v>#REF!</v>
      </c>
      <c r="C12" s="1293" t="s">
        <v>997</v>
      </c>
      <c r="D12" s="1295"/>
      <c r="E12" s="1296" t="e">
        <f t="shared" ca="1" si="1"/>
        <v>#REF!</v>
      </c>
      <c r="F12" s="1296" t="e">
        <f t="shared" ca="1" si="2"/>
        <v>#REF!</v>
      </c>
      <c r="G12" s="1292"/>
      <c r="H12" s="1292"/>
      <c r="I12" s="1292"/>
      <c r="J12" s="1292"/>
      <c r="K12" s="1292"/>
      <c r="L12" s="1292"/>
      <c r="M12" s="1292"/>
      <c r="N12" s="1292"/>
    </row>
    <row r="13" spans="1:14" ht="14.25">
      <c r="A13" s="1300"/>
      <c r="B13" s="1294" t="e">
        <f t="shared" ca="1" si="0"/>
        <v>#REF!</v>
      </c>
      <c r="C13" s="1293" t="s">
        <v>997</v>
      </c>
      <c r="D13" s="1295"/>
      <c r="E13" s="1296" t="e">
        <f t="shared" ca="1" si="1"/>
        <v>#REF!</v>
      </c>
      <c r="F13" s="1296" t="e">
        <f t="shared" ca="1" si="2"/>
        <v>#REF!</v>
      </c>
      <c r="G13" s="1292"/>
      <c r="H13" s="1292"/>
      <c r="I13" s="1292"/>
      <c r="J13" s="1292"/>
      <c r="K13" s="1292"/>
      <c r="L13" s="1292"/>
      <c r="M13" s="1292"/>
      <c r="N13" s="1292"/>
    </row>
    <row r="14" spans="1:14" ht="14.25">
      <c r="A14" s="1301"/>
      <c r="B14" s="1294" t="e">
        <f t="shared" ca="1" si="0"/>
        <v>#REF!</v>
      </c>
      <c r="C14" s="1293" t="s">
        <v>997</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5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60"/>
  </cols>
  <sheetData>
    <row r="1" spans="1:25" s="958" customFormat="1" ht="21">
      <c r="A1" s="1226" t="s">
        <v>2060</v>
      </c>
      <c r="B1" s="965"/>
      <c r="C1" s="966"/>
      <c r="D1" s="971"/>
      <c r="E1" s="968" t="s">
        <v>637</v>
      </c>
      <c r="F1" s="969">
        <f ca="1">J54</f>
        <v>-1</v>
      </c>
      <c r="G1" s="1227">
        <f>MATCH(C1,'数据-取费表'!A6:A16,0)+5</f>
        <v>7</v>
      </c>
      <c r="H1" s="1228"/>
      <c r="I1" s="1115"/>
      <c r="J1" s="1115"/>
      <c r="K1" s="1116"/>
      <c r="L1" s="1115"/>
      <c r="M1" s="1115"/>
      <c r="N1" s="1117"/>
      <c r="O1" s="1117"/>
      <c r="P1" s="1117"/>
      <c r="Q1" s="1117"/>
      <c r="R1" s="1117"/>
      <c r="S1" s="1117"/>
      <c r="T1" s="1117"/>
      <c r="U1" s="1117"/>
      <c r="V1" s="1117"/>
      <c r="W1" s="1117"/>
      <c r="X1" s="1117"/>
      <c r="Y1" s="1117"/>
    </row>
    <row r="2" spans="1:25" ht="18" customHeight="1">
      <c r="A2" s="1229" t="s">
        <v>962</v>
      </c>
      <c r="B2" s="125">
        <f ca="1">IF(ISERROR(C45+J31),0,C45+J31)</f>
        <v>0</v>
      </c>
      <c r="C2" s="1230"/>
      <c r="D2" s="1231"/>
      <c r="E2" s="1232"/>
      <c r="F2" s="1232"/>
      <c r="G2" s="1233"/>
      <c r="H2" s="1119"/>
      <c r="I2" s="976"/>
      <c r="J2" s="976"/>
      <c r="K2" s="1118"/>
      <c r="L2" s="976"/>
      <c r="M2" s="976"/>
    </row>
    <row r="3" spans="1:25" ht="18" customHeight="1">
      <c r="A3" s="1234" t="s">
        <v>963</v>
      </c>
      <c r="B3" s="1235">
        <f ca="1">ROUND(B2*10000/'数据-汇总表'!E3,0)</f>
        <v>0</v>
      </c>
      <c r="C3" s="1230"/>
      <c r="D3" s="1231"/>
      <c r="E3" s="1232"/>
      <c r="F3" s="1232"/>
      <c r="G3" s="1233"/>
      <c r="H3" s="979" t="s">
        <v>2061</v>
      </c>
      <c r="I3" s="976"/>
      <c r="J3" s="976"/>
      <c r="K3" s="1118"/>
      <c r="L3" s="976"/>
      <c r="M3" s="976"/>
    </row>
    <row r="4" spans="1:25" ht="18" customHeight="1">
      <c r="A4" s="1236" t="s">
        <v>964</v>
      </c>
      <c r="B4" s="1237">
        <f ca="1">ROUND(B2*10000/'数据-汇总表'!D3,0)</f>
        <v>0</v>
      </c>
      <c r="C4" s="1238"/>
      <c r="D4" s="1231"/>
      <c r="E4" s="1232"/>
      <c r="F4" s="1232"/>
      <c r="G4" s="1233"/>
      <c r="H4" s="979"/>
      <c r="I4" s="976"/>
      <c r="J4" s="976"/>
      <c r="K4" s="1118"/>
      <c r="L4" s="976"/>
      <c r="M4" s="976"/>
    </row>
    <row r="5" spans="1:25" ht="18" customHeight="1">
      <c r="A5" s="1239"/>
      <c r="B5" s="727">
        <f ca="1">ROUND(B2/('数据-汇总表'!D3/666.67),0)</f>
        <v>0</v>
      </c>
      <c r="C5" s="728" t="s">
        <v>965</v>
      </c>
      <c r="D5" s="1231"/>
      <c r="E5" s="1232"/>
      <c r="F5" s="1232"/>
      <c r="G5" s="1233"/>
      <c r="H5" s="979"/>
      <c r="I5" s="976"/>
      <c r="J5" s="976"/>
      <c r="K5" s="1118"/>
      <c r="L5" s="976"/>
      <c r="M5" s="976"/>
    </row>
    <row r="6" spans="1:25" ht="18" customHeight="1">
      <c r="A6" s="1240" t="s">
        <v>2062</v>
      </c>
      <c r="B6" s="1241" t="s">
        <v>2063</v>
      </c>
      <c r="C6" s="1241" t="s">
        <v>2064</v>
      </c>
      <c r="D6" s="1241" t="s">
        <v>2065</v>
      </c>
      <c r="E6" s="982" t="s">
        <v>2066</v>
      </c>
      <c r="F6" s="983"/>
      <c r="G6" s="1172"/>
      <c r="H6" s="1240" t="s">
        <v>2062</v>
      </c>
      <c r="I6" s="1241" t="s">
        <v>2063</v>
      </c>
      <c r="J6" s="1241" t="s">
        <v>2064</v>
      </c>
      <c r="K6" s="1241" t="s">
        <v>2065</v>
      </c>
      <c r="L6" s="982" t="s">
        <v>2066</v>
      </c>
      <c r="M6" s="983"/>
    </row>
    <row r="7" spans="1:25" ht="18" customHeight="1">
      <c r="A7" s="985">
        <v>1</v>
      </c>
      <c r="B7" s="986" t="s">
        <v>2067</v>
      </c>
      <c r="C7" s="127">
        <f ca="1">C8+C12+C14</f>
        <v>0</v>
      </c>
      <c r="D7" s="988" t="s">
        <v>2068</v>
      </c>
      <c r="E7" s="989"/>
      <c r="F7" s="990"/>
      <c r="G7" s="1172"/>
      <c r="H7" s="985">
        <v>1</v>
      </c>
      <c r="I7" s="986" t="s">
        <v>2067</v>
      </c>
      <c r="J7" s="127">
        <f ca="1">J8+J12+J14</f>
        <v>0</v>
      </c>
      <c r="K7" s="988" t="s">
        <v>2068</v>
      </c>
      <c r="L7" s="989"/>
      <c r="M7" s="990"/>
    </row>
    <row r="8" spans="1:25" ht="18" customHeight="1">
      <c r="A8" s="991" t="s">
        <v>900</v>
      </c>
      <c r="B8" s="3925" t="s">
        <v>2069</v>
      </c>
      <c r="C8" s="1242">
        <f ca="1">ROUND(F8*F10*F9*(1-F11)/10000,0)</f>
        <v>0</v>
      </c>
      <c r="D8" s="1243" t="s">
        <v>2070</v>
      </c>
      <c r="E8" s="1244" t="s">
        <v>2071</v>
      </c>
      <c r="F8" s="995">
        <f ca="1">INDIRECT("'数据-取费表'!u"&amp;$G$1)</f>
        <v>0</v>
      </c>
      <c r="G8" s="1172"/>
      <c r="H8" s="996" t="s">
        <v>900</v>
      </c>
      <c r="I8" s="3925" t="s">
        <v>2069</v>
      </c>
      <c r="J8" s="992">
        <f ca="1">ROUND(M8*M10*M9*(1-M11)/10000,0)</f>
        <v>0</v>
      </c>
      <c r="K8" s="1066" t="s">
        <v>2070</v>
      </c>
      <c r="L8" s="994" t="s">
        <v>2071</v>
      </c>
      <c r="M8" s="995">
        <f ca="1">INDIRECT("'数据-取费表'!z"&amp;$G$1)</f>
        <v>0</v>
      </c>
    </row>
    <row r="9" spans="1:25" ht="18" customHeight="1">
      <c r="A9" s="997"/>
      <c r="B9" s="3926"/>
      <c r="C9" s="1245"/>
      <c r="D9" s="1246"/>
      <c r="E9" s="1244" t="s">
        <v>2072</v>
      </c>
      <c r="F9" s="995">
        <f ca="1">IF(INDIRECT("'数据-取费表'!ah"&amp;$G$1)="",INDIRECT("'数据-取费表'!k"&amp;$G$1),INDIRECT("'数据-取费表'!ah"&amp;$G$1))</f>
        <v>0</v>
      </c>
      <c r="G9" s="1172"/>
      <c r="H9" s="1000"/>
      <c r="I9" s="3926"/>
      <c r="J9" s="998"/>
      <c r="K9" s="999"/>
      <c r="L9" s="994" t="s">
        <v>2072</v>
      </c>
      <c r="M9" s="995">
        <f ca="1">F9</f>
        <v>0</v>
      </c>
    </row>
    <row r="10" spans="1:25" ht="18" customHeight="1">
      <c r="A10" s="1001"/>
      <c r="B10" s="3927"/>
      <c r="C10" s="1245"/>
      <c r="D10" s="1246"/>
      <c r="E10" s="1244" t="s">
        <v>2073</v>
      </c>
      <c r="F10" s="995">
        <f ca="1">INDIRECT("'数据-取费表'!ai"&amp;$G$1)</f>
        <v>0</v>
      </c>
      <c r="G10" s="1172"/>
      <c r="H10" s="1000"/>
      <c r="I10" s="3927"/>
      <c r="J10" s="998"/>
      <c r="K10" s="999"/>
      <c r="L10" s="994" t="s">
        <v>2073</v>
      </c>
      <c r="M10" s="995">
        <f ca="1">INDIRECT("'数据-取费表'!ai"&amp;$G$1)</f>
        <v>0</v>
      </c>
    </row>
    <row r="11" spans="1:25" ht="18" customHeight="1">
      <c r="A11" s="1002"/>
      <c r="B11" s="3928"/>
      <c r="C11" s="1245"/>
      <c r="D11" s="1246"/>
      <c r="E11" s="1244" t="s">
        <v>2074</v>
      </c>
      <c r="F11" s="1003">
        <f ca="1">INDIRECT("'数据-取费表'!w"&amp;$G$1)</f>
        <v>0</v>
      </c>
      <c r="G11" s="1172"/>
      <c r="H11" s="1004"/>
      <c r="I11" s="3927"/>
      <c r="J11" s="998"/>
      <c r="K11" s="999"/>
      <c r="L11" s="1047" t="s">
        <v>2074</v>
      </c>
      <c r="M11" s="1013">
        <f ca="1">INDIRECT("'数据-取费表'!ab"&amp;$G$1)</f>
        <v>0</v>
      </c>
    </row>
    <row r="12" spans="1:25" ht="18" customHeight="1">
      <c r="A12" s="991" t="s">
        <v>902</v>
      </c>
      <c r="B12" s="1005" t="s">
        <v>2075</v>
      </c>
      <c r="C12" s="126">
        <f ca="1">ROUND(IF(F12="押一",C8/12*F13,IF(F12="押二",C8/12*2*F13,IF(F12="押三",C8/12*3*F13,C13*F13))),0)</f>
        <v>0</v>
      </c>
      <c r="D12" s="1006" t="s">
        <v>2076</v>
      </c>
      <c r="E12" s="1007" t="s">
        <v>2077</v>
      </c>
      <c r="F12" s="1008"/>
      <c r="G12" s="1172"/>
      <c r="H12" s="1009" t="s">
        <v>902</v>
      </c>
      <c r="I12" s="1121" t="s">
        <v>2075</v>
      </c>
      <c r="J12" s="992">
        <f ca="1">ROUND(IF(M12="押一",J8/12*M13,IF(M12="押二",J8/12*2*M13,IF(M12="押三",J8/12*3*M13,J13*M13))),0)</f>
        <v>0</v>
      </c>
      <c r="K12" s="1006" t="s">
        <v>2076</v>
      </c>
      <c r="L12" s="1007" t="s">
        <v>2077</v>
      </c>
      <c r="M12" s="1008"/>
    </row>
    <row r="13" spans="1:25" ht="18" customHeight="1">
      <c r="A13" s="1010"/>
      <c r="B13" s="1011" t="s">
        <v>2078</v>
      </c>
      <c r="C13" s="1012"/>
      <c r="D13" s="999"/>
      <c r="E13" s="1007" t="s">
        <v>684</v>
      </c>
      <c r="F13" s="1013">
        <f ca="1">'数据-取费表'!B39</f>
        <v>1.4999999999999999E-2</v>
      </c>
      <c r="G13" s="1172"/>
      <c r="H13" s="1014"/>
      <c r="I13" s="1011" t="s">
        <v>2078</v>
      </c>
      <c r="J13" s="1012"/>
      <c r="K13" s="1122"/>
      <c r="L13" s="1007" t="s">
        <v>684</v>
      </c>
      <c r="M13" s="1123">
        <f ca="1">'数据-取费表'!B39</f>
        <v>1.4999999999999999E-2</v>
      </c>
    </row>
    <row r="14" spans="1:25" ht="18" customHeight="1">
      <c r="A14" s="1015" t="s">
        <v>970</v>
      </c>
      <c r="B14" s="1016" t="s">
        <v>2079</v>
      </c>
      <c r="C14" s="1017"/>
      <c r="D14" s="1018"/>
      <c r="E14" s="1019"/>
      <c r="F14" s="1020"/>
      <c r="G14" s="1172"/>
      <c r="H14" s="1021" t="s">
        <v>970</v>
      </c>
      <c r="I14" s="1124" t="s">
        <v>2079</v>
      </c>
      <c r="J14" s="1125"/>
      <c r="K14" s="1018"/>
      <c r="L14" s="1019"/>
      <c r="M14" s="1126"/>
    </row>
    <row r="15" spans="1:25" ht="18" customHeight="1">
      <c r="A15" s="1022" t="s">
        <v>906</v>
      </c>
      <c r="B15" s="1023" t="s">
        <v>2080</v>
      </c>
      <c r="C15" s="1024">
        <f ca="1">ROUND(C31*F15,0)</f>
        <v>0</v>
      </c>
      <c r="D15" s="1025" t="s">
        <v>2081</v>
      </c>
      <c r="E15" s="1047" t="s">
        <v>2082</v>
      </c>
      <c r="F15" s="1110">
        <f ca="1">INDIRECT("'数据-取费表'!y"&amp;$G$1)</f>
        <v>0</v>
      </c>
      <c r="G15" s="1172"/>
      <c r="H15" s="1022" t="s">
        <v>906</v>
      </c>
      <c r="I15" s="1023" t="s">
        <v>2083</v>
      </c>
      <c r="J15" s="1127">
        <f ca="1">ROUND(J16*J17,0)</f>
        <v>0</v>
      </c>
      <c r="K15" s="1056" t="s">
        <v>2081</v>
      </c>
      <c r="L15" s="1130"/>
      <c r="M15" s="1131"/>
    </row>
    <row r="16" spans="1:25" ht="18" customHeight="1">
      <c r="A16" s="1247" t="s">
        <v>924</v>
      </c>
      <c r="B16" s="994" t="s">
        <v>977</v>
      </c>
      <c r="C16" s="1028">
        <f ca="1">INDIRECT("'数据-取费表'!m"&amp;$G$1)+INDIRECT("'数据-取费表'!t"&amp;$G$1)</f>
        <v>0</v>
      </c>
      <c r="D16" s="1029" t="s">
        <v>2084</v>
      </c>
      <c r="E16" s="1030"/>
      <c r="F16" s="1031"/>
      <c r="G16" s="1172"/>
      <c r="H16" s="1247" t="s">
        <v>900</v>
      </c>
      <c r="I16" s="1113" t="s">
        <v>2085</v>
      </c>
      <c r="J16" s="127">
        <f ca="1">C31</f>
        <v>0</v>
      </c>
      <c r="K16" s="1114"/>
      <c r="L16" s="1130"/>
      <c r="M16" s="1131"/>
    </row>
    <row r="17" spans="1:25" s="959" customFormat="1" ht="18" customHeight="1">
      <c r="A17" s="1247" t="s">
        <v>978</v>
      </c>
      <c r="B17" s="994" t="s">
        <v>979</v>
      </c>
      <c r="C17" s="127">
        <f ca="1">ROUND(C16*F17,0)</f>
        <v>0</v>
      </c>
      <c r="D17" s="1033" t="s">
        <v>2086</v>
      </c>
      <c r="E17" s="1033" t="s">
        <v>2087</v>
      </c>
      <c r="F17" s="1034">
        <f>'数据-取费表'!B33</f>
        <v>0.03</v>
      </c>
      <c r="G17" s="1248"/>
      <c r="H17" s="1247" t="s">
        <v>902</v>
      </c>
      <c r="I17" s="994" t="s">
        <v>2082</v>
      </c>
      <c r="J17" s="1281">
        <f ca="1">INDIRECT("'数据-取费表'!ad"&amp;$G$1)</f>
        <v>0</v>
      </c>
      <c r="K17" s="1114"/>
      <c r="L17" s="1130"/>
      <c r="M17" s="1131"/>
      <c r="N17" s="1136"/>
      <c r="O17" s="1136"/>
      <c r="P17" s="1136"/>
      <c r="Q17" s="1136"/>
      <c r="R17" s="1136"/>
      <c r="S17" s="1136"/>
      <c r="T17" s="1136"/>
      <c r="U17" s="1136"/>
      <c r="V17" s="1136"/>
      <c r="W17" s="1136"/>
      <c r="X17" s="1136"/>
      <c r="Y17" s="1136"/>
    </row>
    <row r="18" spans="1:25" ht="18" customHeight="1">
      <c r="A18" s="1247" t="s">
        <v>981</v>
      </c>
      <c r="B18" s="994" t="s">
        <v>982</v>
      </c>
      <c r="C18" s="127">
        <f ca="1">ROUND(INDIRECT("'数据-取费表'!m"&amp;$G$1)*F18,0)</f>
        <v>0</v>
      </c>
      <c r="D18" s="994" t="s">
        <v>2086</v>
      </c>
      <c r="E18" s="994" t="s">
        <v>2087</v>
      </c>
      <c r="F18" s="1036">
        <f ca="1">IF(INDIRECT("'数据-取费表'!c"&amp;$G$1)="住宅",'数据-取费表'!B34,0)</f>
        <v>0</v>
      </c>
      <c r="G18" s="1172"/>
      <c r="H18" s="1111" t="s">
        <v>911</v>
      </c>
      <c r="I18" s="1112" t="s">
        <v>2088</v>
      </c>
      <c r="J18" s="126">
        <f ca="1">ROUND(J19+J24+J25+J26,0)</f>
        <v>0</v>
      </c>
      <c r="K18" s="1114" t="s">
        <v>2089</v>
      </c>
      <c r="L18" s="129"/>
      <c r="M18" s="1037"/>
    </row>
    <row r="19" spans="1:25" s="959" customFormat="1" ht="18" customHeight="1">
      <c r="A19" s="1247" t="s">
        <v>984</v>
      </c>
      <c r="B19" s="994" t="s">
        <v>2090</v>
      </c>
      <c r="C19" s="127">
        <f ca="1">ROUND(F19*(INDIRECT("'数据-取费表'!k"&amp;$G$1)+INDIRECT("'数据-取费表'!S"&amp;$G$1))/10000,0)</f>
        <v>0</v>
      </c>
      <c r="D19" s="994" t="s">
        <v>2091</v>
      </c>
      <c r="E19" s="994" t="s">
        <v>2092</v>
      </c>
      <c r="F19" s="1037">
        <f>'数据-取费表'!B35</f>
        <v>200</v>
      </c>
      <c r="G19" s="1248"/>
      <c r="H19" s="1247" t="s">
        <v>900</v>
      </c>
      <c r="I19" s="994" t="s">
        <v>2093</v>
      </c>
      <c r="J19" s="1059">
        <f ca="1">ROUND(IF(AND(项目基本情况!B11="自然人",项目基本情况!B10="北京市"),J8*M19/(1+'数据-取费表'!C42),J20+J21+J22),0)</f>
        <v>0</v>
      </c>
      <c r="K19" s="1029" t="s">
        <v>2094</v>
      </c>
      <c r="L19" s="1060" t="s">
        <v>2095</v>
      </c>
      <c r="M19" s="1061" t="str">
        <f>IF(项目基本情况!B11="企业","——",IF('数据-取费表'!B10="住宅",IF(M8*M9*M10/12/(1+'数据-取费表'!F30)&gt;100000,4%,2.5%),IF(M8*M9*M10/12/(1+'数据-取费表'!F30)&gt;100000,12%,7%)))</f>
        <v>——</v>
      </c>
      <c r="N19" s="1136"/>
      <c r="O19" s="1136"/>
      <c r="P19" s="1136"/>
      <c r="Q19" s="1136"/>
      <c r="R19" s="1136"/>
      <c r="S19" s="1136"/>
      <c r="T19" s="1136"/>
      <c r="U19" s="1136"/>
      <c r="V19" s="1136"/>
      <c r="W19" s="1136"/>
      <c r="X19" s="1136"/>
      <c r="Y19" s="1136"/>
    </row>
    <row r="20" spans="1:25" s="959" customFormat="1" ht="18" customHeight="1">
      <c r="A20" s="1247" t="s">
        <v>986</v>
      </c>
      <c r="B20" s="994" t="s">
        <v>987</v>
      </c>
      <c r="C20" s="127">
        <f ca="1">ROUND(C16*F20,0)</f>
        <v>0</v>
      </c>
      <c r="D20" s="994" t="s">
        <v>2086</v>
      </c>
      <c r="E20" s="994" t="s">
        <v>2087</v>
      </c>
      <c r="F20" s="1036">
        <f>'数据-取费表'!B36</f>
        <v>1.4999999999999999E-2</v>
      </c>
      <c r="G20" s="1248"/>
      <c r="H20" s="1247" t="s">
        <v>924</v>
      </c>
      <c r="I20" s="994" t="s">
        <v>2096</v>
      </c>
      <c r="J20" s="127">
        <f ca="1">ROUND(J8*M20/(1+'数据-取费表'!C42),1)</f>
        <v>0</v>
      </c>
      <c r="K20" s="1060" t="s">
        <v>2097</v>
      </c>
      <c r="L20" s="994" t="s">
        <v>2087</v>
      </c>
      <c r="M20" s="1036">
        <f>'数据-取费表'!B41</f>
        <v>5.5E-2</v>
      </c>
      <c r="N20" s="1136"/>
      <c r="O20" s="1136"/>
      <c r="P20" s="1136"/>
      <c r="Q20" s="1136"/>
      <c r="R20" s="1136"/>
      <c r="S20" s="1136"/>
      <c r="T20" s="1136"/>
      <c r="U20" s="1136"/>
      <c r="V20" s="1136"/>
      <c r="W20" s="1136"/>
      <c r="X20" s="1136"/>
      <c r="Y20" s="1136"/>
    </row>
    <row r="21" spans="1:25" ht="18" customHeight="1">
      <c r="A21" s="1247" t="s">
        <v>900</v>
      </c>
      <c r="B21" s="994" t="s">
        <v>2098</v>
      </c>
      <c r="C21" s="127">
        <f ca="1">SUM(C16:C20)</f>
        <v>0</v>
      </c>
      <c r="D21" s="1038" t="s">
        <v>2099</v>
      </c>
      <c r="E21" s="129"/>
      <c r="F21" s="1037"/>
      <c r="G21" s="1172"/>
      <c r="H21" s="991" t="s">
        <v>978</v>
      </c>
      <c r="I21" s="994" t="s">
        <v>2100</v>
      </c>
      <c r="J21" s="127">
        <f ca="1">IF(K21="按租金收入计税",ROUND(J8*M21/(1+'数据-取费表'!C42),1),ROUND(C31*F35*0.7,1))</f>
        <v>0</v>
      </c>
      <c r="K21" s="1064" t="s">
        <v>2101</v>
      </c>
      <c r="L21" s="994" t="s">
        <v>2087</v>
      </c>
      <c r="M21" s="1036">
        <f>IF(K21="按租金收入计税",'数据-取费表'!B51,'数据-取费表'!B50)</f>
        <v>0.12</v>
      </c>
    </row>
    <row r="22" spans="1:25" s="959" customFormat="1" ht="18" customHeight="1">
      <c r="A22" s="1247" t="s">
        <v>2102</v>
      </c>
      <c r="B22" s="994" t="s">
        <v>2103</v>
      </c>
      <c r="C22" s="127">
        <f ca="1">ROUND(C21*F22,0)</f>
        <v>0</v>
      </c>
      <c r="D22" s="1039" t="s">
        <v>2104</v>
      </c>
      <c r="E22" s="994" t="s">
        <v>2087</v>
      </c>
      <c r="F22" s="1036">
        <f>'数据-取费表'!B37</f>
        <v>0.02</v>
      </c>
      <c r="G22" s="1248"/>
      <c r="H22" s="1249" t="s">
        <v>981</v>
      </c>
      <c r="I22" s="1243" t="s">
        <v>2105</v>
      </c>
      <c r="J22" s="1067">
        <f ca="1">ROUND(M22*M23/10000,0)</f>
        <v>0</v>
      </c>
      <c r="K22" s="1068" t="s">
        <v>2106</v>
      </c>
      <c r="L22" s="994" t="s">
        <v>2107</v>
      </c>
      <c r="M22" s="1044">
        <f>'数据-取费表'!B52</f>
        <v>1.5</v>
      </c>
      <c r="N22" s="1136"/>
      <c r="O22" s="1136"/>
      <c r="P22" s="1136"/>
      <c r="Q22" s="1136"/>
      <c r="R22" s="1136"/>
      <c r="S22" s="1136"/>
      <c r="T22" s="1136"/>
      <c r="U22" s="1136"/>
      <c r="V22" s="1136"/>
      <c r="W22" s="1136"/>
      <c r="X22" s="1136"/>
      <c r="Y22" s="1136"/>
    </row>
    <row r="23" spans="1:25" s="959" customFormat="1" ht="18" customHeight="1">
      <c r="A23" s="1247" t="s">
        <v>2108</v>
      </c>
      <c r="B23" s="994" t="s">
        <v>2109</v>
      </c>
      <c r="C23" s="127" t="s">
        <v>138</v>
      </c>
      <c r="D23" s="1039" t="s">
        <v>2110</v>
      </c>
      <c r="E23" s="994" t="s">
        <v>2111</v>
      </c>
      <c r="F23" s="1036">
        <f>'数据-取费表'!B38</f>
        <v>0.02</v>
      </c>
      <c r="G23" s="1248"/>
      <c r="H23" s="1250"/>
      <c r="I23" s="1282"/>
      <c r="J23" s="1071"/>
      <c r="K23" s="1072"/>
      <c r="L23" s="994" t="s">
        <v>2112</v>
      </c>
      <c r="M23" s="995">
        <f ca="1">INDIRECT("'数据-取费表'!r"&amp;$G$1)</f>
        <v>0</v>
      </c>
      <c r="N23" s="1136"/>
      <c r="O23" s="1136"/>
      <c r="P23" s="1136"/>
      <c r="Q23" s="1136"/>
      <c r="R23" s="1136"/>
      <c r="S23" s="1136"/>
      <c r="T23" s="1136"/>
      <c r="U23" s="1136"/>
      <c r="V23" s="1136"/>
      <c r="W23" s="1136"/>
      <c r="X23" s="1136"/>
      <c r="Y23" s="1136"/>
    </row>
    <row r="24" spans="1:25" ht="18" customHeight="1">
      <c r="A24" s="1247" t="s">
        <v>2113</v>
      </c>
      <c r="B24" s="994" t="s">
        <v>2114</v>
      </c>
      <c r="C24" s="127"/>
      <c r="D24" s="1042" t="str">
        <f>IF(F25&lt;=1,"单利计息。","复利计息。")&amp;"建造成本、管理费用、销售费用产生的利息。"</f>
        <v>单利计息。建造成本、管理费用、销售费用产生的利息。</v>
      </c>
      <c r="E24" s="129"/>
      <c r="F24" s="1037"/>
      <c r="G24" s="1172"/>
      <c r="H24" s="1251" t="s">
        <v>902</v>
      </c>
      <c r="I24" s="994" t="s">
        <v>2115</v>
      </c>
      <c r="J24" s="127">
        <f ca="1">ROUND(J16*M24,0)</f>
        <v>0</v>
      </c>
      <c r="K24" s="1060" t="s">
        <v>2116</v>
      </c>
      <c r="L24" s="994" t="s">
        <v>2087</v>
      </c>
      <c r="M24" s="1073">
        <f ca="1">INDIRECT("'数据-取费表'!Ak"&amp;$G$1)</f>
        <v>0</v>
      </c>
    </row>
    <row r="25" spans="1:25" s="959" customFormat="1" ht="18" customHeight="1">
      <c r="A25" s="1247" t="s">
        <v>924</v>
      </c>
      <c r="B25" s="994" t="s">
        <v>2117</v>
      </c>
      <c r="C25" s="127">
        <f ca="1">ROUND(IF('数据-取费表'!B22&lt;=1,(C21+C22)*F26*F25/2,(C21+C22)*(POWER((1+F26),F25/2)-1)),0)</f>
        <v>0</v>
      </c>
      <c r="D25" s="1043" t="str">
        <f>IF(F25&lt;=1,"(建造成本+管理费用)×利率×(建设周期÷2)","(建造成本+管理费用)×((1+利率)^(建设周期÷2)-1)")</f>
        <v>(建造成本+管理费用)×利率×(建设周期÷2)</v>
      </c>
      <c r="E25" s="994" t="s">
        <v>2118</v>
      </c>
      <c r="F25" s="1044">
        <f>'数据-取费表'!B20</f>
        <v>1</v>
      </c>
      <c r="G25" s="1248"/>
      <c r="H25" s="1247" t="s">
        <v>2108</v>
      </c>
      <c r="I25" s="994" t="s">
        <v>2119</v>
      </c>
      <c r="J25" s="127">
        <f ca="1">ROUND(J15*M25,0)</f>
        <v>0</v>
      </c>
      <c r="K25" s="1060" t="s">
        <v>2120</v>
      </c>
      <c r="L25" s="994" t="s">
        <v>2087</v>
      </c>
      <c r="M25" s="1074">
        <f ca="1">INDIRECT("'数据-取费表'!Al"&amp;$G$1)</f>
        <v>0</v>
      </c>
      <c r="N25" s="1136"/>
      <c r="O25" s="1136"/>
      <c r="P25" s="1136"/>
      <c r="Q25" s="1136"/>
      <c r="R25" s="1136"/>
      <c r="S25" s="1136"/>
      <c r="T25" s="1136"/>
      <c r="U25" s="1136"/>
      <c r="V25" s="1136"/>
      <c r="W25" s="1136"/>
      <c r="X25" s="1136"/>
      <c r="Y25" s="1136"/>
    </row>
    <row r="26" spans="1:25" s="959" customFormat="1" ht="18" customHeight="1">
      <c r="A26" s="1247" t="s">
        <v>978</v>
      </c>
      <c r="B26" s="994" t="s">
        <v>2121</v>
      </c>
      <c r="C26" s="127">
        <f ca="1">ROUND(IF('数据-取费表'!B22&lt;=1,F23*F26*F25/2,F23*(POWER((1+F26),F25/2)-1)),4)</f>
        <v>2.9999999999999997E-4</v>
      </c>
      <c r="D26" s="1043" t="str">
        <f>IF(F25&lt;=1,"销售费用×利率×(建设周期÷2)","销售费用×((1+利率)^(建设周期÷2)-1)")</f>
        <v>销售费用×利率×(建设周期÷2)</v>
      </c>
      <c r="E26" s="994" t="s">
        <v>2122</v>
      </c>
      <c r="F26" s="1045">
        <f ca="1">'数据-取费表'!B40</f>
        <v>3.4500000000000003E-2</v>
      </c>
      <c r="G26" s="1248"/>
      <c r="H26" s="1247" t="s">
        <v>2113</v>
      </c>
      <c r="I26" s="994" t="s">
        <v>2103</v>
      </c>
      <c r="J26" s="127">
        <f ca="1">ROUND(J7*M26,0)</f>
        <v>0</v>
      </c>
      <c r="K26" s="1060" t="s">
        <v>2123</v>
      </c>
      <c r="L26" s="994" t="s">
        <v>2087</v>
      </c>
      <c r="M26" s="1003">
        <f ca="1">INDIRECT("'数据-取费表'!Am"&amp;$G$1)</f>
        <v>0</v>
      </c>
      <c r="N26" s="1136"/>
      <c r="O26" s="1136"/>
      <c r="P26" s="1136"/>
      <c r="Q26" s="1136"/>
      <c r="R26" s="1136"/>
      <c r="S26" s="1136"/>
      <c r="T26" s="1136"/>
      <c r="U26" s="1136"/>
      <c r="V26" s="1136"/>
      <c r="W26" s="1136"/>
      <c r="X26" s="1136"/>
      <c r="Y26" s="1136"/>
    </row>
    <row r="27" spans="1:25" ht="18" customHeight="1">
      <c r="A27" s="1247" t="s">
        <v>2124</v>
      </c>
      <c r="B27" s="994" t="s">
        <v>2125</v>
      </c>
      <c r="C27" s="127"/>
      <c r="D27" s="1038" t="s">
        <v>2126</v>
      </c>
      <c r="E27" s="129"/>
      <c r="F27" s="1037"/>
      <c r="G27" s="1172"/>
      <c r="H27" s="1111" t="s">
        <v>914</v>
      </c>
      <c r="I27" s="1219" t="s">
        <v>2127</v>
      </c>
      <c r="J27" s="126">
        <f ca="1">J7-J18</f>
        <v>0</v>
      </c>
      <c r="K27" s="1029" t="s">
        <v>2128</v>
      </c>
      <c r="L27" s="1220"/>
      <c r="M27" s="1221"/>
    </row>
    <row r="28" spans="1:25" ht="18" customHeight="1">
      <c r="A28" s="1247" t="s">
        <v>924</v>
      </c>
      <c r="B28" s="994" t="s">
        <v>2129</v>
      </c>
      <c r="C28" s="127">
        <f ca="1">ROUND((C21+C22)*F28,0)</f>
        <v>0</v>
      </c>
      <c r="D28" s="1039" t="s">
        <v>2130</v>
      </c>
      <c r="E28" s="1047" t="s">
        <v>2131</v>
      </c>
      <c r="F28" s="1003">
        <f ca="1">INDIRECT("'数据-取费表'!q"&amp;$G$1)</f>
        <v>0</v>
      </c>
      <c r="G28" s="1172"/>
      <c r="H28" s="985" t="s">
        <v>938</v>
      </c>
      <c r="I28" s="986" t="s">
        <v>2132</v>
      </c>
      <c r="J28" s="992">
        <f ca="1">IF(J7&lt;&gt;0,ROUND(J27*(1-((1+M30)/(1+M28))^M29)/(M28-M30),0),0)</f>
        <v>0</v>
      </c>
      <c r="K28" s="1068" t="s">
        <v>2133</v>
      </c>
      <c r="L28" s="994" t="s">
        <v>2134</v>
      </c>
      <c r="M28" s="1003">
        <f ca="1">INDIRECT("'数据-取费表'!I"&amp;$G$1)</f>
        <v>0</v>
      </c>
    </row>
    <row r="29" spans="1:25" ht="18" customHeight="1">
      <c r="A29" s="1247" t="s">
        <v>978</v>
      </c>
      <c r="B29" s="994" t="s">
        <v>2135</v>
      </c>
      <c r="C29" s="127">
        <f ca="1">ROUND(F23*F28,4)</f>
        <v>0</v>
      </c>
      <c r="D29" s="1039" t="s">
        <v>2136</v>
      </c>
      <c r="E29" s="1033"/>
      <c r="F29" s="1034"/>
      <c r="G29" s="1172"/>
      <c r="H29" s="1002"/>
      <c r="I29" s="1080"/>
      <c r="J29" s="998"/>
      <c r="K29" s="1081" t="s">
        <v>2137</v>
      </c>
      <c r="L29" s="994" t="s">
        <v>2138</v>
      </c>
      <c r="M29" s="1082">
        <f ca="1">INDIRECT("'数据-取费表'!ag"&amp;$G$1)</f>
        <v>0</v>
      </c>
    </row>
    <row r="30" spans="1:25" s="959" customFormat="1" ht="18" customHeight="1">
      <c r="A30" s="1247" t="s">
        <v>2139</v>
      </c>
      <c r="B30" s="994" t="s">
        <v>2140</v>
      </c>
      <c r="C30" s="127">
        <f>ROUND(F30/(1+'数据-取费表'!C42),4)</f>
        <v>5.2400000000000002E-2</v>
      </c>
      <c r="D30" s="1039" t="s">
        <v>2141</v>
      </c>
      <c r="E30" s="994" t="s">
        <v>2087</v>
      </c>
      <c r="F30" s="1036">
        <f>'数据-取费表'!B41</f>
        <v>5.5E-2</v>
      </c>
      <c r="G30" s="1248"/>
      <c r="H30" s="1010"/>
      <c r="I30" s="1084"/>
      <c r="J30" s="1024"/>
      <c r="K30" s="1072"/>
      <c r="L30" s="994" t="s">
        <v>2142</v>
      </c>
      <c r="M30" s="1003">
        <f ca="1">INDIRECT("'数据-取费表'!aa"&amp;$G$1)</f>
        <v>0</v>
      </c>
      <c r="N30" s="1136"/>
      <c r="O30" s="1136"/>
      <c r="P30" s="1136"/>
      <c r="Q30" s="1136"/>
      <c r="R30" s="1136"/>
      <c r="S30" s="1136"/>
      <c r="T30" s="1136"/>
      <c r="U30" s="1136"/>
      <c r="V30" s="1136"/>
      <c r="W30" s="1136"/>
      <c r="X30" s="1136"/>
      <c r="Y30" s="1136"/>
    </row>
    <row r="31" spans="1:25" s="959" customFormat="1" ht="18" customHeight="1">
      <c r="A31" s="1252" t="s">
        <v>2143</v>
      </c>
      <c r="B31" s="1019" t="s">
        <v>2144</v>
      </c>
      <c r="C31" s="1051">
        <f ca="1">ROUND((C21+C22+C25+C28)/(1-F23-C26-C29-C30),0)</f>
        <v>0</v>
      </c>
      <c r="D31" s="1052"/>
      <c r="E31" s="1053"/>
      <c r="F31" s="1054"/>
      <c r="G31" s="1248"/>
      <c r="H31" s="1055" t="s">
        <v>1233</v>
      </c>
      <c r="I31" s="1283" t="s">
        <v>2145</v>
      </c>
      <c r="J31" s="1086">
        <f ca="1">ROUND(J28/(1+F45)^F46,0)</f>
        <v>0</v>
      </c>
      <c r="K31" s="1087" t="s">
        <v>2146</v>
      </c>
      <c r="L31" s="1088"/>
      <c r="M31" s="1089">
        <f ca="1">INDIRECT("'数据-取费表'!k"&amp;$G$1)</f>
        <v>0</v>
      </c>
      <c r="N31" s="1136"/>
      <c r="O31" s="1136"/>
      <c r="P31" s="1136"/>
      <c r="Q31" s="1136"/>
      <c r="R31" s="1136"/>
      <c r="S31" s="1136"/>
      <c r="T31" s="1136"/>
      <c r="U31" s="1136"/>
      <c r="V31" s="1136"/>
      <c r="W31" s="1136"/>
      <c r="X31" s="1136"/>
      <c r="Y31" s="1136"/>
    </row>
    <row r="32" spans="1:25" ht="18" customHeight="1">
      <c r="A32" s="1022" t="s">
        <v>2147</v>
      </c>
      <c r="B32" s="1023" t="s">
        <v>2148</v>
      </c>
      <c r="C32" s="1024">
        <f ca="1">ROUND(C33+C38+C39+C40,0)</f>
        <v>0</v>
      </c>
      <c r="D32" s="1056" t="s">
        <v>2089</v>
      </c>
      <c r="E32" s="1057"/>
      <c r="F32" s="990"/>
      <c r="G32" s="984"/>
      <c r="H32" s="1058"/>
      <c r="I32" s="1137"/>
      <c r="J32" s="1138"/>
      <c r="K32" s="1139"/>
      <c r="L32" s="1140"/>
      <c r="M32" s="1141"/>
    </row>
    <row r="33" spans="1:18" ht="18" customHeight="1">
      <c r="A33" s="1247" t="s">
        <v>900</v>
      </c>
      <c r="B33" s="994" t="s">
        <v>2093</v>
      </c>
      <c r="C33" s="1059">
        <f ca="1">ROUND(IF(AND(项目基本情况!B11="自然人",项目基本情况!B10="北京市"),C8*F33/(1+'数据-取费表'!C42),C34+C35+C36),2)</f>
        <v>0</v>
      </c>
      <c r="D33" s="1029" t="s">
        <v>2094</v>
      </c>
      <c r="E33" s="1060" t="s">
        <v>2095</v>
      </c>
      <c r="F33" s="1061" t="str">
        <f>IF(项目基本情况!B11="企业","——",IF(M48="住宅",IF(F8*F9*F10/12/(1+'数据-取费表'!F30)&gt;100000,4%,2.5%),IF(F8*F9*F10/12/(1+'数据-取费表'!F30)&gt;100000,12%,7%)))</f>
        <v>——</v>
      </c>
      <c r="G33" s="984"/>
      <c r="H33" s="1062" t="s">
        <v>2149</v>
      </c>
      <c r="I33" s="1137"/>
      <c r="J33" s="1138"/>
      <c r="K33" s="1139"/>
      <c r="L33" s="1140"/>
      <c r="M33" s="1141"/>
    </row>
    <row r="34" spans="1:18" ht="18" customHeight="1">
      <c r="A34" s="1247" t="s">
        <v>924</v>
      </c>
      <c r="B34" s="994" t="s">
        <v>2096</v>
      </c>
      <c r="C34" s="127">
        <f ca="1">ROUND(C8*F34/(1+'数据-取费表'!C42),2)</f>
        <v>0</v>
      </c>
      <c r="D34" s="1060" t="s">
        <v>2097</v>
      </c>
      <c r="E34" s="994" t="s">
        <v>2087</v>
      </c>
      <c r="F34" s="1036">
        <f>'数据-取费表'!B41</f>
        <v>5.5E-2</v>
      </c>
      <c r="G34" s="984"/>
      <c r="H34" s="1063"/>
      <c r="I34" s="1142"/>
      <c r="J34" s="1143"/>
      <c r="K34" s="1144"/>
      <c r="L34" s="1145"/>
      <c r="M34" s="1146"/>
    </row>
    <row r="35" spans="1:18" ht="18" customHeight="1">
      <c r="A35" s="1247" t="s">
        <v>978</v>
      </c>
      <c r="B35" s="994" t="s">
        <v>2100</v>
      </c>
      <c r="C35" s="127">
        <f ca="1">IF(D35="按租金收入计税",ROUND(C8*F35/(1+'数据-取费表'!C42),2),IF(D35="按房产原值计税",ROUND(C31*F35*0.7,2),INDIRECT("'数据-取费表'!Aj"&amp;$G$1)))</f>
        <v>0</v>
      </c>
      <c r="D35" s="1064" t="s">
        <v>2101</v>
      </c>
      <c r="E35" s="994" t="s">
        <v>2087</v>
      </c>
      <c r="F35" s="1036">
        <f>IF(D35="按租金收入计税",'数据-取费表'!B51,'数据-取费表'!B50)</f>
        <v>0.12</v>
      </c>
      <c r="G35" s="984"/>
      <c r="H35" s="1065"/>
      <c r="I35" s="1065"/>
      <c r="J35" s="1065"/>
      <c r="K35" s="1147"/>
      <c r="L35" s="1065"/>
      <c r="M35" s="1065"/>
    </row>
    <row r="36" spans="1:18" ht="18" customHeight="1">
      <c r="A36" s="1253" t="s">
        <v>931</v>
      </c>
      <c r="B36" s="1066" t="s">
        <v>2105</v>
      </c>
      <c r="C36" s="1067">
        <f ca="1">ROUND(F36*F37/10000,2)</f>
        <v>0</v>
      </c>
      <c r="D36" s="1068" t="s">
        <v>2106</v>
      </c>
      <c r="E36" s="994" t="s">
        <v>2107</v>
      </c>
      <c r="F36" s="1044">
        <f>'数据-取费表'!B52</f>
        <v>1.5</v>
      </c>
      <c r="G36" s="984"/>
      <c r="H36" s="1058"/>
      <c r="I36" s="3929"/>
      <c r="J36" s="1151"/>
      <c r="K36" s="1150"/>
      <c r="L36" s="1151"/>
      <c r="M36" s="1151"/>
    </row>
    <row r="37" spans="1:18" ht="18" customHeight="1">
      <c r="A37" s="1069"/>
      <c r="B37" s="1070"/>
      <c r="C37" s="1071"/>
      <c r="D37" s="1072"/>
      <c r="E37" s="994" t="s">
        <v>2112</v>
      </c>
      <c r="F37" s="995">
        <f ca="1">INDIRECT("'数据-取费表'!r"&amp;$G$1)</f>
        <v>0</v>
      </c>
      <c r="G37" s="984"/>
      <c r="H37" s="1058"/>
      <c r="I37" s="3929"/>
      <c r="J37" s="1065"/>
      <c r="K37" s="1147"/>
      <c r="L37" s="1065"/>
      <c r="M37" s="1065"/>
    </row>
    <row r="38" spans="1:18" ht="18" customHeight="1">
      <c r="A38" s="1247" t="s">
        <v>2102</v>
      </c>
      <c r="B38" s="994" t="s">
        <v>2115</v>
      </c>
      <c r="C38" s="127">
        <f ca="1">ROUND(C31*F38,2)</f>
        <v>0</v>
      </c>
      <c r="D38" s="1060" t="s">
        <v>2150</v>
      </c>
      <c r="E38" s="994" t="s">
        <v>2087</v>
      </c>
      <c r="F38" s="1073">
        <f ca="1">INDIRECT("'数据-取费表'!Ak"&amp;$G$1)</f>
        <v>0</v>
      </c>
      <c r="G38" s="984"/>
      <c r="H38" s="1065"/>
      <c r="I38" s="1284"/>
      <c r="J38" s="1083"/>
      <c r="K38" s="1156"/>
      <c r="L38" s="1065"/>
      <c r="M38" s="1065"/>
    </row>
    <row r="39" spans="1:18" ht="18" customHeight="1">
      <c r="A39" s="1247" t="s">
        <v>2108</v>
      </c>
      <c r="B39" s="994" t="s">
        <v>2119</v>
      </c>
      <c r="C39" s="127">
        <f ca="1">ROUND(C15*F39,2)</f>
        <v>0</v>
      </c>
      <c r="D39" s="1060" t="s">
        <v>2120</v>
      </c>
      <c r="E39" s="994" t="s">
        <v>2087</v>
      </c>
      <c r="F39" s="1074">
        <f ca="1">INDIRECT("'数据-取费表'!Al"&amp;$G$1)</f>
        <v>0</v>
      </c>
      <c r="G39" s="984"/>
      <c r="H39" s="1065"/>
      <c r="I39" s="1284"/>
      <c r="J39" s="1083"/>
      <c r="K39" s="1156"/>
      <c r="L39" s="1065"/>
      <c r="M39" s="1065"/>
    </row>
    <row r="40" spans="1:18" ht="18" customHeight="1">
      <c r="A40" s="1252" t="s">
        <v>2113</v>
      </c>
      <c r="B40" s="1053" t="s">
        <v>2103</v>
      </c>
      <c r="C40" s="1051">
        <f ca="1">ROUND(C7*F40,2)</f>
        <v>0</v>
      </c>
      <c r="D40" s="1052" t="s">
        <v>2123</v>
      </c>
      <c r="E40" s="1053" t="s">
        <v>2087</v>
      </c>
      <c r="F40" s="1020">
        <f ca="1">INDIRECT("'数据-取费表'!Am"&amp;$G$1)</f>
        <v>0</v>
      </c>
      <c r="G40" s="984"/>
      <c r="H40" s="1065"/>
      <c r="I40" s="1284"/>
      <c r="J40" s="1083"/>
      <c r="K40" s="1161"/>
      <c r="L40" s="1065"/>
      <c r="M40" s="1065"/>
    </row>
    <row r="41" spans="1:18" ht="18" customHeight="1">
      <c r="A41" s="1022">
        <v>4</v>
      </c>
      <c r="B41" s="1023" t="s">
        <v>2151</v>
      </c>
      <c r="C41" s="1254"/>
      <c r="D41" s="1255"/>
      <c r="E41" s="1255"/>
      <c r="F41" s="1256"/>
      <c r="G41" s="984"/>
      <c r="H41" s="984"/>
      <c r="I41" s="984"/>
      <c r="J41" s="984"/>
      <c r="K41" s="1161"/>
      <c r="L41" s="984"/>
      <c r="M41" s="984"/>
    </row>
    <row r="42" spans="1:18" ht="18" customHeight="1">
      <c r="A42" s="1247" t="s">
        <v>900</v>
      </c>
      <c r="B42" s="1148" t="s">
        <v>2152</v>
      </c>
      <c r="C42" s="1257">
        <f ca="1">C7-C32</f>
        <v>0</v>
      </c>
      <c r="D42" s="1029" t="s">
        <v>2153</v>
      </c>
      <c r="E42" s="1220"/>
      <c r="F42" s="1221"/>
      <c r="G42" s="984"/>
      <c r="H42" s="984"/>
      <c r="I42" s="984"/>
      <c r="J42" s="984"/>
      <c r="K42" s="1161"/>
      <c r="L42" s="984"/>
      <c r="M42" s="984"/>
    </row>
    <row r="43" spans="1:18" ht="18" customHeight="1">
      <c r="A43" s="1247" t="s">
        <v>2102</v>
      </c>
      <c r="B43" s="1148" t="s">
        <v>2154</v>
      </c>
      <c r="C43" s="1149">
        <f ca="1">ROUND(C15*F43,0)</f>
        <v>0</v>
      </c>
      <c r="D43" s="1258" t="s">
        <v>2155</v>
      </c>
      <c r="E43" s="1259" t="s">
        <v>2156</v>
      </c>
      <c r="F43" s="1260">
        <f ca="1">INDIRECT("'数据-取费表'!j"&amp;$G$1)</f>
        <v>0</v>
      </c>
      <c r="G43" s="984"/>
      <c r="H43" s="984"/>
      <c r="I43" s="984"/>
      <c r="J43" s="984"/>
      <c r="K43" s="1161"/>
      <c r="L43" s="984"/>
      <c r="M43" s="984"/>
    </row>
    <row r="44" spans="1:18" ht="18" customHeight="1">
      <c r="A44" s="1247" t="s">
        <v>2108</v>
      </c>
      <c r="B44" s="1148" t="s">
        <v>2157</v>
      </c>
      <c r="C44" s="1261">
        <f ca="1">C42-C43</f>
        <v>0</v>
      </c>
      <c r="D44" s="1262" t="s">
        <v>2158</v>
      </c>
      <c r="E44" s="1263"/>
      <c r="F44" s="1264"/>
      <c r="G44" s="984"/>
      <c r="H44" s="984"/>
      <c r="I44" s="984"/>
      <c r="J44" s="984"/>
      <c r="K44" s="1161"/>
      <c r="L44" s="984"/>
      <c r="M44" s="984"/>
    </row>
    <row r="45" spans="1:18" ht="18" customHeight="1">
      <c r="A45" s="1247" t="s">
        <v>2113</v>
      </c>
      <c r="B45" s="1258" t="s">
        <v>2159</v>
      </c>
      <c r="C45" s="1265">
        <f ca="1">ROUND(-PV(F45,F46,C44,0),0)</f>
        <v>0</v>
      </c>
      <c r="D45" s="1266" t="s">
        <v>2160</v>
      </c>
      <c r="E45" s="1033" t="s">
        <v>2161</v>
      </c>
      <c r="F45" s="1267">
        <f ca="1">INDIRECT("'数据-取费表'!h"&amp;$G$1)</f>
        <v>0</v>
      </c>
      <c r="G45" s="984"/>
      <c r="H45" s="984"/>
      <c r="I45" s="984"/>
      <c r="J45" s="984"/>
      <c r="K45" s="1161"/>
      <c r="L45" s="984"/>
      <c r="M45" s="984"/>
    </row>
    <row r="46" spans="1:18" ht="18" customHeight="1">
      <c r="A46" s="1268"/>
      <c r="B46" s="1269"/>
      <c r="C46" s="1270"/>
      <c r="D46" s="1271"/>
      <c r="E46" s="1272" t="s">
        <v>2162</v>
      </c>
      <c r="F46" s="1089">
        <f ca="1">IF(INDIRECT("'数据-取费表'!af"&amp;$G$1)=0,INDIRECT("'数据-取费表'!ae"&amp;$G$1),INDIRECT("'数据-取费表'!af"&amp;$G$1))</f>
        <v>0</v>
      </c>
      <c r="G46" s="984"/>
      <c r="H46" s="984"/>
      <c r="I46" s="984"/>
      <c r="J46" s="984"/>
      <c r="K46" s="1161"/>
      <c r="L46" s="984"/>
      <c r="M46" s="984"/>
    </row>
    <row r="47" spans="1:18" s="708" customFormat="1" ht="18" customHeight="1">
      <c r="A47" s="1273"/>
      <c r="D47" s="1090"/>
      <c r="E47" s="1090"/>
      <c r="F47" s="1090"/>
      <c r="I47" s="1166" t="s">
        <v>2163</v>
      </c>
      <c r="J47" s="1167"/>
      <c r="K47" s="1168"/>
      <c r="L47" s="1285" t="e">
        <f ca="1">IF(M48="住宅",0,IF(L49&gt;J52,L61,J61))</f>
        <v>#DIV/0!</v>
      </c>
      <c r="O47" s="1171" t="s">
        <v>2164</v>
      </c>
      <c r="P47" s="1172"/>
      <c r="Q47" s="653"/>
      <c r="R47" s="1172"/>
    </row>
    <row r="48" spans="1:18" s="708" customFormat="1" ht="18" customHeight="1">
      <c r="A48" s="1273"/>
      <c r="C48" s="1274"/>
      <c r="D48" s="1275"/>
      <c r="E48" s="1275"/>
      <c r="F48" s="1276"/>
      <c r="G48" s="1106"/>
      <c r="I48" s="1173" t="s">
        <v>2165</v>
      </c>
      <c r="J48" s="1174"/>
      <c r="K48" s="1175" t="s">
        <v>2166</v>
      </c>
      <c r="L48" s="1176">
        <f ca="1">INDIRECT("'数据-取费表'!d"&amp;$G$1)</f>
        <v>0</v>
      </c>
      <c r="M48" s="1286" t="str">
        <f>IF(ISNUMBER(FIND("住宅",C1)),"住宅","非住宅")</f>
        <v>非住宅</v>
      </c>
      <c r="O48" s="1177" t="s">
        <v>1394</v>
      </c>
      <c r="P48" s="1178" t="s">
        <v>540</v>
      </c>
      <c r="Q48" s="1215" t="s">
        <v>2167</v>
      </c>
      <c r="R48" s="1178" t="s">
        <v>2168</v>
      </c>
    </row>
    <row r="49" spans="1:18" s="708" customFormat="1" ht="18" customHeight="1">
      <c r="A49" s="1273"/>
      <c r="D49" s="1277"/>
      <c r="E49" s="1278"/>
      <c r="F49" s="1276"/>
      <c r="G49" s="1106"/>
      <c r="H49" s="1107"/>
      <c r="I49" s="1179" t="s">
        <v>2169</v>
      </c>
      <c r="J49" s="1180"/>
      <c r="K49" s="1181" t="s">
        <v>359</v>
      </c>
      <c r="L49" s="702">
        <f ca="1">INDIRECT("'数据-取费表'!f"&amp;$G$1)</f>
        <v>0</v>
      </c>
      <c r="O49" s="1182" t="s">
        <v>2170</v>
      </c>
      <c r="P49" s="1183" t="s">
        <v>2171</v>
      </c>
      <c r="Q49" s="1216">
        <f ca="1">C41+J31</f>
        <v>0</v>
      </c>
      <c r="R49" s="1183" t="s">
        <v>2172</v>
      </c>
    </row>
    <row r="50" spans="1:18" s="708" customFormat="1" ht="18" customHeight="1">
      <c r="A50" s="1273"/>
      <c r="D50" s="1279"/>
      <c r="E50" s="1279"/>
      <c r="F50" s="1275"/>
      <c r="G50" s="1108"/>
      <c r="H50" s="1107"/>
      <c r="I50" s="1179" t="s">
        <v>2173</v>
      </c>
      <c r="J50" s="1184"/>
      <c r="K50" s="1185" t="s">
        <v>2174</v>
      </c>
      <c r="L50" s="1186"/>
      <c r="O50" s="1182" t="s">
        <v>2175</v>
      </c>
      <c r="P50" s="1183" t="s">
        <v>2176</v>
      </c>
      <c r="Q50" s="1216" t="e">
        <f ca="1">J61</f>
        <v>#DIV/0!</v>
      </c>
      <c r="R50" s="1183" t="s">
        <v>2177</v>
      </c>
    </row>
    <row r="51" spans="1:18" s="708" customFormat="1" ht="18" customHeight="1">
      <c r="A51" s="1280"/>
      <c r="D51" s="1279"/>
      <c r="E51" s="1279"/>
      <c r="F51" s="1090"/>
      <c r="H51" s="1107"/>
      <c r="I51" s="1179" t="s">
        <v>2178</v>
      </c>
      <c r="J51" s="1187">
        <f>SUMPRODUCT((I64:I66=J48)*(J63:L63=J49)*(J64:L66))</f>
        <v>0</v>
      </c>
      <c r="K51" s="1185" t="s">
        <v>2179</v>
      </c>
      <c r="L51" s="1186"/>
      <c r="O51" s="1188" t="s">
        <v>2180</v>
      </c>
      <c r="P51" s="1183" t="s">
        <v>2181</v>
      </c>
      <c r="Q51" s="1216">
        <f ca="1">C31</f>
        <v>0</v>
      </c>
      <c r="R51" s="1183" t="s">
        <v>2172</v>
      </c>
    </row>
    <row r="52" spans="1:18" s="708" customFormat="1" ht="18" customHeight="1">
      <c r="A52" s="1280"/>
      <c r="F52" s="1090"/>
      <c r="I52" s="1189" t="s">
        <v>2182</v>
      </c>
      <c r="J52" s="1190">
        <f>IF(J50="",J51,J50+J51-YEAR('数据-取费表'!B3))</f>
        <v>0</v>
      </c>
      <c r="K52" s="1179" t="s">
        <v>2183</v>
      </c>
      <c r="L52" s="1191">
        <f ca="1">C45</f>
        <v>0</v>
      </c>
      <c r="O52" s="1188" t="s">
        <v>2184</v>
      </c>
      <c r="P52" s="1183" t="s">
        <v>2185</v>
      </c>
      <c r="Q52" s="1217" t="e">
        <f ca="1">J59</f>
        <v>#DIV/0!</v>
      </c>
      <c r="R52" s="1218"/>
    </row>
    <row r="53" spans="1:18" s="708" customFormat="1" ht="18" customHeight="1">
      <c r="A53" s="1280"/>
      <c r="F53" s="1090"/>
      <c r="I53" s="1192" t="s">
        <v>2186</v>
      </c>
      <c r="J53" s="1193"/>
      <c r="K53" s="1192" t="s">
        <v>1223</v>
      </c>
      <c r="L53" s="1193"/>
      <c r="O53" s="1188" t="s">
        <v>2187</v>
      </c>
      <c r="P53" s="1183" t="s">
        <v>2188</v>
      </c>
      <c r="Q53" s="1217">
        <f>J53</f>
        <v>0</v>
      </c>
      <c r="R53" s="1218"/>
    </row>
    <row r="54" spans="1:18" s="708" customFormat="1" ht="28.5">
      <c r="A54" s="1280"/>
      <c r="I54" s="1194" t="s">
        <v>2189</v>
      </c>
      <c r="J54" s="1195">
        <f ca="1">IF(M48="住宅",MAX(J52,L49-'数据-取费表'!B20),MIN(J52,L49-'数据-取费表'!B20))</f>
        <v>-1</v>
      </c>
      <c r="K54" s="3923"/>
      <c r="L54" s="3924"/>
      <c r="O54" s="1188" t="s">
        <v>2190</v>
      </c>
      <c r="P54" s="1183" t="s">
        <v>2191</v>
      </c>
      <c r="Q54" s="1216">
        <f ca="1">J54</f>
        <v>-1</v>
      </c>
      <c r="R54" s="1183" t="s">
        <v>2192</v>
      </c>
    </row>
    <row r="55" spans="1:18" s="708" customFormat="1" ht="18" customHeight="1">
      <c r="A55" s="1280"/>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2" t="s">
        <v>2193</v>
      </c>
      <c r="P55" s="1183" t="s">
        <v>2194</v>
      </c>
      <c r="Q55" s="1216" t="e">
        <f ca="1">Q49+Q50</f>
        <v>#DIV/0!</v>
      </c>
      <c r="R55" s="1218" t="s">
        <v>2195</v>
      </c>
    </row>
    <row r="56" spans="1:18" s="708" customFormat="1" ht="15.75">
      <c r="A56" s="1280"/>
      <c r="B56" s="963"/>
      <c r="C56" s="963"/>
      <c r="I56" s="1196" t="s">
        <v>2196</v>
      </c>
      <c r="J56" s="1197" t="e">
        <f ca="1">ROUND(IF(J48="钢混",J58/J51,1-(1-2%)*(J51-J58)/J51),3)</f>
        <v>#DIV/0!</v>
      </c>
      <c r="K56" s="1198" t="s">
        <v>2197</v>
      </c>
      <c r="L56" s="1199"/>
      <c r="O56" s="1200" t="s">
        <v>2198</v>
      </c>
      <c r="P56" s="1172"/>
      <c r="Q56" s="653"/>
      <c r="R56" s="1172"/>
    </row>
    <row r="57" spans="1:18" s="708" customFormat="1" ht="42.75">
      <c r="A57" s="1280"/>
      <c r="B57" s="963"/>
      <c r="C57" s="963"/>
      <c r="I57" s="1201" t="s">
        <v>2199</v>
      </c>
      <c r="J57" s="1202"/>
      <c r="K57" s="1179" t="s">
        <v>2200</v>
      </c>
      <c r="L57" s="702">
        <f ca="1">IF(L49&lt;J52,"——",L49-J52)</f>
        <v>0</v>
      </c>
      <c r="O57" s="1177" t="s">
        <v>1394</v>
      </c>
      <c r="P57" s="1178" t="s">
        <v>540</v>
      </c>
      <c r="Q57" s="1215" t="s">
        <v>2167</v>
      </c>
      <c r="R57" s="1178" t="s">
        <v>2168</v>
      </c>
    </row>
    <row r="58" spans="1:18" s="708" customFormat="1" ht="28.5">
      <c r="A58" s="1280"/>
      <c r="B58" s="963"/>
      <c r="C58" s="963"/>
      <c r="I58" s="1203" t="s">
        <v>2201</v>
      </c>
      <c r="J58" s="1204">
        <f ca="1">IF(OR(M48="住宅",J52&lt;L49,J57="是"),"——",J52-L49)</f>
        <v>0</v>
      </c>
      <c r="K58" s="1179" t="s">
        <v>2202</v>
      </c>
      <c r="L58" s="702">
        <f ca="1">IF(L49&lt;J52,"——",IF(L56="比较法",L50,IF(L56="基准地价",L51,L52)))</f>
        <v>0</v>
      </c>
      <c r="O58" s="1182" t="s">
        <v>2170</v>
      </c>
      <c r="P58" s="1183" t="s">
        <v>2171</v>
      </c>
      <c r="Q58" s="1216">
        <f ca="1">C41+J31</f>
        <v>0</v>
      </c>
      <c r="R58" s="1183" t="s">
        <v>2172</v>
      </c>
    </row>
    <row r="59" spans="1:18" s="708" customFormat="1" ht="28.5">
      <c r="A59" s="1280"/>
      <c r="B59" s="963"/>
      <c r="C59" s="963"/>
      <c r="I59" s="1203" t="s">
        <v>2203</v>
      </c>
      <c r="J59" s="1205" t="e">
        <f ca="1">IF(J56&lt;0.4,0.4,J56)</f>
        <v>#DIV/0!</v>
      </c>
      <c r="K59" s="1179" t="s">
        <v>2204</v>
      </c>
      <c r="L59" s="702">
        <f ca="1">IF(ISERROR(POWER(1+L53,L48-L49)*(POWER(1+L53,L49)-1)/(POWER(1+L53,L48)-1)),0,POWER(1+L53,L48-L49)*(POWER(1+L53,L49)-1)/(POWER(1+L53,L48)-1))</f>
        <v>0</v>
      </c>
      <c r="O59" s="1182" t="s">
        <v>2175</v>
      </c>
      <c r="P59" s="1183" t="s">
        <v>2205</v>
      </c>
      <c r="Q59" s="1216" t="e">
        <f ca="1">L61</f>
        <v>#DIV/0!</v>
      </c>
      <c r="R59" s="1218" t="s">
        <v>2206</v>
      </c>
    </row>
    <row r="60" spans="1:18" s="708" customFormat="1" ht="28.5">
      <c r="A60" s="1280"/>
      <c r="B60" s="963"/>
      <c r="C60" s="963"/>
      <c r="I60" s="1203" t="s">
        <v>2207</v>
      </c>
      <c r="J60" s="1204" t="e">
        <f ca="1">IF(OR(M48="住宅",J52&lt;L49,J57="是"),"——",ROUND(C30*J59,0))</f>
        <v>#DIV/0!</v>
      </c>
      <c r="K60" s="1179" t="s">
        <v>2208</v>
      </c>
      <c r="L60" s="702">
        <f ca="1">IF(ISERROR(POWER(1+L53,L48-J52)*(POWER(1+L53,J52)-1)/(POWER(1+L53,L48)-1)),0,POWER(1+L53,L48-J52)*(POWER(1+L53,J52)-1)/(POWER(1+L53,L48)-1))</f>
        <v>0</v>
      </c>
      <c r="O60" s="1188" t="s">
        <v>2180</v>
      </c>
      <c r="P60" s="1183" t="s">
        <v>2209</v>
      </c>
      <c r="Q60" s="1216">
        <f>IF(L56="比较法",L50,IF(L56="基准地价",L51,0))</f>
        <v>0</v>
      </c>
      <c r="R60" s="1183" t="s">
        <v>2172</v>
      </c>
    </row>
    <row r="61" spans="1:18" s="708" customFormat="1">
      <c r="A61" s="1280"/>
      <c r="B61" s="963"/>
      <c r="C61" s="963"/>
      <c r="I61" s="1206" t="s">
        <v>2210</v>
      </c>
      <c r="J61" s="1207" t="e">
        <f ca="1">IF(OR(M48="住宅",J52&lt;L49,J57="是"),"0",ROUND(J60/(1+J53)^J54,0))</f>
        <v>#DIV/0!</v>
      </c>
      <c r="K61" s="1208" t="s">
        <v>2211</v>
      </c>
      <c r="L61" s="1207" t="e">
        <f ca="1">IF(OR(M48="住宅",L49&lt;J52),0,ROUND(L58*(L59/L60-1),0))</f>
        <v>#DIV/0!</v>
      </c>
      <c r="O61" s="1188" t="s">
        <v>2184</v>
      </c>
      <c r="P61" s="1183" t="s">
        <v>2212</v>
      </c>
      <c r="Q61" s="1217">
        <f>L53</f>
        <v>0</v>
      </c>
      <c r="R61" s="1218"/>
    </row>
    <row r="62" spans="1:18" s="708" customFormat="1" ht="19.5">
      <c r="A62" s="1280"/>
      <c r="B62" s="963"/>
      <c r="C62" s="963"/>
      <c r="K62" s="1165"/>
      <c r="O62" s="1188" t="s">
        <v>2187</v>
      </c>
      <c r="P62" s="1183" t="s">
        <v>2213</v>
      </c>
      <c r="Q62" s="1216">
        <f ca="1">L59</f>
        <v>0</v>
      </c>
      <c r="R62" s="1218" t="s">
        <v>2214</v>
      </c>
    </row>
    <row r="63" spans="1:18" s="708" customFormat="1" ht="19.5">
      <c r="A63" s="1280"/>
      <c r="B63" s="963"/>
      <c r="C63" s="963"/>
      <c r="I63" s="1209" t="s">
        <v>2215</v>
      </c>
      <c r="J63" s="1210" t="s">
        <v>2216</v>
      </c>
      <c r="K63" s="1210" t="s">
        <v>2217</v>
      </c>
      <c r="L63" s="1210" t="s">
        <v>2218</v>
      </c>
      <c r="M63" s="1211" t="s">
        <v>2219</v>
      </c>
      <c r="O63" s="1188" t="s">
        <v>2190</v>
      </c>
      <c r="P63" s="1183" t="s">
        <v>2220</v>
      </c>
      <c r="Q63" s="1216">
        <f ca="1">L60</f>
        <v>0</v>
      </c>
      <c r="R63" s="1218" t="s">
        <v>2221</v>
      </c>
    </row>
    <row r="64" spans="1:18" s="708" customFormat="1">
      <c r="A64" s="1280"/>
      <c r="B64" s="963"/>
      <c r="C64" s="963"/>
      <c r="I64" s="1209" t="s">
        <v>2222</v>
      </c>
      <c r="J64" s="1210">
        <v>70</v>
      </c>
      <c r="K64" s="1210">
        <v>50</v>
      </c>
      <c r="L64" s="1210">
        <v>80</v>
      </c>
      <c r="M64" s="1212">
        <v>0.02</v>
      </c>
      <c r="O64" s="1182" t="s">
        <v>2193</v>
      </c>
      <c r="P64" s="1183" t="s">
        <v>2194</v>
      </c>
      <c r="Q64" s="1216" t="e">
        <f ca="1">Q58+Q59</f>
        <v>#DIV/0!</v>
      </c>
      <c r="R64" s="1218" t="s">
        <v>2195</v>
      </c>
    </row>
    <row r="65" spans="1:18" s="708" customFormat="1" ht="15.75">
      <c r="A65" s="1280"/>
      <c r="B65" s="963"/>
      <c r="C65" s="963"/>
      <c r="I65" s="1209" t="s">
        <v>2223</v>
      </c>
      <c r="J65" s="1210">
        <v>50</v>
      </c>
      <c r="K65" s="1210">
        <v>35</v>
      </c>
      <c r="L65" s="1210">
        <v>60</v>
      </c>
      <c r="M65" s="701">
        <v>0</v>
      </c>
      <c r="O65" s="1200" t="s">
        <v>2224</v>
      </c>
      <c r="P65" s="1172"/>
      <c r="Q65" s="653"/>
      <c r="R65" s="1172"/>
    </row>
    <row r="66" spans="1:18" s="708" customFormat="1">
      <c r="A66" s="1280"/>
      <c r="B66" s="963"/>
      <c r="C66" s="963"/>
      <c r="I66" s="1209" t="s">
        <v>2225</v>
      </c>
      <c r="J66" s="1210">
        <v>40</v>
      </c>
      <c r="K66" s="1210">
        <v>30</v>
      </c>
      <c r="L66" s="1210">
        <v>50</v>
      </c>
      <c r="M66" s="1212">
        <v>0.02</v>
      </c>
      <c r="O66" s="1177" t="s">
        <v>1394</v>
      </c>
      <c r="P66" s="1178" t="s">
        <v>540</v>
      </c>
      <c r="Q66" s="1215" t="s">
        <v>2167</v>
      </c>
      <c r="R66" s="1178" t="s">
        <v>2168</v>
      </c>
    </row>
    <row r="67" spans="1:18" s="708" customFormat="1">
      <c r="A67" s="1280"/>
      <c r="B67" s="963"/>
      <c r="C67" s="963"/>
      <c r="K67" s="1165"/>
      <c r="O67" s="1182" t="s">
        <v>2170</v>
      </c>
      <c r="P67" s="1183" t="s">
        <v>2171</v>
      </c>
      <c r="Q67" s="1216">
        <f ca="1">C41+J31</f>
        <v>0</v>
      </c>
      <c r="R67" s="1183" t="s">
        <v>2172</v>
      </c>
    </row>
    <row r="68" spans="1:18" s="708" customFormat="1" ht="19.5">
      <c r="A68" s="1280"/>
      <c r="B68" s="963"/>
      <c r="C68" s="963"/>
      <c r="K68" s="1165"/>
      <c r="O68" s="1182" t="s">
        <v>2175</v>
      </c>
      <c r="P68" s="1183" t="s">
        <v>2205</v>
      </c>
      <c r="Q68" s="1216" t="e">
        <f ca="1">L61</f>
        <v>#DIV/0!</v>
      </c>
      <c r="R68" s="1218" t="s">
        <v>2206</v>
      </c>
    </row>
    <row r="69" spans="1:18" s="708" customFormat="1" ht="21">
      <c r="A69" s="1280"/>
      <c r="B69" s="963"/>
      <c r="C69" s="963"/>
      <c r="K69" s="1165"/>
      <c r="O69" s="1188" t="s">
        <v>2180</v>
      </c>
      <c r="P69" s="1183" t="s">
        <v>2209</v>
      </c>
      <c r="Q69" s="1223">
        <f ca="1">L52</f>
        <v>0</v>
      </c>
      <c r="R69" s="1224" t="s">
        <v>2226</v>
      </c>
    </row>
    <row r="70" spans="1:18" s="708" customFormat="1" ht="19.5">
      <c r="A70" s="1280"/>
      <c r="B70" s="963"/>
      <c r="C70" s="963"/>
      <c r="K70" s="1165"/>
      <c r="O70" s="1188" t="s">
        <v>2184</v>
      </c>
      <c r="P70" s="1222" t="s">
        <v>2227</v>
      </c>
      <c r="Q70" s="1216">
        <f ca="1">ROUND(Q71-Q72*Q73,0)</f>
        <v>0</v>
      </c>
      <c r="R70" s="1218"/>
    </row>
    <row r="71" spans="1:18" s="708" customFormat="1">
      <c r="A71" s="1280"/>
      <c r="B71" s="963"/>
      <c r="C71" s="963"/>
      <c r="K71" s="1165"/>
      <c r="O71" s="1188" t="s">
        <v>2228</v>
      </c>
      <c r="P71" s="1222" t="s">
        <v>2229</v>
      </c>
      <c r="Q71" s="1216">
        <f ca="1">C42</f>
        <v>0</v>
      </c>
      <c r="R71" s="1183" t="s">
        <v>2172</v>
      </c>
    </row>
    <row r="72" spans="1:18" s="708" customFormat="1">
      <c r="A72" s="1280"/>
      <c r="B72" s="963"/>
      <c r="C72" s="963"/>
      <c r="K72" s="1165"/>
      <c r="O72" s="1188" t="s">
        <v>2230</v>
      </c>
      <c r="P72" s="1222" t="s">
        <v>2231</v>
      </c>
      <c r="Q72" s="1216">
        <f ca="1">C15</f>
        <v>0</v>
      </c>
      <c r="R72" s="1183" t="s">
        <v>2172</v>
      </c>
    </row>
    <row r="73" spans="1:18" s="708" customFormat="1">
      <c r="A73" s="1280"/>
      <c r="B73" s="963"/>
      <c r="C73" s="963"/>
      <c r="K73" s="1165"/>
      <c r="O73" s="1188" t="s">
        <v>2232</v>
      </c>
      <c r="P73" s="1222" t="s">
        <v>2233</v>
      </c>
      <c r="Q73" s="1217">
        <f ca="1">F43</f>
        <v>0</v>
      </c>
      <c r="R73" s="1218"/>
    </row>
    <row r="74" spans="1:18" s="708" customFormat="1">
      <c r="A74" s="1280"/>
      <c r="B74" s="963"/>
      <c r="C74" s="963"/>
      <c r="K74" s="1165"/>
      <c r="O74" s="1188" t="s">
        <v>2187</v>
      </c>
      <c r="P74" s="1183" t="s">
        <v>2212</v>
      </c>
      <c r="Q74" s="1217">
        <f>L53</f>
        <v>0</v>
      </c>
      <c r="R74" s="1218"/>
    </row>
    <row r="75" spans="1:18" s="708" customFormat="1" ht="19.5">
      <c r="A75" s="1280"/>
      <c r="B75" s="963"/>
      <c r="C75" s="963"/>
      <c r="K75" s="1165"/>
      <c r="O75" s="1188" t="s">
        <v>2190</v>
      </c>
      <c r="P75" s="1183" t="s">
        <v>2213</v>
      </c>
      <c r="Q75" s="1216">
        <f ca="1">L59</f>
        <v>0</v>
      </c>
      <c r="R75" s="1218" t="s">
        <v>2214</v>
      </c>
    </row>
    <row r="76" spans="1:18" s="708" customFormat="1" ht="19.5">
      <c r="A76" s="1280"/>
      <c r="B76" s="963"/>
      <c r="C76" s="963"/>
      <c r="K76" s="1165"/>
      <c r="O76" s="1188" t="s">
        <v>2234</v>
      </c>
      <c r="P76" s="1183" t="s">
        <v>2220</v>
      </c>
      <c r="Q76" s="1216">
        <f ca="1">L60</f>
        <v>0</v>
      </c>
      <c r="R76" s="1218" t="s">
        <v>2221</v>
      </c>
    </row>
    <row r="77" spans="1:18" s="708" customFormat="1">
      <c r="A77" s="1280"/>
      <c r="B77" s="963"/>
      <c r="C77" s="963"/>
      <c r="K77" s="1165"/>
      <c r="O77" s="1182" t="s">
        <v>2193</v>
      </c>
      <c r="P77" s="1183" t="s">
        <v>2194</v>
      </c>
      <c r="Q77" s="1216" t="e">
        <f ca="1">Q67+Q68</f>
        <v>#DIV/0!</v>
      </c>
      <c r="R77" s="1218" t="s">
        <v>2195</v>
      </c>
    </row>
    <row r="78" spans="1:18" s="708" customFormat="1">
      <c r="A78" s="1280"/>
      <c r="B78" s="963"/>
      <c r="C78" s="963"/>
      <c r="K78" s="1165"/>
    </row>
    <row r="79" spans="1:18" s="708" customFormat="1">
      <c r="A79" s="1280"/>
      <c r="B79" s="963"/>
      <c r="C79" s="963"/>
      <c r="K79" s="1165"/>
    </row>
    <row r="80" spans="1:18" s="708" customFormat="1">
      <c r="A80" s="1280"/>
      <c r="B80" s="963"/>
      <c r="C80" s="963"/>
      <c r="K80" s="1165"/>
    </row>
    <row r="81" spans="1:11" s="708" customFormat="1">
      <c r="A81" s="1280"/>
      <c r="B81" s="963"/>
      <c r="C81" s="963"/>
      <c r="K81" s="1165"/>
    </row>
    <row r="82" spans="1:11" s="708" customFormat="1">
      <c r="A82" s="1280"/>
      <c r="B82" s="963"/>
      <c r="C82" s="963"/>
      <c r="K82" s="1165"/>
    </row>
    <row r="83" spans="1:11" s="708" customFormat="1">
      <c r="A83" s="1280"/>
      <c r="B83" s="963"/>
      <c r="C83" s="963"/>
      <c r="K83" s="1165"/>
    </row>
    <row r="84" spans="1:11" s="708" customFormat="1">
      <c r="A84" s="1280"/>
      <c r="B84" s="963"/>
      <c r="C84" s="963"/>
      <c r="K84" s="1165"/>
    </row>
    <row r="85" spans="1:11" s="708" customFormat="1">
      <c r="A85" s="1280"/>
      <c r="B85" s="963"/>
      <c r="C85" s="963"/>
      <c r="K85" s="1165"/>
    </row>
    <row r="86" spans="1:11" s="708" customFormat="1">
      <c r="A86" s="1280"/>
      <c r="B86" s="963"/>
      <c r="C86" s="963"/>
      <c r="K86" s="1165"/>
    </row>
    <row r="87" spans="1:11" s="708" customFormat="1">
      <c r="A87" s="1280"/>
      <c r="B87" s="963"/>
      <c r="C87" s="963"/>
      <c r="K87" s="1165"/>
    </row>
    <row r="88" spans="1:11" s="708" customFormat="1">
      <c r="A88" s="1280"/>
      <c r="B88" s="963"/>
      <c r="C88" s="963"/>
      <c r="K88" s="1165"/>
    </row>
    <row r="89" spans="1:11" s="708" customFormat="1">
      <c r="A89" s="1280"/>
      <c r="B89" s="963"/>
      <c r="C89" s="963"/>
      <c r="K89" s="1165"/>
    </row>
    <row r="90" spans="1:11" s="708" customFormat="1">
      <c r="A90" s="1280"/>
      <c r="B90" s="963"/>
      <c r="C90" s="963"/>
      <c r="K90" s="1165"/>
    </row>
    <row r="91" spans="1:11" s="708" customFormat="1">
      <c r="A91" s="1280"/>
      <c r="B91" s="963"/>
      <c r="C91" s="963"/>
      <c r="K91" s="1165"/>
    </row>
    <row r="92" spans="1:11" s="708" customFormat="1">
      <c r="A92" s="1280"/>
      <c r="B92" s="963"/>
      <c r="C92" s="963"/>
      <c r="K92" s="1165"/>
    </row>
    <row r="93" spans="1:11" s="708" customFormat="1">
      <c r="A93" s="1280"/>
      <c r="B93" s="963"/>
      <c r="C93" s="963"/>
      <c r="K93" s="1165"/>
    </row>
    <row r="94" spans="1:11" s="708" customFormat="1">
      <c r="A94" s="1280"/>
      <c r="B94" s="963"/>
      <c r="C94" s="963"/>
      <c r="K94" s="1165"/>
    </row>
  </sheetData>
  <sheetProtection password="CEE9" sheet="1" objects="1" scenarios="1" formatCells="0" formatColumns="0" formatRows="0"/>
  <mergeCells count="4">
    <mergeCell ref="K54:L54"/>
    <mergeCell ref="B8:B11"/>
    <mergeCell ref="I8:I11"/>
    <mergeCell ref="I36:I37"/>
  </mergeCells>
  <phoneticPr fontId="25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M40" sqref="M40"/>
    </sheetView>
  </sheetViews>
  <sheetFormatPr defaultColWidth="9" defaultRowHeight="15"/>
  <cols>
    <col min="1" max="1" width="9" style="960"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5.875" style="708" customWidth="1"/>
    <col min="16" max="16" width="27.625" style="708" customWidth="1"/>
    <col min="17" max="17" width="13.75" style="963" customWidth="1"/>
    <col min="18" max="18" width="23.5" style="708" customWidth="1"/>
    <col min="19" max="19" width="1.5" style="708" customWidth="1"/>
    <col min="20" max="33" width="9" style="708"/>
    <col min="34" max="16384" width="9" style="960"/>
  </cols>
  <sheetData>
    <row r="1" spans="1:33" s="958" customFormat="1" ht="21">
      <c r="A1" s="964" t="s">
        <v>2235</v>
      </c>
      <c r="B1" s="965"/>
      <c r="C1" s="966" t="s">
        <v>164</v>
      </c>
      <c r="D1" s="967" t="s">
        <v>2236</v>
      </c>
      <c r="E1" s="968" t="s">
        <v>637</v>
      </c>
      <c r="F1" s="969">
        <f ca="1">J53</f>
        <v>17.66</v>
      </c>
      <c r="G1" s="970">
        <f>MATCH(C1,'数据-取费表'!A6:A16,0)+5</f>
        <v>6</v>
      </c>
      <c r="H1" s="971"/>
      <c r="I1" s="1115"/>
      <c r="J1" s="1115"/>
      <c r="K1" s="1116"/>
      <c r="L1" s="1115"/>
      <c r="M1" s="1115"/>
      <c r="N1" s="1117"/>
      <c r="O1" s="1117"/>
      <c r="P1" s="1117"/>
      <c r="Q1" s="1213"/>
      <c r="R1" s="1117"/>
      <c r="S1" s="1117"/>
      <c r="T1" s="1117"/>
      <c r="U1" s="1117"/>
      <c r="V1" s="1117"/>
      <c r="W1" s="1117"/>
      <c r="X1" s="1117"/>
      <c r="Y1" s="1117"/>
      <c r="Z1" s="1117"/>
      <c r="AA1" s="1117"/>
      <c r="AB1" s="1117"/>
      <c r="AC1" s="1117"/>
      <c r="AD1" s="1117"/>
      <c r="AE1" s="1117"/>
      <c r="AF1" s="1117"/>
      <c r="AG1" s="1117"/>
    </row>
    <row r="2" spans="1:33" ht="18" customHeight="1">
      <c r="A2" s="214" t="s">
        <v>962</v>
      </c>
      <c r="B2" s="125">
        <f ca="1">C40+J29+L46</f>
        <v>21980</v>
      </c>
      <c r="C2" s="972"/>
      <c r="D2" s="973"/>
      <c r="E2" s="974"/>
      <c r="F2" s="974"/>
      <c r="G2" s="975"/>
      <c r="H2" s="976"/>
      <c r="I2" s="976"/>
      <c r="J2" s="976"/>
      <c r="K2" s="1118"/>
      <c r="L2" s="976"/>
      <c r="M2" s="976"/>
    </row>
    <row r="3" spans="1:33" ht="18" customHeight="1">
      <c r="A3" s="977" t="s">
        <v>2237</v>
      </c>
      <c r="B3" s="978">
        <f ca="1">IF(ISERROR(B2*10000/F43),0,ROUND(B2*10000/F43,0))</f>
        <v>6931</v>
      </c>
      <c r="C3" s="972"/>
      <c r="D3" s="973"/>
      <c r="E3" s="974"/>
      <c r="F3" s="974"/>
      <c r="G3" s="975"/>
      <c r="H3" s="979" t="s">
        <v>2061</v>
      </c>
      <c r="I3" s="1119"/>
      <c r="J3" s="1119"/>
      <c r="K3" s="1120"/>
      <c r="L3" s="1119"/>
      <c r="M3" s="1119"/>
    </row>
    <row r="4" spans="1:33" ht="18" customHeight="1">
      <c r="A4" s="980" t="s">
        <v>2062</v>
      </c>
      <c r="B4" s="981" t="s">
        <v>2063</v>
      </c>
      <c r="C4" s="981" t="s">
        <v>2064</v>
      </c>
      <c r="D4" s="981" t="s">
        <v>2065</v>
      </c>
      <c r="E4" s="982" t="s">
        <v>2066</v>
      </c>
      <c r="F4" s="983"/>
      <c r="G4" s="984"/>
      <c r="H4" s="980" t="s">
        <v>2062</v>
      </c>
      <c r="I4" s="981" t="s">
        <v>2063</v>
      </c>
      <c r="J4" s="981" t="s">
        <v>2064</v>
      </c>
      <c r="K4" s="981" t="s">
        <v>2065</v>
      </c>
      <c r="L4" s="982" t="s">
        <v>2066</v>
      </c>
      <c r="M4" s="983"/>
    </row>
    <row r="5" spans="1:33" ht="18" customHeight="1">
      <c r="A5" s="985">
        <v>1</v>
      </c>
      <c r="B5" s="986" t="s">
        <v>2067</v>
      </c>
      <c r="C5" s="987">
        <f ca="1">C6+C10+C12</f>
        <v>1877</v>
      </c>
      <c r="D5" s="988" t="s">
        <v>2068</v>
      </c>
      <c r="E5" s="989"/>
      <c r="F5" s="990"/>
      <c r="G5" s="984"/>
      <c r="H5" s="985">
        <v>1</v>
      </c>
      <c r="I5" s="986" t="s">
        <v>2067</v>
      </c>
      <c r="J5" s="987">
        <f ca="1">J6+J10+J12</f>
        <v>0</v>
      </c>
      <c r="K5" s="988" t="s">
        <v>2068</v>
      </c>
      <c r="L5" s="989"/>
      <c r="M5" s="990"/>
    </row>
    <row r="6" spans="1:33" ht="18" customHeight="1">
      <c r="A6" s="991" t="s">
        <v>900</v>
      </c>
      <c r="B6" s="3925" t="s">
        <v>2069</v>
      </c>
      <c r="C6" s="992">
        <f ca="1">ROUND(F6*F8*F7*(1-F9)/10000,0)</f>
        <v>1875</v>
      </c>
      <c r="D6" s="993" t="s">
        <v>2238</v>
      </c>
      <c r="E6" s="994" t="s">
        <v>2071</v>
      </c>
      <c r="F6" s="995">
        <f ca="1">INDIRECT("'数据-取费表'!u"&amp;$G$1)</f>
        <v>1.8</v>
      </c>
      <c r="G6" s="984"/>
      <c r="H6" s="996" t="s">
        <v>900</v>
      </c>
      <c r="I6" s="3925" t="s">
        <v>2069</v>
      </c>
      <c r="J6" s="992">
        <f ca="1">ROUND(M6*M8*M7*(1-M9)/10000,0)</f>
        <v>0</v>
      </c>
      <c r="K6" s="1066" t="s">
        <v>2239</v>
      </c>
      <c r="L6" s="994" t="s">
        <v>2071</v>
      </c>
      <c r="M6" s="995">
        <f ca="1">INDIRECT("'数据-取费表'!z"&amp;$G$1)</f>
        <v>0</v>
      </c>
    </row>
    <row r="7" spans="1:33" ht="18" customHeight="1">
      <c r="A7" s="997"/>
      <c r="B7" s="3926"/>
      <c r="C7" s="998"/>
      <c r="D7" s="999"/>
      <c r="E7" s="994" t="s">
        <v>2072</v>
      </c>
      <c r="F7" s="995">
        <f ca="1">IF(INDIRECT("'数据-取费表'!ah"&amp;$G$1)="",INDIRECT("'数据-取费表'!k"&amp;$G$1),INDIRECT("'数据-取费表'!ah"&amp;$G$1))</f>
        <v>31713.88</v>
      </c>
      <c r="G7" s="984"/>
      <c r="H7" s="1000"/>
      <c r="I7" s="3926"/>
      <c r="J7" s="998"/>
      <c r="K7" s="999"/>
      <c r="L7" s="994" t="s">
        <v>2072</v>
      </c>
      <c r="M7" s="995">
        <f ca="1">F7</f>
        <v>31713.88</v>
      </c>
    </row>
    <row r="8" spans="1:33" ht="18" customHeight="1">
      <c r="A8" s="1001"/>
      <c r="B8" s="3927"/>
      <c r="C8" s="998"/>
      <c r="D8" s="999"/>
      <c r="E8" s="994" t="s">
        <v>2073</v>
      </c>
      <c r="F8" s="995">
        <f ca="1">INDIRECT("'数据-取费表'!ai"&amp;$G$1)</f>
        <v>365</v>
      </c>
      <c r="G8" s="984"/>
      <c r="H8" s="1000"/>
      <c r="I8" s="3927"/>
      <c r="J8" s="998"/>
      <c r="K8" s="999"/>
      <c r="L8" s="994" t="s">
        <v>2073</v>
      </c>
      <c r="M8" s="995">
        <f ca="1">INDIRECT("'数据-取费表'!ai"&amp;$G$1)</f>
        <v>365</v>
      </c>
    </row>
    <row r="9" spans="1:33" ht="18" customHeight="1">
      <c r="A9" s="1002"/>
      <c r="B9" s="3928"/>
      <c r="C9" s="998"/>
      <c r="D9" s="999"/>
      <c r="E9" s="994" t="s">
        <v>2074</v>
      </c>
      <c r="F9" s="1003">
        <f ca="1">INDIRECT("'数据-取费表'!w"&amp;$G$1)</f>
        <v>0.1</v>
      </c>
      <c r="G9" s="984"/>
      <c r="H9" s="1004"/>
      <c r="I9" s="3927"/>
      <c r="J9" s="998"/>
      <c r="K9" s="999"/>
      <c r="L9" s="1047" t="s">
        <v>2074</v>
      </c>
      <c r="M9" s="1013">
        <f ca="1">INDIRECT("'数据-取费表'!ab"&amp;$G$1)</f>
        <v>0</v>
      </c>
    </row>
    <row r="10" spans="1:33" ht="18" customHeight="1">
      <c r="A10" s="991" t="s">
        <v>902</v>
      </c>
      <c r="B10" s="1005" t="s">
        <v>2075</v>
      </c>
      <c r="C10" s="126">
        <f ca="1">ROUND(IF(F10="押一",C6/12*F11,IF(F10="押二",C6/12*2*F11,IF(F10="押三",C6/12*3*F11,C11*F11))),0)</f>
        <v>2</v>
      </c>
      <c r="D10" s="1006" t="s">
        <v>2076</v>
      </c>
      <c r="E10" s="1007" t="s">
        <v>2077</v>
      </c>
      <c r="F10" s="1008" t="s">
        <v>2240</v>
      </c>
      <c r="G10" s="984"/>
      <c r="H10" s="1009" t="s">
        <v>902</v>
      </c>
      <c r="I10" s="1121" t="s">
        <v>2075</v>
      </c>
      <c r="J10" s="992">
        <f ca="1">ROUND(IF(M10="押一",J6/12*M11,IF(M10="押二",J6/12*2*M11,IF(M10="押三",J6/12*3*M11,J11*M11))),0)</f>
        <v>0</v>
      </c>
      <c r="K10" s="1006" t="s">
        <v>2076</v>
      </c>
      <c r="L10" s="1007" t="s">
        <v>2077</v>
      </c>
      <c r="M10" s="1008"/>
    </row>
    <row r="11" spans="1:33" ht="18" customHeight="1">
      <c r="A11" s="1010"/>
      <c r="B11" s="1011" t="s">
        <v>2078</v>
      </c>
      <c r="C11" s="1012"/>
      <c r="D11" s="999"/>
      <c r="E11" s="1007" t="s">
        <v>684</v>
      </c>
      <c r="F11" s="1013">
        <f ca="1">'数据-取费表'!B39</f>
        <v>1.4999999999999999E-2</v>
      </c>
      <c r="G11" s="984"/>
      <c r="H11" s="1014"/>
      <c r="I11" s="1011" t="s">
        <v>2078</v>
      </c>
      <c r="J11" s="1012"/>
      <c r="K11" s="1122"/>
      <c r="L11" s="1007" t="s">
        <v>684</v>
      </c>
      <c r="M11" s="1123">
        <f ca="1">'数据-取费表'!B39</f>
        <v>1.4999999999999999E-2</v>
      </c>
    </row>
    <row r="12" spans="1:33" ht="18" customHeight="1">
      <c r="A12" s="1015" t="s">
        <v>970</v>
      </c>
      <c r="B12" s="1016" t="s">
        <v>2079</v>
      </c>
      <c r="C12" s="1017"/>
      <c r="D12" s="1018"/>
      <c r="E12" s="1019"/>
      <c r="F12" s="1020"/>
      <c r="G12" s="984"/>
      <c r="H12" s="1021" t="s">
        <v>970</v>
      </c>
      <c r="I12" s="1124" t="s">
        <v>2079</v>
      </c>
      <c r="J12" s="1125"/>
      <c r="K12" s="1018"/>
      <c r="L12" s="1019"/>
      <c r="M12" s="1126"/>
    </row>
    <row r="13" spans="1:33" ht="18" customHeight="1">
      <c r="A13" s="1022">
        <v>2</v>
      </c>
      <c r="B13" s="1023" t="s">
        <v>2083</v>
      </c>
      <c r="C13" s="1024">
        <f ca="1">ROUND(C29*F13,0)</f>
        <v>15897</v>
      </c>
      <c r="D13" s="1025" t="s">
        <v>2241</v>
      </c>
      <c r="E13" s="1025" t="s">
        <v>2082</v>
      </c>
      <c r="F13" s="1026">
        <f ca="1">INDIRECT("'数据-取费表'!y"&amp;$G$1)</f>
        <v>1</v>
      </c>
      <c r="G13" s="984"/>
      <c r="H13" s="1022">
        <v>2</v>
      </c>
      <c r="I13" s="1023" t="s">
        <v>2083</v>
      </c>
      <c r="J13" s="1127">
        <f ca="1">ROUND(J14*J15,0)</f>
        <v>0</v>
      </c>
      <c r="K13" s="1056" t="s">
        <v>2081</v>
      </c>
      <c r="L13" s="1128"/>
      <c r="M13" s="1129"/>
    </row>
    <row r="14" spans="1:33" ht="18" customHeight="1">
      <c r="A14" s="1027" t="s">
        <v>924</v>
      </c>
      <c r="B14" s="994" t="s">
        <v>977</v>
      </c>
      <c r="C14" s="1028">
        <f ca="1">INDIRECT("'数据-取费表'!m"&amp;$G$1)+INDIRECT("'数据-取费表'!t"&amp;$G$1)</f>
        <v>12053</v>
      </c>
      <c r="D14" s="1029" t="s">
        <v>2084</v>
      </c>
      <c r="E14" s="1030"/>
      <c r="F14" s="1031"/>
      <c r="G14" s="984"/>
      <c r="H14" s="1032" t="s">
        <v>900</v>
      </c>
      <c r="I14" s="1113" t="s">
        <v>2085</v>
      </c>
      <c r="J14" s="127">
        <f ca="1">C29</f>
        <v>15897</v>
      </c>
      <c r="K14" s="1114"/>
      <c r="L14" s="1130"/>
      <c r="M14" s="1131"/>
    </row>
    <row r="15" spans="1:33" s="959" customFormat="1" ht="18" customHeight="1">
      <c r="A15" s="1027" t="s">
        <v>928</v>
      </c>
      <c r="B15" s="994" t="s">
        <v>979</v>
      </c>
      <c r="C15" s="127">
        <f ca="1">ROUND(C14*F15,0)</f>
        <v>362</v>
      </c>
      <c r="D15" s="1033" t="s">
        <v>2086</v>
      </c>
      <c r="E15" s="1033" t="s">
        <v>2087</v>
      </c>
      <c r="F15" s="1034">
        <f>'数据-取费表'!B33</f>
        <v>0.03</v>
      </c>
      <c r="G15" s="1035"/>
      <c r="H15" s="1021" t="s">
        <v>902</v>
      </c>
      <c r="I15" s="1053" t="s">
        <v>2082</v>
      </c>
      <c r="J15" s="1132">
        <f ca="1">INDIRECT("'数据-取费表'!ad"&amp;$G$1)</f>
        <v>0</v>
      </c>
      <c r="K15" s="1133"/>
      <c r="L15" s="1134"/>
      <c r="M15" s="1135"/>
      <c r="N15" s="1136"/>
      <c r="O15" s="1136"/>
      <c r="P15" s="1136"/>
      <c r="Q15" s="1214"/>
      <c r="R15" s="1136"/>
      <c r="S15" s="1136"/>
      <c r="T15" s="1136"/>
      <c r="U15" s="1136"/>
      <c r="V15" s="1136"/>
      <c r="W15" s="1136"/>
      <c r="X15" s="1136"/>
      <c r="Y15" s="1136"/>
      <c r="Z15" s="1136"/>
      <c r="AA15" s="1136"/>
      <c r="AB15" s="1136"/>
      <c r="AC15" s="1136"/>
      <c r="AD15" s="1136"/>
      <c r="AE15" s="1136"/>
      <c r="AF15" s="1136"/>
      <c r="AG15" s="1136"/>
    </row>
    <row r="16" spans="1:33" ht="18" customHeight="1">
      <c r="A16" s="1027" t="s">
        <v>931</v>
      </c>
      <c r="B16" s="994" t="s">
        <v>982</v>
      </c>
      <c r="C16" s="127">
        <f ca="1">ROUND(INDIRECT("'数据-取费表'!m"&amp;$G$1)*F16,0)</f>
        <v>0</v>
      </c>
      <c r="D16" s="994" t="s">
        <v>2086</v>
      </c>
      <c r="E16" s="994" t="s">
        <v>2087</v>
      </c>
      <c r="F16" s="1036">
        <f ca="1">IF(INDIRECT("'数据-取费表'!c"&amp;$G$1)="住宅",'数据-取费表'!B34,0)</f>
        <v>0</v>
      </c>
      <c r="G16" s="984"/>
      <c r="H16" s="1022" t="s">
        <v>2147</v>
      </c>
      <c r="I16" s="1023" t="s">
        <v>2088</v>
      </c>
      <c r="J16" s="1024">
        <f ca="1">ROUND(J17+J22+J23+J24,0)</f>
        <v>83</v>
      </c>
      <c r="K16" s="1056" t="s">
        <v>2089</v>
      </c>
      <c r="L16" s="1057"/>
      <c r="M16" s="990"/>
    </row>
    <row r="17" spans="1:33" s="959" customFormat="1" ht="18" customHeight="1">
      <c r="A17" s="1027" t="s">
        <v>2242</v>
      </c>
      <c r="B17" s="994" t="s">
        <v>2090</v>
      </c>
      <c r="C17" s="127">
        <f ca="1">ROUND(F17*(F43+INDIRECT("'数据-取费表'!S"&amp;$G$1))/10000,0)</f>
        <v>930</v>
      </c>
      <c r="D17" s="994" t="s">
        <v>2091</v>
      </c>
      <c r="E17" s="994" t="s">
        <v>2092</v>
      </c>
      <c r="F17" s="1037">
        <f>'数据-取费表'!B35</f>
        <v>200</v>
      </c>
      <c r="G17" s="1035"/>
      <c r="H17" s="1032" t="s">
        <v>900</v>
      </c>
      <c r="I17" s="994" t="s">
        <v>2093</v>
      </c>
      <c r="J17" s="1059">
        <f ca="1">ROUND(IF(AND(项目基本情况!B11="自然人",项目基本情况!B10="北京市"),J6*M17/(1+'数据-取费表'!C42),J18+J19+J20),2)</f>
        <v>4</v>
      </c>
      <c r="K17" s="1029" t="s">
        <v>2094</v>
      </c>
      <c r="L17" s="1060" t="s">
        <v>2095</v>
      </c>
      <c r="M17" s="1061" t="str">
        <f>IF(项目基本情况!B11="企业","——",IF('数据-取费表'!B10="住宅",IF(M6*M7*M8/12/(1+'数据-取费表'!F30)&gt;100000,4%,2.5%),IF(M6*M7*M8/12/(1+'数据-取费表'!F30)&gt;100000,12%,7%)))</f>
        <v>——</v>
      </c>
      <c r="N17" s="1136"/>
      <c r="O17" s="1136"/>
      <c r="P17" s="1136"/>
      <c r="Q17" s="1214"/>
      <c r="R17" s="1136"/>
      <c r="S17" s="1136"/>
      <c r="T17" s="1136"/>
      <c r="U17" s="1136"/>
      <c r="V17" s="1136"/>
      <c r="W17" s="1136"/>
      <c r="X17" s="1136"/>
      <c r="Y17" s="1136"/>
      <c r="Z17" s="1136"/>
      <c r="AA17" s="1136"/>
      <c r="AB17" s="1136"/>
      <c r="AC17" s="1136"/>
      <c r="AD17" s="1136"/>
      <c r="AE17" s="1136"/>
      <c r="AF17" s="1136"/>
      <c r="AG17" s="1136"/>
    </row>
    <row r="18" spans="1:33" s="959" customFormat="1" ht="18" customHeight="1">
      <c r="A18" s="1027" t="s">
        <v>2243</v>
      </c>
      <c r="B18" s="994" t="s">
        <v>987</v>
      </c>
      <c r="C18" s="127">
        <f ca="1">ROUND(C14*F18,0)</f>
        <v>181</v>
      </c>
      <c r="D18" s="994" t="s">
        <v>2086</v>
      </c>
      <c r="E18" s="994" t="s">
        <v>2087</v>
      </c>
      <c r="F18" s="1036">
        <f>'数据-取费表'!B36</f>
        <v>1.4999999999999999E-2</v>
      </c>
      <c r="G18" s="1035"/>
      <c r="H18" s="1027" t="s">
        <v>924</v>
      </c>
      <c r="I18" s="994" t="s">
        <v>2096</v>
      </c>
      <c r="J18" s="127">
        <f ca="1">ROUND(J6*M18/(1+'数据-取费表'!C42),2)</f>
        <v>0</v>
      </c>
      <c r="K18" s="1060" t="s">
        <v>2097</v>
      </c>
      <c r="L18" s="994" t="s">
        <v>2087</v>
      </c>
      <c r="M18" s="1036">
        <f>'数据-取费表'!B41</f>
        <v>5.5E-2</v>
      </c>
      <c r="N18" s="1136"/>
      <c r="O18" s="1136"/>
      <c r="P18" s="1136"/>
      <c r="Q18" s="1214"/>
      <c r="R18" s="1136"/>
      <c r="S18" s="1136"/>
      <c r="T18" s="1136"/>
      <c r="U18" s="1136"/>
      <c r="V18" s="1136"/>
      <c r="W18" s="1136"/>
      <c r="X18" s="1136"/>
      <c r="Y18" s="1136"/>
      <c r="Z18" s="1136"/>
      <c r="AA18" s="1136"/>
      <c r="AB18" s="1136"/>
      <c r="AC18" s="1136"/>
      <c r="AD18" s="1136"/>
      <c r="AE18" s="1136"/>
      <c r="AF18" s="1136"/>
      <c r="AG18" s="1136"/>
    </row>
    <row r="19" spans="1:33" ht="18" customHeight="1">
      <c r="A19" s="1032" t="s">
        <v>900</v>
      </c>
      <c r="B19" s="994" t="s">
        <v>2098</v>
      </c>
      <c r="C19" s="127">
        <f ca="1">SUM(C14:C18)</f>
        <v>13526</v>
      </c>
      <c r="D19" s="1038" t="s">
        <v>2099</v>
      </c>
      <c r="E19" s="129"/>
      <c r="F19" s="1037"/>
      <c r="G19" s="984"/>
      <c r="H19" s="1027" t="s">
        <v>928</v>
      </c>
      <c r="I19" s="994" t="s">
        <v>2100</v>
      </c>
      <c r="J19" s="127">
        <f ca="1">IF(K19="按租金收入计税",ROUND(J6*M19/(1+'数据-取费表'!C42),1),ROUND(C29*F33*0.7,2))</f>
        <v>0</v>
      </c>
      <c r="K19" s="1064" t="s">
        <v>2101</v>
      </c>
      <c r="L19" s="994" t="s">
        <v>2087</v>
      </c>
      <c r="M19" s="1036">
        <f>IF(K19="按租金收入计税",'数据-取费表'!B51,'数据-取费表'!B50)</f>
        <v>0.12</v>
      </c>
    </row>
    <row r="20" spans="1:33" s="959" customFormat="1" ht="18" customHeight="1">
      <c r="A20" s="1032" t="s">
        <v>902</v>
      </c>
      <c r="B20" s="994" t="s">
        <v>2103</v>
      </c>
      <c r="C20" s="127">
        <f ca="1">ROUND(C19*F20,0)</f>
        <v>271</v>
      </c>
      <c r="D20" s="1039" t="s">
        <v>2104</v>
      </c>
      <c r="E20" s="994" t="s">
        <v>2087</v>
      </c>
      <c r="F20" s="1036">
        <f>'数据-取费表'!B37</f>
        <v>0.02</v>
      </c>
      <c r="G20" s="1035"/>
      <c r="H20" s="1040" t="s">
        <v>931</v>
      </c>
      <c r="I20" s="1066" t="s">
        <v>2105</v>
      </c>
      <c r="J20" s="1067">
        <f ca="1">ROUND(M20*M21/10000,2)</f>
        <v>4</v>
      </c>
      <c r="K20" s="1068" t="s">
        <v>2106</v>
      </c>
      <c r="L20" s="994" t="s">
        <v>2107</v>
      </c>
      <c r="M20" s="1044">
        <f>'数据-取费表'!B52</f>
        <v>1.5</v>
      </c>
      <c r="N20" s="1136"/>
      <c r="O20" s="1136"/>
      <c r="P20" s="1136"/>
      <c r="Q20" s="1214"/>
      <c r="R20" s="1136"/>
      <c r="S20" s="1136"/>
      <c r="T20" s="1136"/>
      <c r="U20" s="1136"/>
      <c r="V20" s="1136"/>
      <c r="W20" s="1136"/>
      <c r="X20" s="1136"/>
      <c r="Y20" s="1136"/>
      <c r="Z20" s="1136"/>
      <c r="AA20" s="1136"/>
      <c r="AB20" s="1136"/>
      <c r="AC20" s="1136"/>
      <c r="AD20" s="1136"/>
      <c r="AE20" s="1136"/>
      <c r="AF20" s="1136"/>
      <c r="AG20" s="1136"/>
    </row>
    <row r="21" spans="1:33" s="959" customFormat="1" ht="18" customHeight="1">
      <c r="A21" s="1032" t="s">
        <v>970</v>
      </c>
      <c r="B21" s="994" t="s">
        <v>2109</v>
      </c>
      <c r="C21" s="127" t="s">
        <v>138</v>
      </c>
      <c r="D21" s="1039" t="s">
        <v>2244</v>
      </c>
      <c r="E21" s="994" t="s">
        <v>2111</v>
      </c>
      <c r="F21" s="1036">
        <f>'数据-取费表'!B38</f>
        <v>0.02</v>
      </c>
      <c r="G21" s="1035"/>
      <c r="H21" s="1041"/>
      <c r="I21" s="1070"/>
      <c r="J21" s="1071"/>
      <c r="K21" s="1072"/>
      <c r="L21" s="994" t="s">
        <v>2112</v>
      </c>
      <c r="M21" s="995">
        <f ca="1">INDIRECT("'数据-取费表'!r"&amp;$G$1)</f>
        <v>26650.41</v>
      </c>
      <c r="N21" s="1136"/>
      <c r="O21" s="1136"/>
      <c r="P21" s="1136"/>
      <c r="Q21" s="1214"/>
      <c r="R21" s="1136"/>
      <c r="S21" s="1136"/>
      <c r="T21" s="1136"/>
      <c r="U21" s="1136"/>
      <c r="V21" s="1136"/>
      <c r="W21" s="1136"/>
      <c r="X21" s="1136"/>
      <c r="Y21" s="1136"/>
      <c r="Z21" s="1136"/>
      <c r="AA21" s="1136"/>
      <c r="AB21" s="1136"/>
      <c r="AC21" s="1136"/>
      <c r="AD21" s="1136"/>
      <c r="AE21" s="1136"/>
      <c r="AF21" s="1136"/>
      <c r="AG21" s="1136"/>
    </row>
    <row r="22" spans="1:33" ht="18" customHeight="1">
      <c r="A22" s="1032" t="s">
        <v>2245</v>
      </c>
      <c r="B22" s="994" t="s">
        <v>2114</v>
      </c>
      <c r="C22" s="127"/>
      <c r="D22" s="1042" t="str">
        <f>IF(F23&lt;=1,"单利计息。","复利计息。")&amp;"建造成本、管理费用、销售费用产生的利息。"</f>
        <v>单利计息。建造成本、管理费用、销售费用产生的利息。</v>
      </c>
      <c r="E22" s="129"/>
      <c r="F22" s="1037"/>
      <c r="G22" s="984"/>
      <c r="H22" s="1032" t="s">
        <v>902</v>
      </c>
      <c r="I22" s="994" t="s">
        <v>2115</v>
      </c>
      <c r="J22" s="127">
        <f ca="1">ROUND(J14*M22,2)</f>
        <v>79.489999999999995</v>
      </c>
      <c r="K22" s="1060" t="s">
        <v>2116</v>
      </c>
      <c r="L22" s="994" t="s">
        <v>2087</v>
      </c>
      <c r="M22" s="1073">
        <f ca="1">INDIRECT("'数据-取费表'!Ak"&amp;$G$1)</f>
        <v>5.0000000000000001E-3</v>
      </c>
    </row>
    <row r="23" spans="1:33" s="959" customFormat="1" ht="18" customHeight="1">
      <c r="A23" s="1027" t="s">
        <v>924</v>
      </c>
      <c r="B23" s="994" t="s">
        <v>2117</v>
      </c>
      <c r="C23" s="127">
        <f ca="1">ROUND(IF('数据-取费表'!B22&lt;=1,(C19+C20)*F24*F23/2,(C19+C20)*(POWER((1+F24),F23/2)-1)),0)</f>
        <v>238</v>
      </c>
      <c r="D23" s="1043" t="str">
        <f>IF(F23&lt;=1,"(建造成本+管理费用)×利率×(建设周期÷2)","(建造成本+管理费用)×((1+利率)^(建设周期÷2)-1)")</f>
        <v>(建造成本+管理费用)×利率×(建设周期÷2)</v>
      </c>
      <c r="E23" s="994" t="s">
        <v>2118</v>
      </c>
      <c r="F23" s="1044">
        <f>'数据-取费表'!B20</f>
        <v>1</v>
      </c>
      <c r="G23" s="1035"/>
      <c r="H23" s="1032" t="s">
        <v>970</v>
      </c>
      <c r="I23" s="994" t="s">
        <v>2119</v>
      </c>
      <c r="J23" s="127">
        <f ca="1">ROUND(J13*M23,2)</f>
        <v>0</v>
      </c>
      <c r="K23" s="1060" t="s">
        <v>2120</v>
      </c>
      <c r="L23" s="994" t="s">
        <v>2087</v>
      </c>
      <c r="M23" s="1074">
        <f ca="1">INDIRECT("'数据-取费表'!Al"&amp;$G$1)</f>
        <v>1.5E-3</v>
      </c>
      <c r="N23" s="1136"/>
      <c r="O23" s="1136"/>
      <c r="P23" s="1136"/>
      <c r="Q23" s="1214"/>
      <c r="R23" s="1136"/>
      <c r="S23" s="1136"/>
      <c r="T23" s="1136"/>
      <c r="U23" s="1136"/>
      <c r="V23" s="1136"/>
      <c r="W23" s="1136"/>
      <c r="X23" s="1136"/>
      <c r="Y23" s="1136"/>
      <c r="Z23" s="1136"/>
      <c r="AA23" s="1136"/>
      <c r="AB23" s="1136"/>
      <c r="AC23" s="1136"/>
      <c r="AD23" s="1136"/>
      <c r="AE23" s="1136"/>
      <c r="AF23" s="1136"/>
      <c r="AG23" s="1136"/>
    </row>
    <row r="24" spans="1:33" s="959" customFormat="1" ht="18" customHeight="1">
      <c r="A24" s="1027" t="s">
        <v>928</v>
      </c>
      <c r="B24" s="994" t="s">
        <v>2121</v>
      </c>
      <c r="C24" s="127">
        <f ca="1">ROUND(IF('数据-取费表'!B22&lt;=1,F21*F24*F23/2,F21*(POWER((1+F24),F23/2)-1)),4)</f>
        <v>2.9999999999999997E-4</v>
      </c>
      <c r="D24" s="1043" t="str">
        <f>IF(F23&lt;=1,"销售费用×利率×(建设周期÷2)","销售费用×((1+利率)^(建设周期÷2)-1)")</f>
        <v>销售费用×利率×(建设周期÷2)</v>
      </c>
      <c r="E24" s="994" t="s">
        <v>2122</v>
      </c>
      <c r="F24" s="1045">
        <f ca="1">'数据-取费表'!B40</f>
        <v>3.4500000000000003E-2</v>
      </c>
      <c r="G24" s="1035"/>
      <c r="H24" s="1021" t="s">
        <v>2245</v>
      </c>
      <c r="I24" s="1053" t="s">
        <v>2103</v>
      </c>
      <c r="J24" s="1051">
        <f ca="1">ROUND(J5*M24,2)</f>
        <v>0</v>
      </c>
      <c r="K24" s="1052" t="s">
        <v>2123</v>
      </c>
      <c r="L24" s="1053" t="s">
        <v>2087</v>
      </c>
      <c r="M24" s="1020">
        <f ca="1">INDIRECT("'数据-取费表'!Am"&amp;$G$1)</f>
        <v>5.0000000000000001E-3</v>
      </c>
      <c r="N24" s="1136"/>
      <c r="O24" s="1136"/>
      <c r="P24" s="1136"/>
      <c r="Q24" s="1214"/>
      <c r="R24" s="1136"/>
      <c r="S24" s="1136"/>
      <c r="T24" s="1136"/>
      <c r="U24" s="1136"/>
      <c r="V24" s="1136"/>
      <c r="W24" s="1136"/>
      <c r="X24" s="1136"/>
      <c r="Y24" s="1136"/>
      <c r="Z24" s="1136"/>
      <c r="AA24" s="1136"/>
      <c r="AB24" s="1136"/>
      <c r="AC24" s="1136"/>
      <c r="AD24" s="1136"/>
      <c r="AE24" s="1136"/>
      <c r="AF24" s="1136"/>
      <c r="AG24" s="1136"/>
    </row>
    <row r="25" spans="1:33" ht="18" customHeight="1">
      <c r="A25" s="1046" t="s">
        <v>957</v>
      </c>
      <c r="B25" s="994" t="s">
        <v>2125</v>
      </c>
      <c r="C25" s="127"/>
      <c r="D25" s="1038" t="s">
        <v>2126</v>
      </c>
      <c r="E25" s="129"/>
      <c r="F25" s="1037"/>
      <c r="G25" s="984"/>
      <c r="H25" s="1022" t="s">
        <v>2246</v>
      </c>
      <c r="I25" s="1075" t="s">
        <v>2127</v>
      </c>
      <c r="J25" s="1024">
        <f ca="1">J5-J16</f>
        <v>-83</v>
      </c>
      <c r="K25" s="1076" t="s">
        <v>2128</v>
      </c>
      <c r="L25" s="1077"/>
      <c r="M25" s="1078"/>
    </row>
    <row r="26" spans="1:33" ht="18" customHeight="1">
      <c r="A26" s="1027" t="s">
        <v>924</v>
      </c>
      <c r="B26" s="994" t="s">
        <v>2129</v>
      </c>
      <c r="C26" s="127">
        <f ca="1">ROUND((C19+C20)*F26,0)</f>
        <v>690</v>
      </c>
      <c r="D26" s="1039" t="s">
        <v>2130</v>
      </c>
      <c r="E26" s="1047" t="s">
        <v>2131</v>
      </c>
      <c r="F26" s="1003">
        <f ca="1">INDIRECT("'数据-取费表'!q"&amp;$G$1)</f>
        <v>0.05</v>
      </c>
      <c r="G26" s="984"/>
      <c r="H26" s="1048" t="s">
        <v>2247</v>
      </c>
      <c r="I26" s="1079" t="s">
        <v>2248</v>
      </c>
      <c r="J26" s="992">
        <f ca="1">IF(J5&lt;&gt;0,ROUND(J25*(1-((1+M28)/(1+M26))^M27)/(M26-M28),0),0)</f>
        <v>0</v>
      </c>
      <c r="K26" s="1068" t="s">
        <v>2133</v>
      </c>
      <c r="L26" s="994" t="s">
        <v>2249</v>
      </c>
      <c r="M26" s="1003">
        <f ca="1">INDIRECT("'数据-取费表'!I"&amp;$G$1)</f>
        <v>0.05</v>
      </c>
    </row>
    <row r="27" spans="1:33" ht="18" customHeight="1">
      <c r="A27" s="1027" t="s">
        <v>928</v>
      </c>
      <c r="B27" s="994" t="s">
        <v>2135</v>
      </c>
      <c r="C27" s="127">
        <f ca="1">ROUND(F21*F26,4)</f>
        <v>1E-3</v>
      </c>
      <c r="D27" s="1039" t="s">
        <v>2136</v>
      </c>
      <c r="E27" s="1033"/>
      <c r="F27" s="1034"/>
      <c r="G27" s="984"/>
      <c r="H27" s="1049"/>
      <c r="I27" s="1080"/>
      <c r="J27" s="998"/>
      <c r="K27" s="1081" t="s">
        <v>2137</v>
      </c>
      <c r="L27" s="994" t="s">
        <v>2138</v>
      </c>
      <c r="M27" s="1082">
        <f ca="1">INDIRECT("'数据-取费表'!ag"&amp;$G$1)</f>
        <v>0</v>
      </c>
    </row>
    <row r="28" spans="1:33" s="959" customFormat="1" ht="18" customHeight="1">
      <c r="A28" s="1046" t="s">
        <v>958</v>
      </c>
      <c r="B28" s="994" t="s">
        <v>2140</v>
      </c>
      <c r="C28" s="127">
        <f>ROUND(F28/(1+'数据-取费表'!C42),4)</f>
        <v>5.2400000000000002E-2</v>
      </c>
      <c r="D28" s="1039" t="s">
        <v>2250</v>
      </c>
      <c r="E28" s="994" t="s">
        <v>2087</v>
      </c>
      <c r="F28" s="1036">
        <f>'数据-取费表'!B41</f>
        <v>5.5E-2</v>
      </c>
      <c r="G28" s="1035"/>
      <c r="H28" s="1022"/>
      <c r="I28" s="1084"/>
      <c r="J28" s="1024"/>
      <c r="K28" s="1072"/>
      <c r="L28" s="994" t="s">
        <v>2142</v>
      </c>
      <c r="M28" s="1003">
        <f ca="1">INDIRECT("'数据-取费表'!aa"&amp;$G$1)</f>
        <v>0</v>
      </c>
      <c r="N28" s="1136"/>
      <c r="O28" s="1136"/>
      <c r="P28" s="1136"/>
      <c r="Q28" s="1214"/>
      <c r="R28" s="1136"/>
      <c r="S28" s="1136"/>
      <c r="T28" s="1136"/>
      <c r="U28" s="1136"/>
      <c r="V28" s="1136"/>
      <c r="W28" s="1136"/>
      <c r="X28" s="1136"/>
      <c r="Y28" s="1136"/>
      <c r="Z28" s="1136"/>
      <c r="AA28" s="1136"/>
      <c r="AB28" s="1136"/>
      <c r="AC28" s="1136"/>
      <c r="AD28" s="1136"/>
      <c r="AE28" s="1136"/>
      <c r="AF28" s="1136"/>
      <c r="AG28" s="1136"/>
    </row>
    <row r="29" spans="1:33" s="959" customFormat="1" ht="18" customHeight="1">
      <c r="A29" s="1050" t="s">
        <v>2251</v>
      </c>
      <c r="B29" s="1019" t="s">
        <v>2144</v>
      </c>
      <c r="C29" s="1051">
        <f ca="1">ROUND((C19+C20+C23+C26)/(1-F21-C24-C27-C28),0)</f>
        <v>15897</v>
      </c>
      <c r="D29" s="1052"/>
      <c r="E29" s="1053"/>
      <c r="F29" s="1054"/>
      <c r="G29" s="1035"/>
      <c r="H29" s="1055" t="s">
        <v>2252</v>
      </c>
      <c r="I29" s="1085" t="s">
        <v>2253</v>
      </c>
      <c r="J29" s="1086">
        <f ca="1">ROUND(J26/(1+F40)^F41,0)</f>
        <v>0</v>
      </c>
      <c r="K29" s="1087" t="s">
        <v>2146</v>
      </c>
      <c r="L29" s="1088"/>
      <c r="M29" s="1089">
        <f ca="1">INDIRECT("'数据-取费表'!k"&amp;$G$1)</f>
        <v>31713.88</v>
      </c>
      <c r="N29" s="1136"/>
      <c r="O29" s="1136"/>
      <c r="P29" s="1136"/>
      <c r="Q29" s="1214"/>
      <c r="R29" s="1136"/>
      <c r="S29" s="1136"/>
      <c r="T29" s="1136"/>
      <c r="U29" s="1136"/>
      <c r="V29" s="1136"/>
      <c r="W29" s="1136"/>
      <c r="X29" s="1136"/>
      <c r="Y29" s="1136"/>
      <c r="Z29" s="1136"/>
      <c r="AA29" s="1136"/>
      <c r="AB29" s="1136"/>
      <c r="AC29" s="1136"/>
      <c r="AD29" s="1136"/>
      <c r="AE29" s="1136"/>
      <c r="AF29" s="1136"/>
      <c r="AG29" s="1136"/>
    </row>
    <row r="30" spans="1:33" ht="18" customHeight="1">
      <c r="A30" s="1022" t="s">
        <v>2147</v>
      </c>
      <c r="B30" s="1023" t="s">
        <v>2088</v>
      </c>
      <c r="C30" s="1024">
        <f ca="1">ROUND(C31+C36+C37+C38,0)</f>
        <v>429</v>
      </c>
      <c r="D30" s="1056" t="s">
        <v>2089</v>
      </c>
      <c r="E30" s="1057"/>
      <c r="F30" s="990"/>
      <c r="G30" s="984"/>
      <c r="H30" s="1058"/>
      <c r="I30" s="1137"/>
      <c r="J30" s="1138"/>
      <c r="K30" s="1139"/>
      <c r="L30" s="1140"/>
      <c r="M30" s="1141"/>
    </row>
    <row r="31" spans="1:33" ht="18" customHeight="1">
      <c r="A31" s="1032" t="s">
        <v>900</v>
      </c>
      <c r="B31" s="994" t="s">
        <v>2093</v>
      </c>
      <c r="C31" s="1059">
        <f ca="1">ROUND(IF(AND(项目基本情况!B11="自然人",项目基本情况!B10="北京市"),C6*F31/(1+'数据-取费表'!C42),C32+C33+C34),2)</f>
        <v>316.5</v>
      </c>
      <c r="D31" s="1029" t="s">
        <v>2094</v>
      </c>
      <c r="E31" s="1060" t="s">
        <v>2095</v>
      </c>
      <c r="F31" s="1061" t="str">
        <f>IF(项目基本情况!B11="企业","——",IF(M47="住宅",IF(F6*F7*F8/12/(1+'数据-取费表'!F30)&gt;100000,4%,2.5%),IF(F6*F7*F8/12/(1+'数据-取费表'!F30)&gt;100000,12%,7%)))</f>
        <v>——</v>
      </c>
      <c r="G31" s="984"/>
      <c r="H31" s="1062" t="s">
        <v>2149</v>
      </c>
      <c r="I31" s="1137"/>
      <c r="J31" s="1138"/>
      <c r="K31" s="1139"/>
      <c r="L31" s="1140"/>
      <c r="M31" s="1141"/>
    </row>
    <row r="32" spans="1:33" ht="18" customHeight="1">
      <c r="A32" s="1027" t="s">
        <v>924</v>
      </c>
      <c r="B32" s="994" t="s">
        <v>2096</v>
      </c>
      <c r="C32" s="127">
        <f ca="1">ROUND(C6*F32/(1+'数据-取费表'!C42),2)</f>
        <v>98.21</v>
      </c>
      <c r="D32" s="1060" t="s">
        <v>2097</v>
      </c>
      <c r="E32" s="994" t="s">
        <v>2087</v>
      </c>
      <c r="F32" s="1036">
        <f>'数据-取费表'!B41</f>
        <v>5.5E-2</v>
      </c>
      <c r="G32" s="984"/>
      <c r="H32" s="1063"/>
      <c r="I32" s="1142"/>
      <c r="J32" s="1143"/>
      <c r="K32" s="1144"/>
      <c r="L32" s="1145"/>
      <c r="M32" s="1146"/>
    </row>
    <row r="33" spans="1:18" ht="18" customHeight="1">
      <c r="A33" s="1027" t="s">
        <v>928</v>
      </c>
      <c r="B33" s="994" t="s">
        <v>2100</v>
      </c>
      <c r="C33" s="127">
        <f ca="1">IF(D33="按租金收入计税",ROUND(C6*F33/(1+'数据-取费表'!C42),2),IF(D33="按房产原值计税",ROUND(C29*F33*0.7,2),INDIRECT("'数据-取费表'!Aj"&amp;$G$1)))</f>
        <v>214.29</v>
      </c>
      <c r="D33" s="1064" t="s">
        <v>2101</v>
      </c>
      <c r="E33" s="994" t="s">
        <v>2087</v>
      </c>
      <c r="F33" s="1036">
        <f>IF(D33="按租金收入计税",'数据-取费表'!B51,'数据-取费表'!B50)</f>
        <v>0.12</v>
      </c>
      <c r="G33" s="984"/>
      <c r="H33" s="1065"/>
      <c r="I33" s="1065"/>
      <c r="J33" s="1065"/>
      <c r="K33" s="1147"/>
      <c r="L33" s="1065"/>
      <c r="M33" s="1065"/>
    </row>
    <row r="34" spans="1:18" ht="18" customHeight="1">
      <c r="A34" s="1040" t="s">
        <v>931</v>
      </c>
      <c r="B34" s="1066" t="s">
        <v>2105</v>
      </c>
      <c r="C34" s="1067">
        <f ca="1">ROUND(F34*F35/10000,2)</f>
        <v>4</v>
      </c>
      <c r="D34" s="1068" t="s">
        <v>2106</v>
      </c>
      <c r="E34" s="994" t="s">
        <v>2107</v>
      </c>
      <c r="F34" s="1044">
        <f>'数据-取费表'!B52</f>
        <v>1.5</v>
      </c>
      <c r="G34" s="984"/>
      <c r="H34" s="1058"/>
      <c r="I34" s="1148" t="s">
        <v>2254</v>
      </c>
      <c r="J34" s="1149"/>
      <c r="K34" s="1150"/>
      <c r="L34" s="1151"/>
      <c r="M34" s="1151"/>
    </row>
    <row r="35" spans="1:18" ht="18" customHeight="1">
      <c r="A35" s="1069"/>
      <c r="B35" s="1070"/>
      <c r="C35" s="1071"/>
      <c r="D35" s="1072"/>
      <c r="E35" s="994" t="s">
        <v>2112</v>
      </c>
      <c r="F35" s="995">
        <f ca="1">INDIRECT("'数据-取费表'!r"&amp;$G$1)</f>
        <v>26650.41</v>
      </c>
      <c r="G35" s="984"/>
      <c r="H35" s="1058"/>
      <c r="I35" s="1152" t="s">
        <v>2255</v>
      </c>
      <c r="J35" s="1153">
        <f ca="1">ROUND(C13*J36,0)</f>
        <v>1192</v>
      </c>
      <c r="K35" s="1147"/>
      <c r="L35" s="1065"/>
      <c r="M35" s="1065"/>
    </row>
    <row r="36" spans="1:18" ht="18" customHeight="1">
      <c r="A36" s="1032" t="s">
        <v>902</v>
      </c>
      <c r="B36" s="994" t="s">
        <v>2115</v>
      </c>
      <c r="C36" s="127">
        <f ca="1">ROUND(C29*F36,2)</f>
        <v>79.489999999999995</v>
      </c>
      <c r="D36" s="1060" t="s">
        <v>2150</v>
      </c>
      <c r="E36" s="994" t="s">
        <v>2087</v>
      </c>
      <c r="F36" s="1073">
        <f ca="1">INDIRECT("'数据-取费表'!Ak"&amp;$G$1)</f>
        <v>5.0000000000000001E-3</v>
      </c>
      <c r="G36" s="984"/>
      <c r="H36" s="1065"/>
      <c r="I36" s="1154" t="s">
        <v>2256</v>
      </c>
      <c r="J36" s="1155">
        <f ca="1">INDIRECT("'数据-取费表'!j"&amp;$G$1)</f>
        <v>7.4999999999999997E-2</v>
      </c>
      <c r="K36" s="1156"/>
      <c r="L36" s="1065"/>
      <c r="M36" s="1065"/>
    </row>
    <row r="37" spans="1:18" ht="18" customHeight="1">
      <c r="A37" s="1032" t="s">
        <v>970</v>
      </c>
      <c r="B37" s="994" t="s">
        <v>2119</v>
      </c>
      <c r="C37" s="127">
        <f ca="1">ROUND(C13*F37,2)</f>
        <v>23.85</v>
      </c>
      <c r="D37" s="1060" t="s">
        <v>2120</v>
      </c>
      <c r="E37" s="994" t="s">
        <v>2087</v>
      </c>
      <c r="F37" s="1074">
        <f ca="1">INDIRECT("'数据-取费表'!Al"&amp;$G$1)</f>
        <v>1.5E-3</v>
      </c>
      <c r="G37" s="984"/>
      <c r="H37" s="1065"/>
      <c r="I37" s="1157" t="s">
        <v>2257</v>
      </c>
      <c r="J37" s="1158"/>
      <c r="K37" s="1156"/>
      <c r="L37" s="1065"/>
      <c r="M37" s="1065"/>
    </row>
    <row r="38" spans="1:18" ht="18" customHeight="1">
      <c r="A38" s="1021" t="s">
        <v>2245</v>
      </c>
      <c r="B38" s="1053" t="s">
        <v>2103</v>
      </c>
      <c r="C38" s="1051">
        <f ca="1">ROUND(C5*F38,2)</f>
        <v>9.39</v>
      </c>
      <c r="D38" s="1052" t="s">
        <v>2123</v>
      </c>
      <c r="E38" s="1053" t="s">
        <v>2087</v>
      </c>
      <c r="F38" s="1020">
        <f ca="1">INDIRECT("'数据-取费表'!Am"&amp;$G$1)</f>
        <v>5.0000000000000001E-3</v>
      </c>
      <c r="G38" s="984"/>
      <c r="H38" s="1065"/>
      <c r="I38" s="1159" t="s">
        <v>2258</v>
      </c>
      <c r="J38" s="1160"/>
      <c r="K38" s="1161"/>
      <c r="L38" s="1065"/>
      <c r="M38" s="1065"/>
    </row>
    <row r="39" spans="1:18" ht="24.6" customHeight="1">
      <c r="A39" s="1022" t="s">
        <v>2246</v>
      </c>
      <c r="B39" s="1075" t="s">
        <v>2127</v>
      </c>
      <c r="C39" s="1024">
        <f ca="1">C5-C30</f>
        <v>1448</v>
      </c>
      <c r="D39" s="1076" t="s">
        <v>2128</v>
      </c>
      <c r="E39" s="1077"/>
      <c r="F39" s="1078"/>
      <c r="G39" s="984"/>
      <c r="H39" s="1065">
        <f ca="1">C39/C6</f>
        <v>0.77226666666666666</v>
      </c>
      <c r="I39" s="1152" t="s">
        <v>2259</v>
      </c>
      <c r="J39" s="1162">
        <f ca="1">ROUND(J35/C39,3)</f>
        <v>0.82299999999999995</v>
      </c>
      <c r="K39" s="1161"/>
      <c r="L39" s="1065"/>
      <c r="M39" s="1065"/>
    </row>
    <row r="40" spans="1:18" ht="18" customHeight="1">
      <c r="A40" s="985" t="s">
        <v>2247</v>
      </c>
      <c r="B40" s="1079" t="s">
        <v>2260</v>
      </c>
      <c r="C40" s="992">
        <f ca="1">ROUND(C39*(1-((1+F42)/(1+F40))^F41)/(F40-F42),0)</f>
        <v>19338</v>
      </c>
      <c r="D40" s="1068" t="s">
        <v>2133</v>
      </c>
      <c r="E40" s="994" t="s">
        <v>2249</v>
      </c>
      <c r="F40" s="1003">
        <f ca="1">INDIRECT("'数据-取费表'!I"&amp;$G$1)</f>
        <v>0.05</v>
      </c>
      <c r="G40" s="984"/>
      <c r="H40" s="984"/>
      <c r="I40" s="1152" t="s">
        <v>2261</v>
      </c>
      <c r="J40" s="1162">
        <f ca="1">1-J39</f>
        <v>0.17700000000000005</v>
      </c>
      <c r="K40" s="1161"/>
      <c r="L40" s="984"/>
      <c r="M40" s="984"/>
    </row>
    <row r="41" spans="1:18" ht="18" customHeight="1">
      <c r="A41" s="1002"/>
      <c r="B41" s="1080"/>
      <c r="C41" s="998"/>
      <c r="D41" s="1081" t="s">
        <v>2137</v>
      </c>
      <c r="E41" s="994" t="s">
        <v>2138</v>
      </c>
      <c r="F41" s="1082">
        <f ca="1">IF(INDIRECT("'数据-取费表'!af"&amp;$G$1)=0,INDIRECT("'数据-取费表'!ae"&amp;$G$1),INDIRECT("'数据-取费表'!af"&amp;$G$1))</f>
        <v>17.66</v>
      </c>
      <c r="G41" s="984"/>
      <c r="H41" s="1083"/>
      <c r="I41" s="1159" t="s">
        <v>2262</v>
      </c>
      <c r="J41" s="701"/>
      <c r="K41" s="1156"/>
      <c r="L41" s="1083"/>
      <c r="M41" s="1083"/>
    </row>
    <row r="42" spans="1:18" ht="18" customHeight="1">
      <c r="A42" s="1010"/>
      <c r="B42" s="1084"/>
      <c r="C42" s="1024"/>
      <c r="D42" s="1072"/>
      <c r="E42" s="994" t="s">
        <v>2142</v>
      </c>
      <c r="F42" s="1003">
        <f ca="1">INDIRECT("'数据-取费表'!v"&amp;$G$1)</f>
        <v>0.02</v>
      </c>
      <c r="G42" s="984"/>
      <c r="H42" s="1083"/>
      <c r="I42" s="1163" t="s">
        <v>2263</v>
      </c>
      <c r="J42" s="1162">
        <f ca="1">ROUND(C13/C40,3)</f>
        <v>0.82199999999999995</v>
      </c>
      <c r="K42" s="1156"/>
      <c r="L42" s="1083"/>
      <c r="M42" s="1083"/>
    </row>
    <row r="43" spans="1:18" ht="18" customHeight="1">
      <c r="A43" s="1055" t="s">
        <v>2252</v>
      </c>
      <c r="B43" s="1085" t="s">
        <v>2264</v>
      </c>
      <c r="C43" s="1086">
        <f ca="1">ROUND(C40*10000/F43,0)</f>
        <v>6098</v>
      </c>
      <c r="D43" s="1087" t="s">
        <v>2265</v>
      </c>
      <c r="E43" s="1088" t="s">
        <v>2266</v>
      </c>
      <c r="F43" s="1089">
        <f ca="1">INDIRECT("'数据-取费表'!k"&amp;$G$1)</f>
        <v>31713.88</v>
      </c>
      <c r="G43" s="984"/>
      <c r="H43" s="1083"/>
      <c r="I43" s="1163" t="s">
        <v>2267</v>
      </c>
      <c r="J43" s="1164">
        <f ca="1">1-J42</f>
        <v>0.17800000000000005</v>
      </c>
      <c r="K43" s="1156"/>
      <c r="L43" s="1083"/>
      <c r="M43" s="1083"/>
    </row>
    <row r="44" spans="1:18" s="708" customFormat="1" ht="18" customHeight="1">
      <c r="A44" s="1090"/>
      <c r="B44" s="1090"/>
      <c r="C44" s="1091"/>
      <c r="D44" s="1090"/>
      <c r="E44" s="1090"/>
      <c r="F44" s="1090"/>
      <c r="K44" s="1165"/>
      <c r="Q44" s="963"/>
    </row>
    <row r="45" spans="1:18" s="708" customFormat="1" ht="18" customHeight="1">
      <c r="A45" s="1090"/>
      <c r="B45" s="1090"/>
      <c r="C45" s="1091"/>
      <c r="D45" s="1090"/>
      <c r="E45" s="1090"/>
      <c r="F45" s="1090"/>
      <c r="K45" s="1165"/>
      <c r="Q45" s="963"/>
    </row>
    <row r="46" spans="1:18" s="708" customFormat="1" ht="18" customHeight="1">
      <c r="A46" s="1092" t="s">
        <v>2268</v>
      </c>
      <c r="B46" s="1090"/>
      <c r="C46" s="1093">
        <f ca="1">C67-C40</f>
        <v>-20574</v>
      </c>
      <c r="D46" s="1094"/>
      <c r="E46" s="1094"/>
      <c r="F46" s="1094"/>
      <c r="I46" s="1166" t="s">
        <v>2163</v>
      </c>
      <c r="J46" s="1167"/>
      <c r="K46" s="1168"/>
      <c r="L46" s="1169">
        <f ca="1">J60</f>
        <v>2642</v>
      </c>
      <c r="M46" s="1170"/>
      <c r="O46" s="1171" t="s">
        <v>2164</v>
      </c>
      <c r="P46" s="1172"/>
      <c r="Q46" s="653"/>
      <c r="R46" s="1172"/>
    </row>
    <row r="47" spans="1:18" s="708" customFormat="1" ht="18" customHeight="1">
      <c r="A47" s="1095">
        <v>1</v>
      </c>
      <c r="B47" s="1096" t="s">
        <v>2269</v>
      </c>
      <c r="C47" s="1097">
        <f ca="1">C48+C52+C54</f>
        <v>0</v>
      </c>
      <c r="D47" s="1098"/>
      <c r="E47" s="1098"/>
      <c r="F47" s="1099"/>
      <c r="I47" s="1173" t="s">
        <v>2165</v>
      </c>
      <c r="J47" s="1174" t="s">
        <v>2223</v>
      </c>
      <c r="K47" s="1175" t="s">
        <v>2166</v>
      </c>
      <c r="L47" s="1176">
        <f ca="1">INDIRECT("'数据-取费表'!d"&amp;$G$1)</f>
        <v>20</v>
      </c>
      <c r="M47" s="653" t="str">
        <f>IF(ISNUMBER(FIND("住宅",C1)),"住宅","非住宅")</f>
        <v>非住宅</v>
      </c>
      <c r="O47" s="1177" t="s">
        <v>1394</v>
      </c>
      <c r="P47" s="1178" t="s">
        <v>540</v>
      </c>
      <c r="Q47" s="1215" t="s">
        <v>2167</v>
      </c>
      <c r="R47" s="1178" t="s">
        <v>2168</v>
      </c>
    </row>
    <row r="48" spans="1:18" s="708" customFormat="1" ht="18" customHeight="1">
      <c r="A48" s="1100" t="s">
        <v>1152</v>
      </c>
      <c r="B48" s="1101" t="s">
        <v>2270</v>
      </c>
      <c r="C48" s="1102">
        <f ca="1">ROUND(F48*F50*F49*(1-F51)/10000,0)</f>
        <v>0</v>
      </c>
      <c r="D48" s="1103" t="s">
        <v>2239</v>
      </c>
      <c r="E48" s="1104" t="s">
        <v>2271</v>
      </c>
      <c r="F48" s="1105">
        <f ca="1">M6</f>
        <v>0</v>
      </c>
      <c r="G48" s="1106"/>
      <c r="I48" s="1179" t="s">
        <v>2169</v>
      </c>
      <c r="J48" s="1180" t="s">
        <v>2216</v>
      </c>
      <c r="K48" s="1181" t="s">
        <v>359</v>
      </c>
      <c r="L48" s="702">
        <f ca="1">INDIRECT("'数据-取费表'!f"&amp;$G$1)</f>
        <v>18.66</v>
      </c>
      <c r="M48" s="1170"/>
      <c r="O48" s="1182" t="s">
        <v>2170</v>
      </c>
      <c r="P48" s="1183" t="s">
        <v>2171</v>
      </c>
      <c r="Q48" s="1216">
        <f ca="1">C40+J29</f>
        <v>19338</v>
      </c>
      <c r="R48" s="1183" t="s">
        <v>2172</v>
      </c>
    </row>
    <row r="49" spans="1:18" s="708" customFormat="1" ht="18" customHeight="1">
      <c r="A49" s="1002"/>
      <c r="B49" s="1080"/>
      <c r="C49" s="998"/>
      <c r="D49" s="999"/>
      <c r="E49" s="994" t="s">
        <v>2072</v>
      </c>
      <c r="F49" s="995">
        <f ca="1">F7</f>
        <v>31713.88</v>
      </c>
      <c r="G49" s="1106"/>
      <c r="H49" s="1107"/>
      <c r="I49" s="1179" t="s">
        <v>2173</v>
      </c>
      <c r="J49" s="1184">
        <v>2024</v>
      </c>
      <c r="K49" s="1185" t="s">
        <v>2174</v>
      </c>
      <c r="L49" s="1186"/>
      <c r="M49" s="1170"/>
      <c r="O49" s="1182" t="s">
        <v>2175</v>
      </c>
      <c r="P49" s="1183" t="s">
        <v>2176</v>
      </c>
      <c r="Q49" s="1216">
        <f ca="1">J60</f>
        <v>2642</v>
      </c>
      <c r="R49" s="1183" t="s">
        <v>2177</v>
      </c>
    </row>
    <row r="50" spans="1:18" s="708" customFormat="1" ht="18" customHeight="1">
      <c r="A50" s="1002"/>
      <c r="B50" s="1080"/>
      <c r="C50" s="998"/>
      <c r="D50" s="999"/>
      <c r="E50" s="994" t="s">
        <v>2073</v>
      </c>
      <c r="F50" s="995">
        <f ca="1">F8</f>
        <v>365</v>
      </c>
      <c r="G50" s="1108"/>
      <c r="H50" s="1107"/>
      <c r="I50" s="1179" t="s">
        <v>2178</v>
      </c>
      <c r="J50" s="1187">
        <f>SUMPRODUCT((I63:I65=J47)*(J62:L62=J48)*(J63:L65))</f>
        <v>50</v>
      </c>
      <c r="K50" s="1185" t="s">
        <v>2179</v>
      </c>
      <c r="L50" s="1186"/>
      <c r="M50" s="1170"/>
      <c r="O50" s="1188" t="s">
        <v>2180</v>
      </c>
      <c r="P50" s="1183" t="s">
        <v>2181</v>
      </c>
      <c r="Q50" s="1216">
        <f ca="1">C29</f>
        <v>15897</v>
      </c>
      <c r="R50" s="1183" t="s">
        <v>2172</v>
      </c>
    </row>
    <row r="51" spans="1:18" s="708" customFormat="1" ht="18" customHeight="1">
      <c r="A51" s="1002"/>
      <c r="B51" s="1080"/>
      <c r="C51" s="998"/>
      <c r="D51" s="999"/>
      <c r="E51" s="994" t="s">
        <v>2074</v>
      </c>
      <c r="F51" s="1109"/>
      <c r="H51" s="1107"/>
      <c r="I51" s="1189" t="s">
        <v>2182</v>
      </c>
      <c r="J51" s="1190">
        <f>IF(J49="",J50,J49+J50-YEAR('数据-取费表'!B2))</f>
        <v>51</v>
      </c>
      <c r="K51" s="1179" t="s">
        <v>2183</v>
      </c>
      <c r="L51" s="1191">
        <f ca="1">ROUND(-PV(INDIRECT("'数据-取费表'!h"&amp;$G$1),J51,(C39-C13*J36),0),0)</f>
        <v>5081</v>
      </c>
      <c r="M51" s="1170"/>
      <c r="O51" s="1188" t="s">
        <v>2184</v>
      </c>
      <c r="P51" s="1183" t="s">
        <v>2185</v>
      </c>
      <c r="Q51" s="1217">
        <f ca="1">J58</f>
        <v>0.64700000000000002</v>
      </c>
      <c r="R51" s="1218"/>
    </row>
    <row r="52" spans="1:18" s="708" customFormat="1" ht="18" customHeight="1">
      <c r="A52" s="985" t="s">
        <v>2272</v>
      </c>
      <c r="B52" s="1005" t="s">
        <v>2075</v>
      </c>
      <c r="C52" s="126">
        <f ca="1">ROUND(IF(F52="押一",C48/12*F11,IF(F52="押二",C48/12*2*F11,IF(F52="押三",C48/12*3*F11,C53*F11))),0)</f>
        <v>0</v>
      </c>
      <c r="D52" s="1006" t="s">
        <v>2076</v>
      </c>
      <c r="E52" s="1007" t="s">
        <v>2077</v>
      </c>
      <c r="F52" s="1008"/>
      <c r="I52" s="1192" t="s">
        <v>2186</v>
      </c>
      <c r="J52" s="1193">
        <v>0.08</v>
      </c>
      <c r="K52" s="1192" t="s">
        <v>1223</v>
      </c>
      <c r="L52" s="1193"/>
      <c r="M52" s="1170"/>
      <c r="O52" s="1188" t="s">
        <v>2187</v>
      </c>
      <c r="P52" s="1183" t="s">
        <v>2188</v>
      </c>
      <c r="Q52" s="1217">
        <f>J52</f>
        <v>0.08</v>
      </c>
      <c r="R52" s="1218"/>
    </row>
    <row r="53" spans="1:18" s="708" customFormat="1" ht="39.75" customHeight="1">
      <c r="A53" s="1002"/>
      <c r="B53" s="1011" t="s">
        <v>2078</v>
      </c>
      <c r="C53" s="1012"/>
      <c r="D53" s="1006"/>
      <c r="E53" s="1007"/>
      <c r="F53" s="1110"/>
      <c r="I53" s="1194" t="s">
        <v>2189</v>
      </c>
      <c r="J53" s="1195">
        <f ca="1">IF(M47="住宅",IF(D1="——",MAX(J51,L48),MAX(J51,L48-'数据-取费表'!B20)),IF(D1="——",MIN(J51,L48),MIN(J51,L48-'数据-取费表'!B20)))</f>
        <v>17.66</v>
      </c>
      <c r="K53" s="3930" t="s">
        <v>2273</v>
      </c>
      <c r="L53" s="3931"/>
      <c r="M53" s="1170"/>
      <c r="O53" s="1188" t="s">
        <v>2190</v>
      </c>
      <c r="P53" s="1183" t="s">
        <v>2191</v>
      </c>
      <c r="Q53" s="1216">
        <f ca="1">J53</f>
        <v>17.66</v>
      </c>
      <c r="R53" s="1183" t="s">
        <v>2192</v>
      </c>
    </row>
    <row r="54" spans="1:18" s="708" customFormat="1" ht="18" customHeight="1">
      <c r="A54" s="1015" t="s">
        <v>970</v>
      </c>
      <c r="B54" s="1016" t="s">
        <v>2079</v>
      </c>
      <c r="C54" s="1017"/>
      <c r="D54" s="1006"/>
      <c r="E54" s="1007"/>
      <c r="F54" s="1110"/>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5"/>
      <c r="M54" s="1170"/>
      <c r="O54" s="1182" t="s">
        <v>2193</v>
      </c>
      <c r="P54" s="1183" t="s">
        <v>2194</v>
      </c>
      <c r="Q54" s="1216">
        <f ca="1">Q48+Q49</f>
        <v>21980</v>
      </c>
      <c r="R54" s="1218" t="s">
        <v>2195</v>
      </c>
    </row>
    <row r="55" spans="1:18" s="708" customFormat="1" ht="18" customHeight="1">
      <c r="A55" s="1111">
        <v>2</v>
      </c>
      <c r="B55" s="1112" t="s">
        <v>2083</v>
      </c>
      <c r="C55" s="126">
        <f ca="1">C13</f>
        <v>15897</v>
      </c>
      <c r="D55" s="1047"/>
      <c r="E55" s="1047"/>
      <c r="F55" s="1110"/>
      <c r="I55" s="1196" t="s">
        <v>2196</v>
      </c>
      <c r="J55" s="1197">
        <f ca="1">ROUND(IF(J47="钢混",J57/J50,1-(1-2%)*(J50-J57)/J50),3)</f>
        <v>0.64700000000000002</v>
      </c>
      <c r="K55" s="1198" t="s">
        <v>2197</v>
      </c>
      <c r="L55" s="1199"/>
      <c r="M55" s="1170"/>
      <c r="O55" s="1200" t="s">
        <v>2198</v>
      </c>
      <c r="P55" s="1172"/>
      <c r="Q55" s="653"/>
      <c r="R55" s="1172"/>
    </row>
    <row r="56" spans="1:18" s="708" customFormat="1" ht="42.75" customHeight="1">
      <c r="A56" s="1046"/>
      <c r="B56" s="1113" t="s">
        <v>2144</v>
      </c>
      <c r="C56" s="127">
        <f ca="1">C29</f>
        <v>15897</v>
      </c>
      <c r="D56" s="1060"/>
      <c r="E56" s="994"/>
      <c r="F56" s="1036"/>
      <c r="I56" s="1201" t="s">
        <v>2199</v>
      </c>
      <c r="J56" s="1202" t="s">
        <v>2274</v>
      </c>
      <c r="K56" s="1179" t="s">
        <v>2200</v>
      </c>
      <c r="L56" s="702" t="str">
        <f ca="1">IF(L48&lt;J51,"——",L48-J51)</f>
        <v>——</v>
      </c>
      <c r="M56" s="1170"/>
      <c r="O56" s="1177" t="s">
        <v>1394</v>
      </c>
      <c r="P56" s="1178" t="s">
        <v>540</v>
      </c>
      <c r="Q56" s="1215" t="s">
        <v>2167</v>
      </c>
      <c r="R56" s="1178" t="s">
        <v>2168</v>
      </c>
    </row>
    <row r="57" spans="1:18" s="708" customFormat="1" ht="28.5" customHeight="1">
      <c r="A57" s="1111" t="s">
        <v>2147</v>
      </c>
      <c r="B57" s="1112" t="s">
        <v>2088</v>
      </c>
      <c r="C57" s="126">
        <f ca="1">ROUND(C58+C63+C64+C65,0)</f>
        <v>107</v>
      </c>
      <c r="D57" s="1114" t="s">
        <v>2089</v>
      </c>
      <c r="E57" s="129"/>
      <c r="F57" s="1037"/>
      <c r="I57" s="1203" t="s">
        <v>2201</v>
      </c>
      <c r="J57" s="1204">
        <f ca="1">IF(OR(M47="住宅",J51&lt;L48,J56="是"),"——",J51-L48)</f>
        <v>32.340000000000003</v>
      </c>
      <c r="K57" s="1179" t="s">
        <v>2202</v>
      </c>
      <c r="L57" s="702" t="str">
        <f ca="1">IF(L48&lt;J51,"——",IF(L55="比较法",L49,IF(L55="基准地价",L50,L51)))</f>
        <v>——</v>
      </c>
      <c r="M57" s="1170"/>
      <c r="O57" s="1182" t="s">
        <v>2170</v>
      </c>
      <c r="P57" s="1183" t="s">
        <v>2171</v>
      </c>
      <c r="Q57" s="1216">
        <f ca="1">C40+J29</f>
        <v>19338</v>
      </c>
      <c r="R57" s="1183" t="s">
        <v>2172</v>
      </c>
    </row>
    <row r="58" spans="1:18" s="708" customFormat="1" ht="28.5" customHeight="1">
      <c r="A58" s="1032" t="s">
        <v>900</v>
      </c>
      <c r="B58" s="994" t="s">
        <v>2093</v>
      </c>
      <c r="C58" s="1059">
        <f ca="1">ROUND(IF(AND(项目基本情况!B11="自然人",项目基本情况!B10="北京市"),C48*F58/(1+'数据-取费表'!C42),C59+C60+C61),2)</f>
        <v>4</v>
      </c>
      <c r="D58" s="1029" t="s">
        <v>2094</v>
      </c>
      <c r="E58" s="1060" t="s">
        <v>2095</v>
      </c>
      <c r="F58" s="1061" t="str">
        <f>IF(项目基本情况!B11="企业","——",IF('数据-取费表'!B10="住宅",IF(F48*F49*F50/12/(1+'数据-取费表'!F30)&gt;100000,4%,2.5%),IF(F48*F49*F50/12/(1+'数据-取费表'!F30)&gt;100000,12%,7%)))</f>
        <v>——</v>
      </c>
      <c r="I58" s="1203" t="s">
        <v>2203</v>
      </c>
      <c r="J58" s="1205">
        <f ca="1">IF(J55&lt;0.4,0.4,J55)</f>
        <v>0.64700000000000002</v>
      </c>
      <c r="K58" s="1179" t="s">
        <v>2204</v>
      </c>
      <c r="L58" s="702" t="e">
        <f ca="1">ROUND(POWER(1+L52,L47-L48)*(POWER(1+L52,L48)-1)/(POWER(1+L52,L47)-1),4)</f>
        <v>#DIV/0!</v>
      </c>
      <c r="M58" s="1170"/>
      <c r="O58" s="1182" t="s">
        <v>2175</v>
      </c>
      <c r="P58" s="1183" t="s">
        <v>2205</v>
      </c>
      <c r="Q58" s="1216">
        <f ca="1">L60</f>
        <v>0</v>
      </c>
      <c r="R58" s="1218" t="s">
        <v>2206</v>
      </c>
    </row>
    <row r="59" spans="1:18" s="708" customFormat="1" ht="28.5" customHeight="1">
      <c r="A59" s="1027" t="s">
        <v>924</v>
      </c>
      <c r="B59" s="994" t="s">
        <v>2096</v>
      </c>
      <c r="C59" s="127">
        <f ca="1">ROUND(C47*F59/1.05,2)</f>
        <v>0</v>
      </c>
      <c r="D59" s="1060" t="s">
        <v>2097</v>
      </c>
      <c r="E59" s="994" t="s">
        <v>2087</v>
      </c>
      <c r="F59" s="1036">
        <f t="shared" ref="F59:F65" si="0">F32</f>
        <v>5.5E-2</v>
      </c>
      <c r="I59" s="1203" t="s">
        <v>2207</v>
      </c>
      <c r="J59" s="1204">
        <f ca="1">IF(OR(M47="住宅",J51&lt;L48,J56="是"),"——",ROUND(C29*J58,0))</f>
        <v>10285</v>
      </c>
      <c r="K59" s="1179"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70"/>
      <c r="O59" s="1188" t="s">
        <v>2180</v>
      </c>
      <c r="P59" s="1183" t="s">
        <v>2209</v>
      </c>
      <c r="Q59" s="1216">
        <f>IF(L55="比较法",L49,IF(L55="基准地价",L50,0))</f>
        <v>0</v>
      </c>
      <c r="R59" s="1183" t="s">
        <v>2172</v>
      </c>
    </row>
    <row r="60" spans="1:18" s="708" customFormat="1" ht="18" customHeight="1">
      <c r="A60" s="1027" t="s">
        <v>928</v>
      </c>
      <c r="B60" s="994" t="s">
        <v>2100</v>
      </c>
      <c r="C60" s="127">
        <f ca="1">IF(D60="按租金收入计税",ROUND(C48*F60/(1+'数据-取费表'!C42),2),IF(D60="按房产原值计税",ROUND(C56*F60*0.7,2),INDIRECT("'数据-取费表'!Aj"&amp;$G$1)))</f>
        <v>0</v>
      </c>
      <c r="D60" s="1060" t="str">
        <f>D33</f>
        <v>按租金收入计税</v>
      </c>
      <c r="E60" s="994" t="s">
        <v>2087</v>
      </c>
      <c r="F60" s="1036">
        <f t="shared" si="0"/>
        <v>0.12</v>
      </c>
      <c r="I60" s="1206" t="s">
        <v>2210</v>
      </c>
      <c r="J60" s="1207">
        <f ca="1">IF(OR(M47="住宅",J51&lt;L48,J56="是"),"0",ROUND(J59/(1+J52)^J53,0))</f>
        <v>2642</v>
      </c>
      <c r="K60" s="1208" t="s">
        <v>2211</v>
      </c>
      <c r="L60" s="1207">
        <f ca="1">IF(OR(M47="住宅",L48&lt;J51),0,ROUND(L57*(L58/L59-1),0))</f>
        <v>0</v>
      </c>
      <c r="M60" s="1170"/>
      <c r="O60" s="1188" t="s">
        <v>2184</v>
      </c>
      <c r="P60" s="1183" t="s">
        <v>2212</v>
      </c>
      <c r="Q60" s="1217">
        <f>L52</f>
        <v>0</v>
      </c>
      <c r="R60" s="1218"/>
    </row>
    <row r="61" spans="1:18" s="708" customFormat="1" ht="18" customHeight="1">
      <c r="A61" s="1040" t="s">
        <v>931</v>
      </c>
      <c r="B61" s="1066" t="s">
        <v>2105</v>
      </c>
      <c r="C61" s="1067">
        <f ca="1">ROUND(F61*F62/10000,2)</f>
        <v>4</v>
      </c>
      <c r="D61" s="1068" t="s">
        <v>2106</v>
      </c>
      <c r="E61" s="994" t="s">
        <v>2107</v>
      </c>
      <c r="F61" s="1044">
        <f t="shared" si="0"/>
        <v>1.5</v>
      </c>
      <c r="K61" s="1165"/>
      <c r="O61" s="1188" t="s">
        <v>2187</v>
      </c>
      <c r="P61" s="1183" t="s">
        <v>2213</v>
      </c>
      <c r="Q61" s="1216" t="e">
        <f ca="1">L58</f>
        <v>#DIV/0!</v>
      </c>
      <c r="R61" s="1218" t="s">
        <v>2214</v>
      </c>
    </row>
    <row r="62" spans="1:18" s="708" customFormat="1">
      <c r="A62" s="1069"/>
      <c r="B62" s="1070"/>
      <c r="C62" s="1071"/>
      <c r="D62" s="1072"/>
      <c r="E62" s="994" t="s">
        <v>2112</v>
      </c>
      <c r="F62" s="995">
        <f t="shared" ca="1" si="0"/>
        <v>26650.41</v>
      </c>
      <c r="I62" s="1209" t="s">
        <v>2215</v>
      </c>
      <c r="J62" s="1210" t="s">
        <v>2216</v>
      </c>
      <c r="K62" s="1210" t="s">
        <v>2217</v>
      </c>
      <c r="L62" s="1210" t="s">
        <v>2218</v>
      </c>
      <c r="M62" s="1211" t="s">
        <v>2219</v>
      </c>
      <c r="O62" s="1188" t="s">
        <v>2190</v>
      </c>
      <c r="P62" s="1183" t="str">
        <f>K59</f>
        <v>建设期及建筑物耐用年限下的土地年期修正系数Kn</v>
      </c>
      <c r="Q62" s="1216" t="e">
        <f ca="1">L59</f>
        <v>#DIV/0!</v>
      </c>
      <c r="R62" s="1218" t="s">
        <v>2221</v>
      </c>
    </row>
    <row r="63" spans="1:18" s="708" customFormat="1">
      <c r="A63" s="1032" t="s">
        <v>902</v>
      </c>
      <c r="B63" s="994" t="s">
        <v>2115</v>
      </c>
      <c r="C63" s="127">
        <f ca="1">ROUND(C56*F63,2)</f>
        <v>79.489999999999995</v>
      </c>
      <c r="D63" s="1060" t="s">
        <v>2150</v>
      </c>
      <c r="E63" s="994" t="s">
        <v>2087</v>
      </c>
      <c r="F63" s="1073">
        <f t="shared" ca="1" si="0"/>
        <v>5.0000000000000001E-3</v>
      </c>
      <c r="I63" s="1209" t="s">
        <v>2222</v>
      </c>
      <c r="J63" s="1210">
        <v>70</v>
      </c>
      <c r="K63" s="1210">
        <v>50</v>
      </c>
      <c r="L63" s="1210">
        <v>80</v>
      </c>
      <c r="M63" s="1212">
        <v>0.02</v>
      </c>
      <c r="O63" s="1182" t="s">
        <v>2193</v>
      </c>
      <c r="P63" s="1183" t="s">
        <v>2194</v>
      </c>
      <c r="Q63" s="1216">
        <f ca="1">Q57+Q58</f>
        <v>19338</v>
      </c>
      <c r="R63" s="1218" t="s">
        <v>2195</v>
      </c>
    </row>
    <row r="64" spans="1:18" s="708" customFormat="1" ht="15.75">
      <c r="A64" s="1032" t="s">
        <v>970</v>
      </c>
      <c r="B64" s="994" t="s">
        <v>2119</v>
      </c>
      <c r="C64" s="127">
        <f ca="1">ROUND(C55*F64,2)</f>
        <v>23.85</v>
      </c>
      <c r="D64" s="1060" t="s">
        <v>2120</v>
      </c>
      <c r="E64" s="994" t="s">
        <v>2087</v>
      </c>
      <c r="F64" s="1074">
        <f t="shared" ca="1" si="0"/>
        <v>1.5E-3</v>
      </c>
      <c r="I64" s="1209" t="s">
        <v>2223</v>
      </c>
      <c r="J64" s="1210">
        <v>50</v>
      </c>
      <c r="K64" s="1210">
        <v>35</v>
      </c>
      <c r="L64" s="1210">
        <v>60</v>
      </c>
      <c r="M64" s="701">
        <v>0</v>
      </c>
      <c r="O64" s="1200" t="s">
        <v>2224</v>
      </c>
      <c r="P64" s="1172"/>
      <c r="Q64" s="653"/>
      <c r="R64" s="1172"/>
    </row>
    <row r="65" spans="1:18" s="708" customFormat="1">
      <c r="A65" s="1032" t="s">
        <v>2245</v>
      </c>
      <c r="B65" s="994" t="s">
        <v>2103</v>
      </c>
      <c r="C65" s="127">
        <f ca="1">ROUND(C47*F65,2)</f>
        <v>0</v>
      </c>
      <c r="D65" s="1060" t="s">
        <v>2123</v>
      </c>
      <c r="E65" s="994" t="s">
        <v>2087</v>
      </c>
      <c r="F65" s="1003">
        <f t="shared" ca="1" si="0"/>
        <v>5.0000000000000001E-3</v>
      </c>
      <c r="I65" s="1209" t="s">
        <v>2225</v>
      </c>
      <c r="J65" s="1210">
        <v>40</v>
      </c>
      <c r="K65" s="1210">
        <v>30</v>
      </c>
      <c r="L65" s="1210">
        <v>50</v>
      </c>
      <c r="M65" s="1212">
        <v>0.02</v>
      </c>
      <c r="O65" s="1177" t="s">
        <v>1394</v>
      </c>
      <c r="P65" s="1178" t="s">
        <v>540</v>
      </c>
      <c r="Q65" s="1215" t="s">
        <v>2167</v>
      </c>
      <c r="R65" s="1178" t="s">
        <v>2168</v>
      </c>
    </row>
    <row r="66" spans="1:18" s="708" customFormat="1">
      <c r="A66" s="1111" t="s">
        <v>2246</v>
      </c>
      <c r="B66" s="1219" t="s">
        <v>2127</v>
      </c>
      <c r="C66" s="126">
        <f ca="1">C47-C57</f>
        <v>-107</v>
      </c>
      <c r="D66" s="1029" t="s">
        <v>2128</v>
      </c>
      <c r="E66" s="1220"/>
      <c r="F66" s="1221"/>
      <c r="K66" s="1165"/>
      <c r="O66" s="1182" t="s">
        <v>2170</v>
      </c>
      <c r="P66" s="1183" t="s">
        <v>2171</v>
      </c>
      <c r="Q66" s="1216">
        <f ca="1">C40+J29</f>
        <v>19338</v>
      </c>
      <c r="R66" s="1183" t="s">
        <v>2172</v>
      </c>
    </row>
    <row r="67" spans="1:18" s="708" customFormat="1" ht="19.5">
      <c r="A67" s="985" t="s">
        <v>2247</v>
      </c>
      <c r="B67" s="1079" t="s">
        <v>2260</v>
      </c>
      <c r="C67" s="992">
        <f ca="1">ROUND(C66*(1-((1+F69)/(1+F67))^F68)/(F67-F69),0)</f>
        <v>-1236</v>
      </c>
      <c r="D67" s="1068" t="s">
        <v>2133</v>
      </c>
      <c r="E67" s="994" t="s">
        <v>2134</v>
      </c>
      <c r="F67" s="1003">
        <f ca="1">F40</f>
        <v>0.05</v>
      </c>
      <c r="K67" s="1165"/>
      <c r="O67" s="1182" t="s">
        <v>2175</v>
      </c>
      <c r="P67" s="1183" t="s">
        <v>2205</v>
      </c>
      <c r="Q67" s="1216">
        <f ca="1">L60</f>
        <v>0</v>
      </c>
      <c r="R67" s="1218" t="s">
        <v>2206</v>
      </c>
    </row>
    <row r="68" spans="1:18" ht="21">
      <c r="A68" s="1002"/>
      <c r="B68" s="1080"/>
      <c r="C68" s="998"/>
      <c r="D68" s="1081" t="s">
        <v>2137</v>
      </c>
      <c r="E68" s="994" t="s">
        <v>2138</v>
      </c>
      <c r="F68" s="1082">
        <f ca="1">F41</f>
        <v>17.66</v>
      </c>
      <c r="O68" s="1188" t="s">
        <v>2180</v>
      </c>
      <c r="P68" s="1183" t="s">
        <v>2209</v>
      </c>
      <c r="Q68" s="1223">
        <f ca="1">L51</f>
        <v>5081</v>
      </c>
      <c r="R68" s="1224" t="s">
        <v>2226</v>
      </c>
    </row>
    <row r="69" spans="1:18" ht="19.5">
      <c r="A69" s="1010"/>
      <c r="B69" s="1084"/>
      <c r="C69" s="1024"/>
      <c r="D69" s="1072"/>
      <c r="E69" s="994" t="s">
        <v>2142</v>
      </c>
      <c r="F69" s="1109"/>
      <c r="O69" s="1188" t="s">
        <v>2184</v>
      </c>
      <c r="P69" s="1222" t="s">
        <v>2227</v>
      </c>
      <c r="Q69" s="1216">
        <f ca="1">ROUND(Q70-Q71*Q72,0)</f>
        <v>256</v>
      </c>
      <c r="R69" s="1218"/>
    </row>
    <row r="70" spans="1:18">
      <c r="A70" s="1055" t="s">
        <v>2252</v>
      </c>
      <c r="B70" s="1085" t="s">
        <v>2264</v>
      </c>
      <c r="C70" s="1086">
        <f ca="1">ROUND(C67*10000/F70,0)</f>
        <v>-390</v>
      </c>
      <c r="D70" s="1087" t="s">
        <v>2265</v>
      </c>
      <c r="E70" s="1088" t="s">
        <v>2266</v>
      </c>
      <c r="F70" s="1089">
        <f ca="1">F43</f>
        <v>31713.88</v>
      </c>
      <c r="O70" s="1188" t="s">
        <v>2228</v>
      </c>
      <c r="P70" s="1222" t="s">
        <v>2229</v>
      </c>
      <c r="Q70" s="1216">
        <f ca="1">C39</f>
        <v>1448</v>
      </c>
      <c r="R70" s="1183" t="s">
        <v>2172</v>
      </c>
    </row>
    <row r="71" spans="1:18">
      <c r="O71" s="1188" t="s">
        <v>2230</v>
      </c>
      <c r="P71" s="1222" t="s">
        <v>2231</v>
      </c>
      <c r="Q71" s="1216">
        <f ca="1">C13</f>
        <v>15897</v>
      </c>
      <c r="R71" s="1183" t="s">
        <v>2172</v>
      </c>
    </row>
    <row r="72" spans="1:18">
      <c r="O72" s="1188" t="s">
        <v>2232</v>
      </c>
      <c r="P72" s="1222" t="s">
        <v>2233</v>
      </c>
      <c r="Q72" s="1217">
        <f ca="1">J36</f>
        <v>7.4999999999999997E-2</v>
      </c>
      <c r="R72" s="1218"/>
    </row>
    <row r="73" spans="1:18">
      <c r="O73" s="1188" t="s">
        <v>2187</v>
      </c>
      <c r="P73" s="1183" t="s">
        <v>2212</v>
      </c>
      <c r="Q73" s="1217">
        <f>L52</f>
        <v>0</v>
      </c>
      <c r="R73" s="1218"/>
    </row>
    <row r="74" spans="1:18" ht="19.5">
      <c r="O74" s="1188" t="s">
        <v>2190</v>
      </c>
      <c r="P74" s="1183" t="s">
        <v>2213</v>
      </c>
      <c r="Q74" s="1216" t="e">
        <f ca="1">L58</f>
        <v>#DIV/0!</v>
      </c>
      <c r="R74" s="1218" t="s">
        <v>2214</v>
      </c>
    </row>
    <row r="75" spans="1:18">
      <c r="O75" s="1188" t="s">
        <v>2234</v>
      </c>
      <c r="P75" s="1183" t="str">
        <f>K59</f>
        <v>建设期及建筑物耐用年限下的土地年期修正系数Kn</v>
      </c>
      <c r="Q75" s="1216" t="e">
        <f ca="1">L59</f>
        <v>#DIV/0!</v>
      </c>
      <c r="R75" s="1218" t="s">
        <v>2221</v>
      </c>
    </row>
    <row r="76" spans="1:18">
      <c r="O76" s="1182" t="s">
        <v>2193</v>
      </c>
      <c r="P76" s="1183" t="s">
        <v>2194</v>
      </c>
      <c r="Q76" s="1216">
        <f ca="1">Q66+Q67</f>
        <v>19338</v>
      </c>
      <c r="R76" s="1218" t="s">
        <v>2195</v>
      </c>
    </row>
  </sheetData>
  <sheetProtection formatCells="0" formatColumns="0" formatRows="0"/>
  <mergeCells count="3">
    <mergeCell ref="K53:L53"/>
    <mergeCell ref="B6:B9"/>
    <mergeCell ref="I6:I9"/>
  </mergeCells>
  <phoneticPr fontId="258"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R5" sqref="R5"/>
    </sheetView>
  </sheetViews>
  <sheetFormatPr defaultColWidth="8.75" defaultRowHeight="13.5"/>
  <cols>
    <col min="10" max="11" width="8.75" hidden="1" customWidth="1"/>
    <col min="12" max="12" width="13.875" customWidth="1"/>
    <col min="15" max="17" width="8.75" hidden="1" customWidth="1"/>
  </cols>
  <sheetData>
    <row r="1" spans="1:21" s="949" customFormat="1" ht="14.25">
      <c r="A1" s="949" t="s">
        <v>2275</v>
      </c>
      <c r="B1" s="949" t="s">
        <v>2276</v>
      </c>
      <c r="C1" s="949" t="s">
        <v>481</v>
      </c>
      <c r="D1" s="949" t="s">
        <v>2277</v>
      </c>
      <c r="E1" s="949" t="s">
        <v>2278</v>
      </c>
      <c r="F1" s="949" t="s">
        <v>2279</v>
      </c>
      <c r="G1" s="949" t="s">
        <v>105</v>
      </c>
      <c r="H1" s="949" t="s">
        <v>2280</v>
      </c>
      <c r="I1" s="949" t="s">
        <v>2281</v>
      </c>
      <c r="J1" s="949" t="s">
        <v>2282</v>
      </c>
      <c r="K1" s="949" t="s">
        <v>2283</v>
      </c>
      <c r="L1" s="949" t="s">
        <v>2284</v>
      </c>
      <c r="M1" s="949" t="s">
        <v>2285</v>
      </c>
      <c r="N1" s="949" t="s">
        <v>2286</v>
      </c>
      <c r="O1" s="949" t="s">
        <v>2287</v>
      </c>
      <c r="P1" s="949" t="s">
        <v>2288</v>
      </c>
      <c r="Q1" s="949" t="s">
        <v>2289</v>
      </c>
      <c r="R1" s="949" t="s">
        <v>2290</v>
      </c>
      <c r="S1" s="949" t="s">
        <v>2291</v>
      </c>
      <c r="T1" s="949" t="s">
        <v>2292</v>
      </c>
    </row>
    <row r="2" spans="1:21" s="950" customFormat="1" ht="14.25">
      <c r="A2" s="950" t="s">
        <v>2293</v>
      </c>
      <c r="B2" s="950" t="s">
        <v>425</v>
      </c>
      <c r="C2" s="950" t="s">
        <v>2294</v>
      </c>
      <c r="D2" s="950" t="s">
        <v>2295</v>
      </c>
      <c r="E2" s="950">
        <v>94169.78</v>
      </c>
      <c r="F2" s="950">
        <v>141254.67000000001</v>
      </c>
      <c r="G2" s="950">
        <v>1.5</v>
      </c>
      <c r="H2" s="950" t="s">
        <v>2296</v>
      </c>
      <c r="I2" s="950" t="s">
        <v>2297</v>
      </c>
      <c r="J2" s="950" t="s">
        <v>2298</v>
      </c>
      <c r="K2" s="954">
        <v>45098.0004976852</v>
      </c>
      <c r="L2" s="954">
        <v>45098.0004976852</v>
      </c>
      <c r="M2" s="950" t="s">
        <v>2299</v>
      </c>
      <c r="N2" s="950" t="s">
        <v>2300</v>
      </c>
      <c r="O2" s="950">
        <v>15396.76</v>
      </c>
      <c r="P2" s="950">
        <v>3080</v>
      </c>
      <c r="Q2" s="950" t="s">
        <v>2301</v>
      </c>
      <c r="R2" s="950">
        <v>15396.76</v>
      </c>
      <c r="S2" s="950">
        <v>1090</v>
      </c>
      <c r="T2" s="950">
        <v>0</v>
      </c>
    </row>
    <row r="3" spans="1:21" s="949" customFormat="1" ht="14.25">
      <c r="A3" s="949" t="s">
        <v>2302</v>
      </c>
      <c r="B3" s="949" t="s">
        <v>425</v>
      </c>
      <c r="C3" s="949" t="s">
        <v>2303</v>
      </c>
      <c r="D3" s="949" t="s">
        <v>2295</v>
      </c>
      <c r="E3" s="949">
        <v>84245.85</v>
      </c>
      <c r="F3" s="949">
        <v>84245.85</v>
      </c>
      <c r="G3" s="949" t="s">
        <v>2304</v>
      </c>
      <c r="H3" s="949" t="s">
        <v>2296</v>
      </c>
      <c r="I3" s="949" t="s">
        <v>2305</v>
      </c>
      <c r="J3" s="949" t="s">
        <v>2298</v>
      </c>
      <c r="K3" s="955">
        <v>44931.0004976852</v>
      </c>
      <c r="L3" s="955">
        <v>44931.0004976852</v>
      </c>
      <c r="M3" s="949" t="s">
        <v>2299</v>
      </c>
      <c r="N3" s="949" t="s">
        <v>2306</v>
      </c>
      <c r="O3" s="949">
        <v>23049.66</v>
      </c>
      <c r="P3" s="949">
        <v>4610</v>
      </c>
      <c r="Q3" s="949" t="s">
        <v>2307</v>
      </c>
      <c r="R3" s="949">
        <v>23049.66</v>
      </c>
      <c r="S3" s="949">
        <v>2736</v>
      </c>
      <c r="T3" s="949">
        <v>0</v>
      </c>
    </row>
    <row r="4" spans="1:21" s="951" customFormat="1" ht="14.25">
      <c r="A4" s="953" t="s">
        <v>2308</v>
      </c>
      <c r="B4" s="953" t="s">
        <v>425</v>
      </c>
      <c r="C4" s="953" t="s">
        <v>2309</v>
      </c>
      <c r="D4" s="953" t="s">
        <v>2295</v>
      </c>
      <c r="E4" s="953">
        <v>40217.370000000003</v>
      </c>
      <c r="F4" s="953">
        <v>60326.05</v>
      </c>
      <c r="G4" s="953" t="s">
        <v>2310</v>
      </c>
      <c r="H4" s="953" t="s">
        <v>2296</v>
      </c>
      <c r="I4" s="953" t="s">
        <v>2311</v>
      </c>
      <c r="J4" s="953" t="s">
        <v>2298</v>
      </c>
      <c r="K4" s="956">
        <v>44832.0004976852</v>
      </c>
      <c r="L4" s="956">
        <v>44832.0004976852</v>
      </c>
      <c r="M4" s="953" t="s">
        <v>2299</v>
      </c>
      <c r="N4" s="953" t="s">
        <v>2312</v>
      </c>
      <c r="O4" s="953">
        <v>4964.83</v>
      </c>
      <c r="P4" s="953">
        <v>1000</v>
      </c>
      <c r="Q4" s="953" t="s">
        <v>2313</v>
      </c>
      <c r="R4" s="953">
        <v>4964.83</v>
      </c>
      <c r="S4" s="953">
        <v>823</v>
      </c>
      <c r="T4" s="953">
        <v>0</v>
      </c>
      <c r="U4" s="951" t="s">
        <v>286</v>
      </c>
    </row>
    <row r="5" spans="1:21" s="952" customFormat="1" ht="14.25">
      <c r="A5" s="952" t="s">
        <v>2314</v>
      </c>
      <c r="B5" s="952" t="s">
        <v>425</v>
      </c>
      <c r="C5" s="952" t="s">
        <v>2315</v>
      </c>
      <c r="D5" s="952" t="s">
        <v>2295</v>
      </c>
      <c r="E5" s="952">
        <v>26650.41</v>
      </c>
      <c r="F5" s="952">
        <v>39975.61</v>
      </c>
      <c r="G5" s="952" t="s">
        <v>2310</v>
      </c>
      <c r="H5" s="952" t="s">
        <v>2296</v>
      </c>
      <c r="I5" s="952" t="s">
        <v>2311</v>
      </c>
      <c r="J5" s="952" t="s">
        <v>2298</v>
      </c>
      <c r="K5" s="957">
        <v>44760.0004976852</v>
      </c>
      <c r="L5" s="957">
        <v>44760.0004976852</v>
      </c>
      <c r="M5" s="952" t="s">
        <v>2299</v>
      </c>
      <c r="N5" s="952" t="s">
        <v>2316</v>
      </c>
      <c r="O5" s="952">
        <v>3258.01</v>
      </c>
      <c r="P5" s="952">
        <v>650</v>
      </c>
      <c r="Q5" s="952" t="s">
        <v>2317</v>
      </c>
      <c r="R5" s="952">
        <v>3258.01</v>
      </c>
      <c r="S5" s="952">
        <v>815</v>
      </c>
      <c r="T5" s="952">
        <v>0</v>
      </c>
      <c r="U5" s="951" t="s">
        <v>1131</v>
      </c>
    </row>
    <row r="6" spans="1:21" s="951" customFormat="1" ht="14.25">
      <c r="A6" s="953" t="s">
        <v>2318</v>
      </c>
      <c r="B6" s="953" t="s">
        <v>425</v>
      </c>
      <c r="C6" s="953" t="s">
        <v>2319</v>
      </c>
      <c r="D6" s="953" t="s">
        <v>2295</v>
      </c>
      <c r="E6" s="953">
        <v>77481.740000000005</v>
      </c>
      <c r="F6" s="953">
        <v>100726.26</v>
      </c>
      <c r="G6" s="953" t="s">
        <v>2320</v>
      </c>
      <c r="H6" s="953" t="s">
        <v>2296</v>
      </c>
      <c r="I6" s="953" t="s">
        <v>2311</v>
      </c>
      <c r="J6" s="953" t="s">
        <v>2298</v>
      </c>
      <c r="K6" s="956">
        <v>44760.0004976852</v>
      </c>
      <c r="L6" s="956">
        <v>44760.0004976852</v>
      </c>
      <c r="M6" s="953" t="s">
        <v>2299</v>
      </c>
      <c r="N6" s="953" t="s">
        <v>2321</v>
      </c>
      <c r="O6" s="953">
        <v>8098.39</v>
      </c>
      <c r="P6" s="953">
        <v>1600</v>
      </c>
      <c r="Q6" s="953" t="s">
        <v>2317</v>
      </c>
      <c r="R6" s="953">
        <v>8098.39</v>
      </c>
      <c r="S6" s="953">
        <v>804</v>
      </c>
      <c r="T6" s="953">
        <v>0</v>
      </c>
      <c r="U6" s="951" t="s">
        <v>2322</v>
      </c>
    </row>
    <row r="7" spans="1:21" s="951" customFormat="1" ht="14.25">
      <c r="A7" s="953" t="s">
        <v>2323</v>
      </c>
      <c r="B7" s="953" t="s">
        <v>425</v>
      </c>
      <c r="C7" s="953" t="s">
        <v>2324</v>
      </c>
      <c r="D7" s="953" t="s">
        <v>2295</v>
      </c>
      <c r="E7" s="953">
        <v>65024.44</v>
      </c>
      <c r="F7" s="953">
        <v>97536.66</v>
      </c>
      <c r="G7" s="953" t="s">
        <v>2310</v>
      </c>
      <c r="H7" s="953" t="s">
        <v>2296</v>
      </c>
      <c r="I7" s="953" t="s">
        <v>2311</v>
      </c>
      <c r="J7" s="953" t="s">
        <v>2298</v>
      </c>
      <c r="K7" s="956">
        <v>44761.0004976852</v>
      </c>
      <c r="L7" s="956">
        <v>44761.0004976852</v>
      </c>
      <c r="M7" s="953" t="s">
        <v>2299</v>
      </c>
      <c r="N7" s="953" t="s">
        <v>2325</v>
      </c>
      <c r="O7" s="953">
        <v>8017.51</v>
      </c>
      <c r="P7" s="953">
        <v>1600</v>
      </c>
      <c r="Q7" s="953" t="s">
        <v>2317</v>
      </c>
      <c r="R7" s="953">
        <v>8017.51</v>
      </c>
      <c r="S7" s="953">
        <v>822</v>
      </c>
      <c r="T7" s="953">
        <v>0</v>
      </c>
      <c r="U7" s="951" t="s">
        <v>1131</v>
      </c>
    </row>
    <row r="8" spans="1:21" s="950" customFormat="1" ht="14.25">
      <c r="A8" s="950" t="s">
        <v>2326</v>
      </c>
      <c r="B8" s="950" t="s">
        <v>425</v>
      </c>
      <c r="C8" s="950" t="s">
        <v>2327</v>
      </c>
      <c r="D8" s="950" t="s">
        <v>2295</v>
      </c>
      <c r="E8" s="950">
        <v>48135.07</v>
      </c>
      <c r="F8" s="950">
        <v>48135.07</v>
      </c>
      <c r="G8" s="950" t="s">
        <v>2304</v>
      </c>
      <c r="H8" s="950" t="s">
        <v>2296</v>
      </c>
      <c r="I8" s="950" t="s">
        <v>2328</v>
      </c>
      <c r="J8" s="950" t="s">
        <v>2298</v>
      </c>
      <c r="K8" s="954">
        <v>44714.0004976852</v>
      </c>
      <c r="L8" s="954">
        <v>44714.0004976852</v>
      </c>
      <c r="M8" s="950" t="s">
        <v>2299</v>
      </c>
      <c r="N8" s="950" t="s">
        <v>2329</v>
      </c>
      <c r="O8" s="950">
        <v>12487.17</v>
      </c>
      <c r="P8" s="950">
        <v>2500</v>
      </c>
      <c r="Q8" s="950" t="s">
        <v>2330</v>
      </c>
      <c r="R8" s="950">
        <v>12487.17</v>
      </c>
      <c r="S8" s="950">
        <v>2594</v>
      </c>
      <c r="T8" s="950">
        <v>0</v>
      </c>
    </row>
    <row r="9" spans="1:21" s="949" customFormat="1" ht="14.25">
      <c r="A9" s="949" t="s">
        <v>2331</v>
      </c>
      <c r="B9" s="949" t="s">
        <v>425</v>
      </c>
      <c r="C9" s="949" t="s">
        <v>2332</v>
      </c>
      <c r="D9" s="949" t="s">
        <v>2295</v>
      </c>
      <c r="E9" s="949">
        <v>13991.5</v>
      </c>
      <c r="F9" s="949">
        <v>22386</v>
      </c>
      <c r="G9" s="949" t="s">
        <v>2333</v>
      </c>
      <c r="H9" s="949" t="s">
        <v>2296</v>
      </c>
      <c r="I9" s="949" t="s">
        <v>2311</v>
      </c>
      <c r="J9" s="949" t="s">
        <v>2298</v>
      </c>
      <c r="K9" s="955">
        <v>44446.0004976852</v>
      </c>
      <c r="L9" s="955">
        <v>44446.0004976852</v>
      </c>
      <c r="M9" s="949" t="s">
        <v>2299</v>
      </c>
      <c r="N9" s="949" t="s">
        <v>2334</v>
      </c>
      <c r="O9" s="949">
        <v>1811.03</v>
      </c>
      <c r="P9" s="949">
        <v>360</v>
      </c>
      <c r="Q9" s="949" t="s">
        <v>2335</v>
      </c>
      <c r="R9" s="949">
        <v>1811.03</v>
      </c>
      <c r="S9" s="949">
        <v>809</v>
      </c>
      <c r="T9" s="949">
        <v>0</v>
      </c>
    </row>
    <row r="10" spans="1:21" s="949" customFormat="1" ht="14.25">
      <c r="A10" s="949" t="s">
        <v>2336</v>
      </c>
      <c r="B10" s="949" t="s">
        <v>425</v>
      </c>
      <c r="C10" s="949" t="s">
        <v>2337</v>
      </c>
      <c r="D10" s="949" t="s">
        <v>2295</v>
      </c>
      <c r="E10" s="949">
        <v>16627.21</v>
      </c>
      <c r="F10" s="949">
        <v>29928.97</v>
      </c>
      <c r="G10" s="949" t="s">
        <v>2338</v>
      </c>
      <c r="H10" s="949" t="s">
        <v>2296</v>
      </c>
      <c r="I10" s="949" t="s">
        <v>2311</v>
      </c>
      <c r="J10" s="949" t="s">
        <v>2298</v>
      </c>
      <c r="K10" s="955">
        <v>44446.0004976852</v>
      </c>
      <c r="L10" s="955">
        <v>44446.0004976852</v>
      </c>
      <c r="M10" s="949" t="s">
        <v>2299</v>
      </c>
      <c r="N10" s="949" t="s">
        <v>2339</v>
      </c>
      <c r="O10" s="949">
        <v>5111.87</v>
      </c>
      <c r="P10" s="949">
        <v>1020</v>
      </c>
      <c r="Q10" s="949" t="s">
        <v>2335</v>
      </c>
      <c r="R10" s="949">
        <v>5111.87</v>
      </c>
      <c r="S10" s="949">
        <v>1708</v>
      </c>
      <c r="T10" s="949">
        <v>0</v>
      </c>
    </row>
    <row r="11" spans="1:21" s="949" customFormat="1" ht="14.25">
      <c r="A11" s="949" t="s">
        <v>2340</v>
      </c>
      <c r="B11" s="949" t="s">
        <v>425</v>
      </c>
      <c r="C11" s="949" t="s">
        <v>2341</v>
      </c>
      <c r="D11" s="949" t="s">
        <v>2295</v>
      </c>
      <c r="E11" s="949">
        <v>100000</v>
      </c>
      <c r="F11" s="949">
        <v>200000</v>
      </c>
      <c r="G11" s="949" t="s">
        <v>2342</v>
      </c>
      <c r="H11" s="949" t="s">
        <v>2296</v>
      </c>
      <c r="I11" s="949" t="s">
        <v>2343</v>
      </c>
      <c r="J11" s="949" t="s">
        <v>2298</v>
      </c>
      <c r="K11" s="955">
        <v>44307.0004976852</v>
      </c>
      <c r="L11" s="955">
        <v>44307.0004976852</v>
      </c>
      <c r="M11" s="949" t="s">
        <v>2299</v>
      </c>
      <c r="N11" s="949" t="s">
        <v>2344</v>
      </c>
      <c r="O11" s="949">
        <v>13020</v>
      </c>
      <c r="P11" s="949">
        <v>2600</v>
      </c>
      <c r="Q11" s="949" t="s">
        <v>2335</v>
      </c>
      <c r="R11" s="949">
        <v>13020</v>
      </c>
      <c r="S11" s="949">
        <v>651</v>
      </c>
      <c r="T11" s="949">
        <v>0</v>
      </c>
    </row>
    <row r="12" spans="1:21" s="950" customFormat="1" ht="14.25">
      <c r="A12" s="950" t="s">
        <v>2345</v>
      </c>
      <c r="B12" s="950" t="s">
        <v>425</v>
      </c>
      <c r="C12" s="950" t="s">
        <v>2346</v>
      </c>
      <c r="D12" s="950" t="s">
        <v>2295</v>
      </c>
      <c r="E12" s="950">
        <v>19340</v>
      </c>
      <c r="F12" s="950">
        <v>34812</v>
      </c>
      <c r="G12" s="950" t="s">
        <v>2347</v>
      </c>
      <c r="H12" s="950" t="s">
        <v>2296</v>
      </c>
      <c r="I12" s="950" t="s">
        <v>2348</v>
      </c>
      <c r="J12" s="950" t="s">
        <v>2298</v>
      </c>
      <c r="K12" s="954">
        <v>43873.0004976852</v>
      </c>
      <c r="L12" s="954">
        <v>43873.0004976852</v>
      </c>
      <c r="M12" s="950" t="s">
        <v>2299</v>
      </c>
      <c r="N12" s="950" t="s">
        <v>2349</v>
      </c>
      <c r="O12" s="950">
        <v>5764.87</v>
      </c>
      <c r="P12" s="950">
        <v>1800</v>
      </c>
      <c r="Q12" s="950" t="s">
        <v>2335</v>
      </c>
      <c r="R12" s="950">
        <v>5764.87</v>
      </c>
      <c r="S12" s="950">
        <v>1656</v>
      </c>
      <c r="T12" s="950">
        <v>0</v>
      </c>
    </row>
    <row r="13" spans="1:21" s="950" customFormat="1" ht="14.25">
      <c r="A13" s="950" t="s">
        <v>2350</v>
      </c>
      <c r="B13" s="950" t="s">
        <v>425</v>
      </c>
      <c r="C13" s="950" t="s">
        <v>2351</v>
      </c>
      <c r="D13" s="950" t="s">
        <v>2295</v>
      </c>
      <c r="E13" s="950">
        <v>16697.47</v>
      </c>
      <c r="F13" s="950">
        <v>30055</v>
      </c>
      <c r="G13" s="950">
        <v>1.8</v>
      </c>
      <c r="H13" s="950" t="s">
        <v>2296</v>
      </c>
      <c r="I13" s="950" t="s">
        <v>2352</v>
      </c>
      <c r="J13" s="950" t="s">
        <v>2298</v>
      </c>
      <c r="K13" s="954">
        <v>43662.0004976852</v>
      </c>
      <c r="L13" s="954">
        <v>43662.0004976852</v>
      </c>
      <c r="M13" s="950" t="s">
        <v>2299</v>
      </c>
      <c r="N13" s="950" t="s">
        <v>2353</v>
      </c>
      <c r="O13" s="950">
        <v>4977.1099999999997</v>
      </c>
      <c r="P13" s="950">
        <v>1500</v>
      </c>
      <c r="Q13" s="950" t="s">
        <v>2335</v>
      </c>
      <c r="R13" s="950">
        <v>4977.1099999999997</v>
      </c>
      <c r="S13" s="950">
        <v>1656</v>
      </c>
      <c r="T13" s="950">
        <v>0</v>
      </c>
    </row>
    <row r="14" spans="1:21" s="950" customFormat="1" ht="14.25">
      <c r="A14" s="950" t="s">
        <v>2354</v>
      </c>
      <c r="B14" s="950" t="s">
        <v>425</v>
      </c>
      <c r="C14" s="950" t="s">
        <v>2355</v>
      </c>
      <c r="D14" s="950" t="s">
        <v>2295</v>
      </c>
      <c r="E14" s="950">
        <v>46618.33</v>
      </c>
      <c r="F14" s="950">
        <v>93237</v>
      </c>
      <c r="G14" s="950">
        <v>2</v>
      </c>
      <c r="H14" s="950" t="s">
        <v>2296</v>
      </c>
      <c r="I14" s="950" t="s">
        <v>2352</v>
      </c>
      <c r="J14" s="950" t="s">
        <v>2298</v>
      </c>
      <c r="K14" s="954">
        <v>43577.0004976852</v>
      </c>
      <c r="L14" s="954">
        <v>43577.0004976852</v>
      </c>
      <c r="M14" s="950" t="s">
        <v>2299</v>
      </c>
      <c r="N14" s="950" t="s">
        <v>2356</v>
      </c>
      <c r="O14" s="950">
        <v>16204.59</v>
      </c>
      <c r="P14" s="950">
        <v>4850</v>
      </c>
      <c r="Q14" s="950" t="s">
        <v>2335</v>
      </c>
      <c r="R14" s="950">
        <v>16204.59</v>
      </c>
      <c r="S14" s="950">
        <v>1738</v>
      </c>
      <c r="T14" s="950">
        <v>0</v>
      </c>
    </row>
    <row r="15" spans="1:21" s="950" customFormat="1" ht="14.25">
      <c r="A15" s="950" t="s">
        <v>2357</v>
      </c>
      <c r="B15" s="950" t="s">
        <v>425</v>
      </c>
      <c r="C15" s="950" t="s">
        <v>2358</v>
      </c>
      <c r="D15" s="950" t="s">
        <v>2295</v>
      </c>
      <c r="E15" s="950">
        <v>8700</v>
      </c>
      <c r="F15" s="950">
        <v>15660</v>
      </c>
      <c r="G15" s="950">
        <v>1.8</v>
      </c>
      <c r="H15" s="950" t="s">
        <v>2296</v>
      </c>
      <c r="I15" s="950" t="s">
        <v>2352</v>
      </c>
      <c r="J15" s="950" t="s">
        <v>2298</v>
      </c>
      <c r="K15" s="954">
        <v>43577.0004976852</v>
      </c>
      <c r="L15" s="954">
        <v>43577.0004976852</v>
      </c>
      <c r="M15" s="950" t="s">
        <v>2299</v>
      </c>
      <c r="N15" s="950" t="s">
        <v>2359</v>
      </c>
      <c r="O15" s="950">
        <v>2593.3000000000002</v>
      </c>
      <c r="P15" s="950">
        <v>780</v>
      </c>
      <c r="Q15" s="950" t="s">
        <v>2335</v>
      </c>
      <c r="R15" s="950">
        <v>2593.3000000000002</v>
      </c>
      <c r="S15" s="950">
        <v>1656</v>
      </c>
      <c r="T15" s="950">
        <v>0</v>
      </c>
    </row>
    <row r="16" spans="1:21" s="949" customFormat="1" ht="14.25">
      <c r="A16" s="949" t="s">
        <v>2360</v>
      </c>
      <c r="B16" s="949" t="s">
        <v>425</v>
      </c>
      <c r="C16" s="949" t="s">
        <v>2361</v>
      </c>
      <c r="D16" s="949" t="s">
        <v>2295</v>
      </c>
      <c r="E16" s="949">
        <v>4280.58</v>
      </c>
      <c r="F16" s="949">
        <v>3424</v>
      </c>
      <c r="G16" s="949">
        <v>0.8</v>
      </c>
      <c r="H16" s="949" t="s">
        <v>2296</v>
      </c>
      <c r="I16" s="949" t="s">
        <v>2362</v>
      </c>
      <c r="J16" s="949" t="s">
        <v>2298</v>
      </c>
      <c r="K16" s="955">
        <v>43094.0004976852</v>
      </c>
      <c r="L16" s="955">
        <v>43094.0004976852</v>
      </c>
      <c r="M16" s="949" t="s">
        <v>2299</v>
      </c>
      <c r="N16" s="949" t="s">
        <v>2363</v>
      </c>
      <c r="O16" s="949">
        <v>642.09</v>
      </c>
      <c r="P16" s="949">
        <v>200</v>
      </c>
      <c r="Q16" s="949" t="s">
        <v>2335</v>
      </c>
      <c r="R16" s="949">
        <v>642.09</v>
      </c>
      <c r="S16" s="949">
        <v>1875</v>
      </c>
      <c r="T16" s="949">
        <v>0</v>
      </c>
    </row>
  </sheetData>
  <phoneticPr fontId="258"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28" sqref="N28"/>
    </sheetView>
  </sheetViews>
  <sheetFormatPr defaultColWidth="8.75" defaultRowHeight="13.5"/>
  <sheetData/>
  <phoneticPr fontId="25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2364</v>
      </c>
      <c r="B1" s="782"/>
      <c r="C1" s="783"/>
      <c r="D1" s="783"/>
      <c r="E1" s="784"/>
      <c r="F1" s="785"/>
      <c r="G1" s="786"/>
      <c r="J1" s="886" t="s">
        <v>2365</v>
      </c>
      <c r="K1" s="887"/>
      <c r="L1" s="887"/>
      <c r="M1" s="887"/>
      <c r="N1" s="887"/>
      <c r="O1" s="887"/>
      <c r="P1" s="887"/>
      <c r="Q1" s="887"/>
      <c r="R1" s="926"/>
      <c r="S1" s="927"/>
      <c r="T1" s="927"/>
      <c r="U1" s="927"/>
    </row>
    <row r="2" spans="1:22" s="774" customFormat="1" ht="13.15" customHeight="1">
      <c r="A2" s="787" t="s">
        <v>2366</v>
      </c>
      <c r="B2" s="788" t="e">
        <f>C40</f>
        <v>#DIV/0!</v>
      </c>
      <c r="C2" s="783" t="s">
        <v>2367</v>
      </c>
      <c r="D2" s="783"/>
      <c r="E2" s="789"/>
      <c r="F2" s="790"/>
      <c r="G2" s="791"/>
      <c r="H2" s="792"/>
      <c r="I2" s="888"/>
      <c r="J2" s="3932" t="s">
        <v>2368</v>
      </c>
      <c r="K2" s="3933"/>
      <c r="L2" s="889" t="s">
        <v>2369</v>
      </c>
      <c r="M2" s="889" t="s">
        <v>2370</v>
      </c>
      <c r="N2" s="889" t="s">
        <v>2371</v>
      </c>
      <c r="O2" s="889" t="s">
        <v>2372</v>
      </c>
      <c r="P2" s="889" t="s">
        <v>2373</v>
      </c>
      <c r="Q2" s="928" t="s">
        <v>2374</v>
      </c>
      <c r="R2" s="929" t="s">
        <v>2375</v>
      </c>
      <c r="S2" s="927"/>
      <c r="T2" s="927"/>
      <c r="U2" s="927"/>
      <c r="V2" s="888"/>
    </row>
    <row r="3" spans="1:22" s="774" customFormat="1" ht="13.15" customHeight="1">
      <c r="A3" s="793" t="s">
        <v>2376</v>
      </c>
      <c r="B3" s="794" t="e">
        <f>ROUND(B2*10000/B4,0)</f>
        <v>#DIV/0!</v>
      </c>
      <c r="C3" s="783" t="s">
        <v>2377</v>
      </c>
      <c r="D3" s="783"/>
      <c r="E3" s="789"/>
      <c r="F3" s="790"/>
      <c r="G3" s="791"/>
      <c r="H3" s="792"/>
      <c r="I3" s="888"/>
      <c r="J3" s="3934" t="s">
        <v>2378</v>
      </c>
      <c r="K3" s="3935"/>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34" t="s">
        <v>2379</v>
      </c>
      <c r="K4" s="3935"/>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2380</v>
      </c>
      <c r="K5" s="893"/>
      <c r="L5" s="893"/>
      <c r="M5" s="894"/>
      <c r="N5" s="894"/>
      <c r="O5" s="894"/>
      <c r="P5" s="894"/>
      <c r="Q5" s="894"/>
      <c r="R5" s="929">
        <f>SUM(R14,R19,R24,R25,R27,R28)</f>
        <v>0</v>
      </c>
      <c r="S5" s="927"/>
      <c r="T5" s="927" t="s">
        <v>2381</v>
      </c>
      <c r="U5" s="927" t="e">
        <f>ROUND(R5*10000/365/R3,1)</f>
        <v>#DIV/0!</v>
      </c>
      <c r="V5" s="888"/>
    </row>
    <row r="6" spans="1:22" s="774" customFormat="1" ht="13.15" customHeight="1">
      <c r="A6" s="3936" t="s">
        <v>2382</v>
      </c>
      <c r="B6" s="3937"/>
      <c r="C6" s="3938"/>
      <c r="D6" s="800"/>
      <c r="E6" s="801"/>
      <c r="F6" s="802"/>
      <c r="G6" s="803"/>
      <c r="H6" s="792"/>
      <c r="I6" s="888"/>
      <c r="J6" s="3945">
        <v>1</v>
      </c>
      <c r="K6" s="3948" t="s">
        <v>2383</v>
      </c>
      <c r="L6" s="896" t="s">
        <v>2384</v>
      </c>
      <c r="M6" s="897" t="s">
        <v>2385</v>
      </c>
      <c r="N6" s="897" t="s">
        <v>2386</v>
      </c>
      <c r="O6" s="897" t="s">
        <v>2387</v>
      </c>
      <c r="P6" s="897" t="s">
        <v>2388</v>
      </c>
      <c r="Q6" s="897" t="s">
        <v>2389</v>
      </c>
      <c r="R6" s="931" t="s">
        <v>2390</v>
      </c>
      <c r="S6" s="927"/>
      <c r="T6" s="927" t="s">
        <v>2391</v>
      </c>
      <c r="U6" s="927"/>
      <c r="V6" s="888"/>
    </row>
    <row r="7" spans="1:22" s="774" customFormat="1" ht="13.15" customHeight="1">
      <c r="A7" s="804" t="s">
        <v>2392</v>
      </c>
      <c r="B7" s="805"/>
      <c r="C7" s="806"/>
      <c r="D7" s="807">
        <f>SUM(D9,D10,D11,D17,0)</f>
        <v>0</v>
      </c>
      <c r="E7" s="808" t="e">
        <f>E9+E10+E11+E17</f>
        <v>#DIV/0!</v>
      </c>
      <c r="F7" s="809"/>
      <c r="G7" s="810"/>
      <c r="H7" s="792"/>
      <c r="I7" s="888"/>
      <c r="J7" s="3945"/>
      <c r="K7" s="3949"/>
      <c r="L7" s="898" t="s">
        <v>2393</v>
      </c>
      <c r="M7" s="899"/>
      <c r="N7" s="796"/>
      <c r="O7" s="900"/>
      <c r="P7" s="900"/>
      <c r="Q7" s="829">
        <v>365</v>
      </c>
      <c r="R7" s="934">
        <f>ROUND(M7*N7*O7*P7*Q7/10000,0)</f>
        <v>0</v>
      </c>
      <c r="S7" s="927"/>
      <c r="T7" s="927" t="s">
        <v>2394</v>
      </c>
      <c r="U7" s="927"/>
      <c r="V7" s="888"/>
    </row>
    <row r="8" spans="1:22" s="774" customFormat="1" ht="13.15" customHeight="1">
      <c r="A8" s="811" t="s">
        <v>2395</v>
      </c>
      <c r="B8" s="3939" t="s">
        <v>2396</v>
      </c>
      <c r="C8" s="3940"/>
      <c r="D8" s="814" t="s">
        <v>2397</v>
      </c>
      <c r="E8" s="815" t="s">
        <v>2398</v>
      </c>
      <c r="F8" s="816" t="s">
        <v>2399</v>
      </c>
      <c r="G8" s="817"/>
      <c r="H8" s="792"/>
      <c r="I8" s="888"/>
      <c r="J8" s="3945"/>
      <c r="K8" s="3949"/>
      <c r="L8" s="898" t="s">
        <v>2400</v>
      </c>
      <c r="M8" s="899"/>
      <c r="N8" s="796"/>
      <c r="O8" s="900"/>
      <c r="P8" s="900"/>
      <c r="Q8" s="829">
        <v>365</v>
      </c>
      <c r="R8" s="934">
        <f t="shared" ref="R8:R13" si="0">ROUND(M8*N8*O8*P8*Q8/10000,0)</f>
        <v>0</v>
      </c>
      <c r="S8" s="927"/>
      <c r="T8" s="927" t="s">
        <v>2401</v>
      </c>
      <c r="U8" s="927"/>
      <c r="V8" s="888"/>
    </row>
    <row r="9" spans="1:22" s="774" customFormat="1" ht="13.15" customHeight="1">
      <c r="A9" s="811">
        <v>1</v>
      </c>
      <c r="B9" s="3939" t="s">
        <v>2402</v>
      </c>
      <c r="C9" s="3940"/>
      <c r="D9" s="814">
        <f>ROUND(D6*E9,0)</f>
        <v>0</v>
      </c>
      <c r="E9" s="818"/>
      <c r="F9" s="819" t="s">
        <v>2403</v>
      </c>
      <c r="G9" s="803"/>
      <c r="H9" s="792"/>
      <c r="I9" s="888"/>
      <c r="J9" s="3945"/>
      <c r="K9" s="3949"/>
      <c r="L9" s="898" t="s">
        <v>2404</v>
      </c>
      <c r="M9" s="899"/>
      <c r="N9" s="796"/>
      <c r="O9" s="900"/>
      <c r="P9" s="900"/>
      <c r="Q9" s="829">
        <v>365</v>
      </c>
      <c r="R9" s="934">
        <f t="shared" si="0"/>
        <v>0</v>
      </c>
      <c r="S9" s="927"/>
      <c r="T9" s="927"/>
      <c r="U9" s="927"/>
      <c r="V9" s="888"/>
    </row>
    <row r="10" spans="1:22" s="774" customFormat="1" ht="13.15" customHeight="1">
      <c r="A10" s="811">
        <v>2</v>
      </c>
      <c r="B10" s="3939" t="s">
        <v>2405</v>
      </c>
      <c r="C10" s="3940"/>
      <c r="D10" s="814">
        <f>ROUND(D6*E10,0)</f>
        <v>0</v>
      </c>
      <c r="E10" s="818"/>
      <c r="F10" s="819" t="s">
        <v>2406</v>
      </c>
      <c r="G10" s="803"/>
      <c r="H10" s="792"/>
      <c r="I10" s="888"/>
      <c r="J10" s="3945"/>
      <c r="K10" s="3949"/>
      <c r="L10" s="898" t="s">
        <v>2407</v>
      </c>
      <c r="M10" s="899"/>
      <c r="N10" s="796"/>
      <c r="O10" s="900"/>
      <c r="P10" s="900"/>
      <c r="Q10" s="829">
        <v>365</v>
      </c>
      <c r="R10" s="934">
        <f t="shared" si="0"/>
        <v>0</v>
      </c>
      <c r="S10" s="927"/>
      <c r="T10" s="927"/>
      <c r="U10" s="927"/>
      <c r="V10" s="888"/>
    </row>
    <row r="11" spans="1:22" s="774" customFormat="1" ht="13.15" customHeight="1">
      <c r="A11" s="811">
        <v>3</v>
      </c>
      <c r="B11" s="3939" t="s">
        <v>2408</v>
      </c>
      <c r="C11" s="3940"/>
      <c r="D11" s="814">
        <f>D12+D14+D15+D16</f>
        <v>0</v>
      </c>
      <c r="E11" s="820" t="e">
        <f>D11/D6</f>
        <v>#DIV/0!</v>
      </c>
      <c r="F11" s="816"/>
      <c r="G11" s="817"/>
      <c r="H11" s="792"/>
      <c r="I11" s="888"/>
      <c r="J11" s="3945"/>
      <c r="K11" s="3949"/>
      <c r="L11" s="898" t="s">
        <v>2409</v>
      </c>
      <c r="M11" s="899"/>
      <c r="N11" s="796"/>
      <c r="O11" s="900"/>
      <c r="P11" s="900"/>
      <c r="Q11" s="829">
        <v>365</v>
      </c>
      <c r="R11" s="934">
        <f t="shared" si="0"/>
        <v>0</v>
      </c>
      <c r="S11" s="927"/>
      <c r="T11" s="927"/>
      <c r="U11" s="927"/>
      <c r="V11" s="888"/>
    </row>
    <row r="12" spans="1:22" s="774" customFormat="1" ht="13.15" customHeight="1">
      <c r="A12" s="821" t="s">
        <v>2410</v>
      </c>
      <c r="B12" s="3941" t="s">
        <v>2411</v>
      </c>
      <c r="C12" s="3942"/>
      <c r="D12" s="824">
        <f>ROUND(D13*1.2%*(1-30%),0)</f>
        <v>0</v>
      </c>
      <c r="E12" s="825">
        <v>1.2E-2</v>
      </c>
      <c r="F12" s="816" t="s">
        <v>2412</v>
      </c>
      <c r="G12" s="817"/>
      <c r="H12" s="792"/>
      <c r="I12" s="888"/>
      <c r="J12" s="3945"/>
      <c r="K12" s="3949"/>
      <c r="L12" s="898" t="s">
        <v>2413</v>
      </c>
      <c r="M12" s="899"/>
      <c r="N12" s="796"/>
      <c r="O12" s="900"/>
      <c r="P12" s="900"/>
      <c r="Q12" s="829">
        <v>365</v>
      </c>
      <c r="R12" s="934">
        <f t="shared" si="0"/>
        <v>0</v>
      </c>
      <c r="S12" s="927"/>
      <c r="T12" s="927"/>
      <c r="U12" s="927"/>
      <c r="V12" s="888"/>
    </row>
    <row r="13" spans="1:22" s="774" customFormat="1" ht="13.15" customHeight="1">
      <c r="A13" s="821"/>
      <c r="B13" s="822"/>
      <c r="C13" s="826" t="s">
        <v>2414</v>
      </c>
      <c r="D13" s="827"/>
      <c r="E13" s="828"/>
      <c r="F13" s="816"/>
      <c r="G13" s="817"/>
      <c r="H13" s="792"/>
      <c r="I13" s="888"/>
      <c r="J13" s="3945"/>
      <c r="K13" s="3949"/>
      <c r="L13" s="898" t="s">
        <v>2415</v>
      </c>
      <c r="M13" s="899"/>
      <c r="N13" s="796"/>
      <c r="O13" s="900"/>
      <c r="P13" s="900"/>
      <c r="Q13" s="829">
        <v>365</v>
      </c>
      <c r="R13" s="934">
        <f t="shared" si="0"/>
        <v>0</v>
      </c>
      <c r="S13" s="927"/>
      <c r="T13" s="927"/>
      <c r="U13" s="927"/>
      <c r="V13" s="888"/>
    </row>
    <row r="14" spans="1:22" s="774" customFormat="1" ht="13.15" customHeight="1">
      <c r="A14" s="821" t="s">
        <v>2416</v>
      </c>
      <c r="B14" s="3941" t="s">
        <v>2417</v>
      </c>
      <c r="C14" s="3942"/>
      <c r="D14" s="824">
        <f>ROUND(E14*B5/10000,0)</f>
        <v>0</v>
      </c>
      <c r="E14" s="829"/>
      <c r="F14" s="816" t="s">
        <v>2418</v>
      </c>
      <c r="G14" s="817"/>
      <c r="H14" s="792"/>
      <c r="I14" s="888"/>
      <c r="J14" s="3945"/>
      <c r="K14" s="3950"/>
      <c r="L14" s="901" t="s">
        <v>2419</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2420</v>
      </c>
      <c r="B15" s="3941" t="s">
        <v>2421</v>
      </c>
      <c r="C15" s="3942"/>
      <c r="D15" s="824">
        <f>ROUND(D6*E15,0)</f>
        <v>0</v>
      </c>
      <c r="E15" s="825">
        <v>5.5E-2</v>
      </c>
      <c r="F15" s="816" t="s">
        <v>2422</v>
      </c>
      <c r="G15" s="803"/>
      <c r="H15" s="792"/>
      <c r="I15" s="888"/>
      <c r="J15" s="3945">
        <v>2</v>
      </c>
      <c r="K15" s="3948" t="s">
        <v>2423</v>
      </c>
      <c r="L15" s="898" t="s">
        <v>2424</v>
      </c>
      <c r="M15" s="899" t="s">
        <v>2425</v>
      </c>
      <c r="N15" s="899" t="s">
        <v>2426</v>
      </c>
      <c r="O15" s="900" t="s">
        <v>2427</v>
      </c>
      <c r="P15" s="900" t="s">
        <v>2389</v>
      </c>
      <c r="Q15" s="796" t="s">
        <v>138</v>
      </c>
      <c r="R15" s="936" t="s">
        <v>2390</v>
      </c>
      <c r="S15" s="927"/>
      <c r="T15" s="927"/>
      <c r="U15" s="927"/>
      <c r="V15" s="888"/>
    </row>
    <row r="16" spans="1:22" s="774" customFormat="1" ht="13.15" customHeight="1">
      <c r="A16" s="821" t="s">
        <v>2428</v>
      </c>
      <c r="B16" s="3941" t="s">
        <v>2429</v>
      </c>
      <c r="C16" s="3942"/>
      <c r="D16" s="830">
        <f>D6*E16</f>
        <v>0</v>
      </c>
      <c r="E16" s="831"/>
      <c r="F16" s="819" t="s">
        <v>2430</v>
      </c>
      <c r="G16" s="803"/>
      <c r="H16" s="792"/>
      <c r="I16" s="888"/>
      <c r="J16" s="3945"/>
      <c r="K16" s="3949"/>
      <c r="L16" s="898" t="s">
        <v>2431</v>
      </c>
      <c r="M16" s="899"/>
      <c r="N16" s="899"/>
      <c r="O16" s="900"/>
      <c r="P16" s="829">
        <v>365</v>
      </c>
      <c r="Q16" s="796"/>
      <c r="R16" s="936">
        <f>ROUND(M16*N16*O16*P16/10000,0)</f>
        <v>0</v>
      </c>
      <c r="S16" s="927"/>
      <c r="T16" s="927"/>
      <c r="U16" s="927"/>
      <c r="V16" s="888"/>
    </row>
    <row r="17" spans="1:22" s="774" customFormat="1" ht="13.15" customHeight="1">
      <c r="A17" s="832">
        <v>4</v>
      </c>
      <c r="B17" s="3943" t="s">
        <v>2432</v>
      </c>
      <c r="C17" s="3944"/>
      <c r="D17" s="833">
        <f>ROUND(D6*E17,0)</f>
        <v>0</v>
      </c>
      <c r="E17" s="834"/>
      <c r="F17" s="835" t="s">
        <v>2433</v>
      </c>
      <c r="G17" s="803"/>
      <c r="H17" s="792"/>
      <c r="I17" s="888"/>
      <c r="J17" s="3945"/>
      <c r="K17" s="3949"/>
      <c r="L17" s="898" t="s">
        <v>2434</v>
      </c>
      <c r="M17" s="899"/>
      <c r="N17" s="899"/>
      <c r="O17" s="900"/>
      <c r="P17" s="829">
        <v>365</v>
      </c>
      <c r="Q17" s="796"/>
      <c r="R17" s="936">
        <f>ROUND(M17*N17*O17*P17/10000,0)</f>
        <v>0</v>
      </c>
      <c r="S17" s="927"/>
      <c r="T17" s="927"/>
      <c r="U17" s="927"/>
      <c r="V17" s="888"/>
    </row>
    <row r="18" spans="1:22" s="774" customFormat="1" ht="13.15" customHeight="1">
      <c r="A18" s="804" t="s">
        <v>2435</v>
      </c>
      <c r="B18" s="805"/>
      <c r="C18" s="805"/>
      <c r="D18" s="836">
        <f>ROUND(D6*E18,0)</f>
        <v>0</v>
      </c>
      <c r="E18" s="837"/>
      <c r="F18" s="838" t="s">
        <v>2436</v>
      </c>
      <c r="G18" s="803"/>
      <c r="H18" s="792"/>
      <c r="I18" s="888"/>
      <c r="J18" s="3945"/>
      <c r="K18" s="3949"/>
      <c r="L18" s="898" t="s">
        <v>2437</v>
      </c>
      <c r="M18" s="899"/>
      <c r="N18" s="899"/>
      <c r="O18" s="900"/>
      <c r="P18" s="829">
        <v>365</v>
      </c>
      <c r="Q18" s="796"/>
      <c r="R18" s="936">
        <f>ROUND(M18*N18*O18*P18/10000,0)</f>
        <v>0</v>
      </c>
      <c r="S18" s="927"/>
      <c r="T18" s="927"/>
      <c r="U18" s="927"/>
      <c r="V18" s="888"/>
    </row>
    <row r="19" spans="1:22" s="774" customFormat="1" ht="13.15" customHeight="1">
      <c r="A19" s="839" t="s">
        <v>2438</v>
      </c>
      <c r="B19" s="801"/>
      <c r="C19" s="801"/>
      <c r="D19" s="801"/>
      <c r="E19" s="801"/>
      <c r="F19" s="802"/>
      <c r="G19" s="817"/>
      <c r="H19" s="792"/>
      <c r="I19" s="888"/>
      <c r="J19" s="3945"/>
      <c r="K19" s="3950"/>
      <c r="L19" s="901" t="s">
        <v>2419</v>
      </c>
      <c r="M19" s="902"/>
      <c r="N19" s="902">
        <f>SUM(N16:N18)</f>
        <v>0</v>
      </c>
      <c r="O19" s="903"/>
      <c r="P19" s="904" t="s">
        <v>2439</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45">
        <v>3</v>
      </c>
      <c r="K20" s="3948" t="s">
        <v>2440</v>
      </c>
      <c r="L20" s="898" t="s">
        <v>2441</v>
      </c>
      <c r="M20" s="899" t="s">
        <v>2442</v>
      </c>
      <c r="N20" s="905" t="s">
        <v>2443</v>
      </c>
      <c r="O20" s="900" t="s">
        <v>2444</v>
      </c>
      <c r="P20" s="829" t="s">
        <v>2389</v>
      </c>
      <c r="Q20" s="796" t="s">
        <v>138</v>
      </c>
      <c r="R20" s="936" t="s">
        <v>2390</v>
      </c>
      <c r="S20" s="924"/>
      <c r="T20" s="924"/>
      <c r="U20" s="924"/>
      <c r="V20" s="888"/>
    </row>
    <row r="21" spans="1:22" s="774" customFormat="1" ht="13.15" customHeight="1">
      <c r="A21" s="804"/>
      <c r="B21" s="805"/>
      <c r="C21" s="812" t="s">
        <v>2445</v>
      </c>
      <c r="D21" s="841" t="s">
        <v>2446</v>
      </c>
      <c r="E21" s="813" t="s">
        <v>2447</v>
      </c>
      <c r="F21" s="840"/>
      <c r="G21" s="817"/>
      <c r="H21" s="792"/>
      <c r="I21" s="888"/>
      <c r="J21" s="3945"/>
      <c r="K21" s="3949"/>
      <c r="L21" s="898" t="s">
        <v>2448</v>
      </c>
      <c r="M21" s="899"/>
      <c r="N21" s="899"/>
      <c r="O21" s="900"/>
      <c r="P21" s="829">
        <v>365</v>
      </c>
      <c r="Q21" s="796"/>
      <c r="R21" s="938">
        <f>ROUND(M21*N21*O21*P21/10000,0)</f>
        <v>0</v>
      </c>
      <c r="S21" s="924"/>
      <c r="T21" s="924"/>
      <c r="U21" s="924"/>
      <c r="V21" s="888"/>
    </row>
    <row r="22" spans="1:22" s="774" customFormat="1" ht="13.15" customHeight="1">
      <c r="A22" s="804"/>
      <c r="B22" s="805"/>
      <c r="C22" s="842" t="s">
        <v>2449</v>
      </c>
      <c r="D22" s="843" t="s">
        <v>2450</v>
      </c>
      <c r="E22" s="844" t="s">
        <v>2451</v>
      </c>
      <c r="F22" s="840"/>
      <c r="G22" s="845"/>
      <c r="H22" s="792"/>
      <c r="I22" s="888"/>
      <c r="J22" s="3945"/>
      <c r="K22" s="3949"/>
      <c r="L22" s="898" t="s">
        <v>2452</v>
      </c>
      <c r="M22" s="899"/>
      <c r="N22" s="899"/>
      <c r="O22" s="900"/>
      <c r="P22" s="829">
        <v>365</v>
      </c>
      <c r="Q22" s="796"/>
      <c r="R22" s="938">
        <f>ROUND(M22*N22*O22*P22/10000,0)</f>
        <v>0</v>
      </c>
      <c r="S22" s="924"/>
      <c r="T22" s="924"/>
      <c r="U22" s="924"/>
      <c r="V22" s="888"/>
    </row>
    <row r="23" spans="1:22" s="774" customFormat="1" ht="13.15" customHeight="1">
      <c r="A23" s="846">
        <v>1</v>
      </c>
      <c r="B23" s="847" t="s">
        <v>2453</v>
      </c>
      <c r="C23" s="848">
        <f>D6</f>
        <v>0</v>
      </c>
      <c r="D23" s="849">
        <f>C23*(1+D24)</f>
        <v>0</v>
      </c>
      <c r="E23" s="850">
        <f>D23*(1+E24)</f>
        <v>0</v>
      </c>
      <c r="F23" s="851"/>
      <c r="G23" s="852"/>
      <c r="H23" s="792"/>
      <c r="I23" s="888"/>
      <c r="J23" s="3945"/>
      <c r="K23" s="3949"/>
      <c r="L23" s="898" t="s">
        <v>2454</v>
      </c>
      <c r="M23" s="899"/>
      <c r="N23" s="899"/>
      <c r="O23" s="900"/>
      <c r="P23" s="829">
        <v>365</v>
      </c>
      <c r="Q23" s="796"/>
      <c r="R23" s="938">
        <f>ROUND(M23*N23*O23*P23/10000,0)</f>
        <v>0</v>
      </c>
      <c r="S23" s="927"/>
      <c r="T23" s="927"/>
      <c r="U23" s="927"/>
      <c r="V23" s="888"/>
    </row>
    <row r="24" spans="1:22" s="774" customFormat="1" ht="13.15" customHeight="1">
      <c r="A24" s="853"/>
      <c r="B24" s="854" t="s">
        <v>2455</v>
      </c>
      <c r="C24" s="855"/>
      <c r="D24" s="856"/>
      <c r="E24" s="857"/>
      <c r="F24" s="858"/>
      <c r="G24" s="852"/>
      <c r="H24" s="792"/>
      <c r="I24" s="888"/>
      <c r="J24" s="3945"/>
      <c r="K24" s="3950"/>
      <c r="L24" s="901" t="s">
        <v>2419</v>
      </c>
      <c r="M24" s="902">
        <f>SUM(M21:M23)</f>
        <v>0</v>
      </c>
      <c r="N24" s="902"/>
      <c r="O24" s="903"/>
      <c r="P24" s="904" t="s">
        <v>2439</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2456</v>
      </c>
      <c r="L25" s="907"/>
      <c r="M25" s="907"/>
      <c r="N25" s="907"/>
      <c r="O25" s="907"/>
      <c r="P25" s="908"/>
      <c r="Q25" s="939"/>
      <c r="R25" s="937">
        <f>ROUND(R14*Q25,0)</f>
        <v>0</v>
      </c>
      <c r="S25" s="927"/>
      <c r="T25" s="927"/>
      <c r="U25" s="927"/>
      <c r="V25" s="914"/>
    </row>
    <row r="26" spans="1:22" s="775" customFormat="1" ht="13.15" customHeight="1">
      <c r="A26" s="846">
        <v>2</v>
      </c>
      <c r="B26" s="847" t="s">
        <v>2457</v>
      </c>
      <c r="C26" s="848">
        <f>D7</f>
        <v>0</v>
      </c>
      <c r="D26" s="849">
        <f>D23*D27</f>
        <v>0</v>
      </c>
      <c r="E26" s="850">
        <f>E23*E27</f>
        <v>0</v>
      </c>
      <c r="F26" s="851"/>
      <c r="G26" s="852"/>
      <c r="H26" s="792"/>
      <c r="I26" s="888"/>
      <c r="J26" s="3946">
        <v>5</v>
      </c>
      <c r="K26" s="909" t="s">
        <v>2458</v>
      </c>
      <c r="L26" s="910"/>
      <c r="M26" s="911"/>
      <c r="N26" s="912" t="s">
        <v>2459</v>
      </c>
      <c r="O26" s="912" t="s">
        <v>2460</v>
      </c>
      <c r="P26" s="913" t="s">
        <v>2461</v>
      </c>
      <c r="Q26" s="913" t="s">
        <v>2462</v>
      </c>
      <c r="R26" s="931" t="s">
        <v>2390</v>
      </c>
      <c r="S26" s="940"/>
      <c r="T26" s="940"/>
      <c r="U26" s="940"/>
      <c r="V26" s="914"/>
    </row>
    <row r="27" spans="1:22" s="774" customFormat="1" ht="13.15" customHeight="1">
      <c r="A27" s="853"/>
      <c r="B27" s="854" t="s">
        <v>2463</v>
      </c>
      <c r="C27" s="859" t="e">
        <f>E7</f>
        <v>#DIV/0!</v>
      </c>
      <c r="D27" s="856"/>
      <c r="E27" s="857"/>
      <c r="F27" s="858"/>
      <c r="G27" s="852"/>
      <c r="H27" s="860"/>
      <c r="I27" s="914"/>
      <c r="J27" s="3947"/>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2053</v>
      </c>
      <c r="F28" s="858"/>
      <c r="G28" s="845"/>
      <c r="H28" s="860"/>
      <c r="I28" s="914"/>
      <c r="J28" s="919">
        <v>6</v>
      </c>
      <c r="K28" s="920" t="s">
        <v>2075</v>
      </c>
      <c r="L28" s="921" t="s">
        <v>2464</v>
      </c>
      <c r="M28" s="922"/>
      <c r="N28" s="921" t="s">
        <v>2077</v>
      </c>
      <c r="O28" s="923"/>
      <c r="P28" s="921" t="s">
        <v>2465</v>
      </c>
      <c r="Q28" s="942">
        <v>1.4999999999999999E-2</v>
      </c>
      <c r="R28" s="943"/>
      <c r="S28" s="924"/>
      <c r="T28" s="924"/>
      <c r="U28" s="924"/>
      <c r="V28" s="914"/>
    </row>
    <row r="29" spans="1:22" s="775" customFormat="1" ht="13.15" customHeight="1">
      <c r="A29" s="846">
        <v>3</v>
      </c>
      <c r="B29" s="847" t="s">
        <v>2466</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2463</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2467</v>
      </c>
      <c r="K31" s="887"/>
      <c r="L31" s="887"/>
      <c r="M31" s="887"/>
      <c r="N31" s="887"/>
      <c r="O31" s="887"/>
      <c r="P31" s="887"/>
      <c r="Q31" s="887"/>
      <c r="R31" s="926"/>
      <c r="S31" s="924"/>
      <c r="T31" s="927"/>
      <c r="U31" s="927"/>
      <c r="V31" s="914"/>
    </row>
    <row r="32" spans="1:22" s="775" customFormat="1" ht="13.15" customHeight="1">
      <c r="A32" s="846">
        <v>4</v>
      </c>
      <c r="B32" s="847" t="s">
        <v>2468</v>
      </c>
      <c r="C32" s="848">
        <f>C23-C26-C29</f>
        <v>0</v>
      </c>
      <c r="D32" s="849">
        <f>D23-D26-D29</f>
        <v>0</v>
      </c>
      <c r="E32" s="850">
        <f>E23-E26-E29</f>
        <v>0</v>
      </c>
      <c r="F32" s="851"/>
      <c r="G32" s="845"/>
      <c r="H32" s="792"/>
      <c r="I32" s="888"/>
      <c r="J32" s="3932" t="s">
        <v>2368</v>
      </c>
      <c r="K32" s="3933"/>
      <c r="L32" s="889" t="s">
        <v>2369</v>
      </c>
      <c r="M32" s="889" t="s">
        <v>2370</v>
      </c>
      <c r="N32" s="889" t="s">
        <v>2371</v>
      </c>
      <c r="O32" s="889" t="s">
        <v>2372</v>
      </c>
      <c r="P32" s="889" t="s">
        <v>2373</v>
      </c>
      <c r="Q32" s="928" t="s">
        <v>2374</v>
      </c>
      <c r="R32" s="944" t="s">
        <v>2375</v>
      </c>
      <c r="S32" s="924"/>
      <c r="T32" s="927"/>
      <c r="U32" s="927"/>
      <c r="V32" s="914"/>
    </row>
    <row r="33" spans="1:23" s="774" customFormat="1" ht="13.15" customHeight="1">
      <c r="A33" s="846"/>
      <c r="B33" s="847"/>
      <c r="C33" s="848"/>
      <c r="D33" s="863"/>
      <c r="E33" s="823"/>
      <c r="F33" s="851"/>
      <c r="G33" s="845"/>
      <c r="H33" s="860"/>
      <c r="I33" s="914"/>
      <c r="J33" s="3934" t="s">
        <v>2378</v>
      </c>
      <c r="K33" s="3935"/>
      <c r="L33" s="890"/>
      <c r="M33" s="890"/>
      <c r="N33" s="890"/>
      <c r="O33" s="890"/>
      <c r="P33" s="890"/>
      <c r="Q33" s="930"/>
      <c r="R33" s="945">
        <f>SUM(L33:Q33)</f>
        <v>0</v>
      </c>
      <c r="S33" s="924"/>
      <c r="T33" s="927"/>
      <c r="U33" s="927"/>
      <c r="V33" s="888"/>
    </row>
    <row r="34" spans="1:23" s="774" customFormat="1" ht="13.15" customHeight="1">
      <c r="A34" s="846">
        <v>5</v>
      </c>
      <c r="B34" s="847" t="s">
        <v>2469</v>
      </c>
      <c r="C34" s="864"/>
      <c r="D34" s="865"/>
      <c r="E34" s="866"/>
      <c r="F34" s="851"/>
      <c r="G34" s="845"/>
      <c r="H34" s="860"/>
      <c r="I34" s="914"/>
      <c r="J34" s="3934" t="s">
        <v>2379</v>
      </c>
      <c r="K34" s="3935"/>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2470</v>
      </c>
      <c r="C35" s="867"/>
      <c r="D35" s="868"/>
      <c r="E35" s="869"/>
      <c r="F35" s="851"/>
      <c r="G35" s="870"/>
      <c r="H35" s="792"/>
      <c r="I35" s="914"/>
      <c r="J35" s="892" t="s">
        <v>2380</v>
      </c>
      <c r="K35" s="893"/>
      <c r="L35" s="893"/>
      <c r="M35" s="894"/>
      <c r="N35" s="894"/>
      <c r="O35" s="894"/>
      <c r="P35" s="894"/>
      <c r="Q35" s="894"/>
      <c r="R35" s="947">
        <f>R40+R41+R43</f>
        <v>0</v>
      </c>
      <c r="S35" s="924"/>
      <c r="T35" s="927" t="s">
        <v>2381</v>
      </c>
      <c r="U35" s="927"/>
      <c r="V35" s="888"/>
    </row>
    <row r="36" spans="1:23" s="774" customFormat="1" ht="13.15" customHeight="1">
      <c r="A36" s="846">
        <v>7</v>
      </c>
      <c r="B36" s="871" t="s">
        <v>2471</v>
      </c>
      <c r="C36" s="872"/>
      <c r="D36" s="873"/>
      <c r="E36" s="874"/>
      <c r="F36" s="875">
        <f>C36+D36+E36</f>
        <v>0</v>
      </c>
      <c r="G36" s="845"/>
      <c r="H36" s="792"/>
      <c r="I36" s="888"/>
      <c r="J36" s="3945">
        <v>1</v>
      </c>
      <c r="K36" s="3948" t="s">
        <v>2472</v>
      </c>
      <c r="L36" s="896"/>
      <c r="M36" s="897"/>
      <c r="N36" s="897"/>
      <c r="O36" s="897"/>
      <c r="P36" s="897"/>
      <c r="Q36" s="897"/>
      <c r="R36" s="931" t="s">
        <v>2390</v>
      </c>
      <c r="S36" s="924"/>
      <c r="T36" s="927" t="s">
        <v>2391</v>
      </c>
      <c r="U36" s="927"/>
      <c r="V36" s="888"/>
    </row>
    <row r="37" spans="1:23" s="774" customFormat="1" ht="13.15" customHeight="1">
      <c r="A37" s="846"/>
      <c r="B37" s="847"/>
      <c r="C37" s="847"/>
      <c r="D37" s="847"/>
      <c r="E37" s="847"/>
      <c r="F37" s="851"/>
      <c r="G37" s="845"/>
      <c r="H37" s="792"/>
      <c r="I37" s="888"/>
      <c r="J37" s="3945"/>
      <c r="K37" s="3949"/>
      <c r="L37" s="898"/>
      <c r="M37" s="899"/>
      <c r="N37" s="796"/>
      <c r="O37" s="900"/>
      <c r="P37" s="900"/>
      <c r="Q37" s="829"/>
      <c r="R37" s="934"/>
      <c r="S37" s="924"/>
      <c r="T37" s="927" t="s">
        <v>2394</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45"/>
      <c r="K38" s="3949"/>
      <c r="L38" s="898"/>
      <c r="M38" s="899"/>
      <c r="N38" s="796"/>
      <c r="O38" s="900"/>
      <c r="P38" s="900"/>
      <c r="Q38" s="829"/>
      <c r="R38" s="934"/>
      <c r="S38" s="924"/>
      <c r="T38" s="927" t="s">
        <v>2401</v>
      </c>
      <c r="U38" s="927"/>
      <c r="V38" s="888"/>
    </row>
    <row r="39" spans="1:23" s="774" customFormat="1" ht="13.15" customHeight="1">
      <c r="A39" s="846">
        <v>9</v>
      </c>
      <c r="B39" s="847" t="s">
        <v>2473</v>
      </c>
      <c r="C39" s="824" t="e">
        <f>C38</f>
        <v>#DIV/0!</v>
      </c>
      <c r="D39" s="847">
        <f>D38/(1+D34)^C36</f>
        <v>0</v>
      </c>
      <c r="E39" s="847">
        <f>E38/(1+E34)^(C36+D36)</f>
        <v>0</v>
      </c>
      <c r="F39" s="851"/>
      <c r="G39" s="876"/>
      <c r="H39" s="792"/>
      <c r="I39" s="888"/>
      <c r="J39" s="3945"/>
      <c r="K39" s="3949"/>
      <c r="L39" s="898"/>
      <c r="M39" s="899"/>
      <c r="N39" s="796"/>
      <c r="O39" s="900"/>
      <c r="P39" s="900"/>
      <c r="Q39" s="829"/>
      <c r="R39" s="934"/>
      <c r="S39" s="924"/>
      <c r="T39" s="927"/>
      <c r="U39" s="927"/>
      <c r="V39" s="888"/>
    </row>
    <row r="40" spans="1:23" s="774" customFormat="1" ht="13.15" customHeight="1">
      <c r="A40" s="877">
        <v>10</v>
      </c>
      <c r="B40" s="847" t="s">
        <v>2474</v>
      </c>
      <c r="C40" s="878" t="e">
        <f>C39+D39+E39</f>
        <v>#DIV/0!</v>
      </c>
      <c r="D40" s="879"/>
      <c r="E40" s="879"/>
      <c r="F40" s="880"/>
      <c r="G40" s="845"/>
      <c r="H40" s="792"/>
      <c r="I40" s="888"/>
      <c r="J40" s="3945"/>
      <c r="K40" s="3950"/>
      <c r="L40" s="901" t="s">
        <v>2419</v>
      </c>
      <c r="M40" s="902"/>
      <c r="N40" s="902"/>
      <c r="O40" s="903"/>
      <c r="P40" s="903"/>
      <c r="Q40" s="935"/>
      <c r="R40" s="929">
        <f>SUM(R37:R39)</f>
        <v>0</v>
      </c>
      <c r="S40" s="924"/>
      <c r="T40" s="927"/>
      <c r="U40" s="927"/>
      <c r="V40" s="888"/>
    </row>
    <row r="41" spans="1:23" s="774" customFormat="1" ht="13.15" customHeight="1">
      <c r="A41" s="881">
        <v>11</v>
      </c>
      <c r="B41" s="882" t="s">
        <v>2475</v>
      </c>
      <c r="C41" s="882" t="e">
        <f>ROUND(C40*10000/B4,0)</f>
        <v>#DIV/0!</v>
      </c>
      <c r="D41" s="883"/>
      <c r="E41" s="883"/>
      <c r="F41" s="884"/>
      <c r="G41" s="885"/>
      <c r="H41" s="792"/>
      <c r="I41" s="888"/>
      <c r="J41" s="895">
        <v>2</v>
      </c>
      <c r="K41" s="906" t="s">
        <v>2456</v>
      </c>
      <c r="L41" s="907"/>
      <c r="M41" s="907"/>
      <c r="N41" s="907"/>
      <c r="O41" s="907"/>
      <c r="P41" s="908"/>
      <c r="Q41" s="939"/>
      <c r="R41" s="937">
        <f>ROUND(R40*Q41,0)</f>
        <v>0</v>
      </c>
      <c r="S41" s="924"/>
      <c r="T41" s="927"/>
      <c r="U41" s="940"/>
      <c r="V41" s="888"/>
    </row>
    <row r="42" spans="1:23" s="774" customFormat="1" ht="13.15" customHeight="1">
      <c r="G42" s="885"/>
      <c r="H42" s="792"/>
      <c r="I42" s="888"/>
      <c r="J42" s="3946">
        <v>3</v>
      </c>
      <c r="K42" s="909" t="s">
        <v>2458</v>
      </c>
      <c r="L42" s="910"/>
      <c r="M42" s="911"/>
      <c r="N42" s="912" t="s">
        <v>2459</v>
      </c>
      <c r="O42" s="912" t="s">
        <v>2460</v>
      </c>
      <c r="P42" s="913" t="s">
        <v>2461</v>
      </c>
      <c r="Q42" s="913" t="s">
        <v>2462</v>
      </c>
      <c r="R42" s="931" t="s">
        <v>2390</v>
      </c>
      <c r="S42" s="940"/>
      <c r="T42" s="940"/>
      <c r="U42" s="927"/>
      <c r="V42" s="888"/>
    </row>
    <row r="43" spans="1:23" ht="13.15" customHeight="1">
      <c r="A43" s="774"/>
      <c r="B43" s="774"/>
      <c r="C43" s="774"/>
      <c r="D43" s="774"/>
      <c r="E43" s="774"/>
      <c r="F43" s="774"/>
      <c r="I43" s="778"/>
      <c r="J43" s="3947"/>
      <c r="K43" s="915"/>
      <c r="L43" s="916"/>
      <c r="M43" s="917"/>
      <c r="N43" s="899"/>
      <c r="O43" s="899"/>
      <c r="P43" s="899"/>
      <c r="Q43" s="939"/>
      <c r="R43" s="937">
        <f>ROUND(O43*N43*P43*(1-Q43)/10000,0)</f>
        <v>0</v>
      </c>
      <c r="S43" s="924"/>
      <c r="T43" s="927"/>
      <c r="V43" s="780"/>
      <c r="W43" s="948"/>
    </row>
    <row r="44" spans="1:23" ht="13.15" customHeight="1">
      <c r="J44" s="919">
        <v>6</v>
      </c>
      <c r="K44" s="920" t="s">
        <v>2075</v>
      </c>
      <c r="L44" s="925" t="s">
        <v>2464</v>
      </c>
      <c r="M44" s="922"/>
      <c r="N44" s="925" t="s">
        <v>2077</v>
      </c>
      <c r="O44" s="922"/>
      <c r="P44" s="925" t="s">
        <v>2465</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2476</v>
      </c>
      <c r="B1" s="717"/>
      <c r="C1" s="718"/>
      <c r="D1" s="718"/>
      <c r="E1" s="718"/>
      <c r="F1" s="718"/>
      <c r="G1" s="719"/>
    </row>
    <row r="2" spans="1:25" s="708" customFormat="1" ht="18" customHeight="1">
      <c r="A2" s="214" t="s">
        <v>962</v>
      </c>
      <c r="B2" s="720">
        <f ca="1">C23</f>
        <v>0</v>
      </c>
      <c r="C2" s="721"/>
      <c r="D2" s="721"/>
      <c r="E2" s="721"/>
      <c r="F2" s="721"/>
      <c r="G2" s="721"/>
    </row>
    <row r="3" spans="1:25" s="708" customFormat="1" ht="18" customHeight="1">
      <c r="A3" s="722" t="s">
        <v>963</v>
      </c>
      <c r="B3" s="720">
        <f ca="1">ROUND(B2*10000/'数据-汇总表'!E3,0)</f>
        <v>0</v>
      </c>
      <c r="C3" s="721"/>
      <c r="D3" s="721"/>
      <c r="E3" s="721"/>
      <c r="F3" s="721"/>
      <c r="G3" s="721"/>
    </row>
    <row r="4" spans="1:25" s="708" customFormat="1" ht="18" customHeight="1">
      <c r="A4" s="723" t="s">
        <v>964</v>
      </c>
      <c r="B4" s="724">
        <f ca="1">ROUND(B2*10000/'数据-汇总表'!D3,0)</f>
        <v>0</v>
      </c>
      <c r="C4" s="725"/>
      <c r="D4" s="721"/>
      <c r="E4" s="721"/>
      <c r="F4" s="721"/>
      <c r="G4" s="721"/>
    </row>
    <row r="5" spans="1:25" s="708" customFormat="1" ht="18" customHeight="1">
      <c r="A5" s="726"/>
      <c r="B5" s="727">
        <f ca="1">ROUND(B2/('数据-汇总表'!D3/666.67),0)</f>
        <v>0</v>
      </c>
      <c r="C5" s="728" t="s">
        <v>965</v>
      </c>
      <c r="D5" s="721"/>
      <c r="E5" s="721"/>
      <c r="F5" s="721"/>
      <c r="G5" s="721"/>
    </row>
    <row r="6" spans="1:25" s="709" customFormat="1" ht="13.5" customHeight="1">
      <c r="A6" s="729"/>
      <c r="B6" s="730" t="s">
        <v>895</v>
      </c>
      <c r="C6" s="731" t="s">
        <v>2477</v>
      </c>
      <c r="D6" s="731" t="s">
        <v>2478</v>
      </c>
      <c r="E6" s="732" t="s">
        <v>2479</v>
      </c>
      <c r="F6" s="732" t="s">
        <v>896</v>
      </c>
      <c r="G6" s="733" t="s">
        <v>2480</v>
      </c>
    </row>
    <row r="7" spans="1:25" s="709" customFormat="1" ht="13.5" customHeight="1">
      <c r="A7" s="734">
        <v>1</v>
      </c>
      <c r="B7" s="735" t="s">
        <v>2481</v>
      </c>
      <c r="C7" s="736">
        <f>C8+C9</f>
        <v>0</v>
      </c>
      <c r="D7" s="736"/>
      <c r="E7" s="737"/>
      <c r="F7" s="737"/>
      <c r="G7" s="738"/>
    </row>
    <row r="8" spans="1:25" s="709" customFormat="1" ht="13.5" customHeight="1">
      <c r="A8" s="734" t="s">
        <v>2482</v>
      </c>
      <c r="B8" s="739" t="s">
        <v>2483</v>
      </c>
      <c r="C8" s="740">
        <f>ROUND(D8*E8/10000,0)</f>
        <v>0</v>
      </c>
      <c r="D8" s="740">
        <v>0</v>
      </c>
      <c r="E8" s="741">
        <v>0</v>
      </c>
      <c r="F8" s="737"/>
      <c r="G8" s="742"/>
    </row>
    <row r="9" spans="1:25" s="709" customFormat="1" ht="13.5" customHeight="1">
      <c r="A9" s="734" t="s">
        <v>2484</v>
      </c>
      <c r="B9" s="739" t="s">
        <v>2485</v>
      </c>
      <c r="C9" s="740">
        <f>ROUND(D9*E9/10000,0)</f>
        <v>0</v>
      </c>
      <c r="D9" s="740">
        <v>0</v>
      </c>
      <c r="E9" s="741">
        <v>0</v>
      </c>
      <c r="F9" s="737"/>
      <c r="G9" s="742"/>
    </row>
    <row r="10" spans="1:25" s="709" customFormat="1" ht="36">
      <c r="A10" s="734">
        <v>2</v>
      </c>
      <c r="B10" s="735" t="s">
        <v>2486</v>
      </c>
      <c r="C10" s="736">
        <f>C11+C14+C15</f>
        <v>0</v>
      </c>
      <c r="D10" s="743"/>
      <c r="E10" s="736"/>
      <c r="F10" s="744"/>
      <c r="G10" s="745" t="s">
        <v>2487</v>
      </c>
    </row>
    <row r="11" spans="1:25" s="709" customFormat="1" ht="13.5" customHeight="1">
      <c r="A11" s="734" t="s">
        <v>2482</v>
      </c>
      <c r="B11" s="746" t="s">
        <v>2488</v>
      </c>
      <c r="C11" s="747">
        <f>'数据-取费表'!B29</f>
        <v>0</v>
      </c>
      <c r="D11" s="748"/>
      <c r="E11" s="747"/>
      <c r="F11" s="749"/>
      <c r="G11" s="750" t="s">
        <v>2489</v>
      </c>
    </row>
    <row r="12" spans="1:25" s="709" customFormat="1" ht="13.5" customHeight="1">
      <c r="A12" s="751" t="s">
        <v>2490</v>
      </c>
      <c r="B12" s="752" t="s">
        <v>2491</v>
      </c>
      <c r="C12" s="753">
        <f>ROUND(D12*E12/10000,0)</f>
        <v>0</v>
      </c>
      <c r="D12" s="740">
        <f>'数据-汇总表'!E5</f>
        <v>0</v>
      </c>
      <c r="E12" s="740">
        <f>'数据-取费表'!B27</f>
        <v>0</v>
      </c>
      <c r="F12" s="749"/>
      <c r="G12" s="745"/>
    </row>
    <row r="13" spans="1:25" s="709" customFormat="1" ht="13.5" customHeight="1">
      <c r="A13" s="751" t="s">
        <v>2492</v>
      </c>
      <c r="B13" s="752" t="s">
        <v>2493</v>
      </c>
      <c r="C13" s="753">
        <f>ROUND(D13*E13/10000,0)</f>
        <v>930</v>
      </c>
      <c r="D13" s="740">
        <f>'数据-汇总表'!E6</f>
        <v>46494.69</v>
      </c>
      <c r="E13" s="740">
        <f>'数据-取费表'!B28</f>
        <v>200</v>
      </c>
      <c r="F13" s="749"/>
      <c r="G13" s="745"/>
    </row>
    <row r="14" spans="1:25" s="709" customFormat="1" ht="13.5" customHeight="1">
      <c r="A14" s="734" t="s">
        <v>2484</v>
      </c>
      <c r="B14" s="754" t="s">
        <v>2494</v>
      </c>
      <c r="C14" s="755">
        <f>ROUND(D14*E14/10000,0)</f>
        <v>0</v>
      </c>
      <c r="D14" s="740">
        <v>0</v>
      </c>
      <c r="E14" s="741">
        <v>0</v>
      </c>
      <c r="F14" s="756"/>
      <c r="G14" s="757" t="s">
        <v>2495</v>
      </c>
    </row>
    <row r="15" spans="1:25" s="709" customFormat="1" ht="13.5" customHeight="1">
      <c r="A15" s="734" t="s">
        <v>2496</v>
      </c>
      <c r="B15" s="754" t="s">
        <v>2497</v>
      </c>
      <c r="C15" s="755">
        <f>ROUND(D15*E15/10000,0)</f>
        <v>0</v>
      </c>
      <c r="D15" s="740">
        <v>0</v>
      </c>
      <c r="E15" s="741">
        <v>0</v>
      </c>
      <c r="F15" s="756"/>
      <c r="G15" s="757" t="s">
        <v>2498</v>
      </c>
    </row>
    <row r="16" spans="1:25" s="710" customFormat="1" ht="48">
      <c r="A16" s="734">
        <v>3</v>
      </c>
      <c r="B16" s="735" t="s">
        <v>2499</v>
      </c>
      <c r="C16" s="755">
        <f>ROUND(D16*E16/10000,0)</f>
        <v>0</v>
      </c>
      <c r="D16" s="740">
        <v>0</v>
      </c>
      <c r="E16" s="741">
        <v>0</v>
      </c>
      <c r="F16" s="744"/>
      <c r="G16" s="745" t="s">
        <v>2500</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2501</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2502</v>
      </c>
      <c r="C18" s="736">
        <f>ROUND((C7+C10+C16)*F18,0)</f>
        <v>0</v>
      </c>
      <c r="D18" s="760"/>
      <c r="E18" s="761"/>
      <c r="F18" s="765"/>
      <c r="G18" s="763" t="s">
        <v>2503</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2504</v>
      </c>
      <c r="C19" s="736">
        <f ca="1">C7+C10+C16+C17+C18</f>
        <v>0</v>
      </c>
      <c r="D19" s="743"/>
      <c r="E19" s="736"/>
      <c r="F19" s="744"/>
      <c r="G19" s="763" t="s">
        <v>2505</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2506</v>
      </c>
      <c r="C20" s="736">
        <f ca="1">ROUND(C19*F20,0)</f>
        <v>0</v>
      </c>
      <c r="D20" s="743"/>
      <c r="E20" s="736"/>
      <c r="F20" s="765"/>
      <c r="G20" s="763" t="s">
        <v>2507</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2508</v>
      </c>
      <c r="C21" s="736">
        <f ca="1">C19+C20</f>
        <v>0</v>
      </c>
      <c r="D21" s="743"/>
      <c r="E21" s="736"/>
      <c r="F21" s="744"/>
      <c r="G21" s="763" t="s">
        <v>2509</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2510</v>
      </c>
      <c r="C22" s="736">
        <f ca="1">ROUND(C21*F22,0)</f>
        <v>0</v>
      </c>
      <c r="D22" s="743"/>
      <c r="E22" s="736"/>
      <c r="F22" s="766">
        <f>'数据-取费表'!AP16</f>
        <v>0.56000000000000005</v>
      </c>
      <c r="G22" s="763" t="s">
        <v>2511</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2512</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622" t="s">
        <v>2514</v>
      </c>
      <c r="C1" s="623" t="s">
        <v>2515</v>
      </c>
      <c r="D1" s="624"/>
      <c r="E1" s="216"/>
      <c r="F1" s="212"/>
      <c r="G1" s="213" t="s">
        <v>2516</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962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2237</v>
      </c>
      <c r="B3" s="222" t="e">
        <f>C49</f>
        <v>#DIV/0!</v>
      </c>
      <c r="C3" s="221" t="s">
        <v>2517</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1046</v>
      </c>
      <c r="B4" s="224"/>
      <c r="C4" s="3825" t="s">
        <v>1047</v>
      </c>
      <c r="D4" s="3826"/>
      <c r="E4" s="3865" t="s">
        <v>1048</v>
      </c>
      <c r="F4" s="3866"/>
      <c r="G4" s="3825" t="s">
        <v>1049</v>
      </c>
      <c r="H4" s="3826"/>
      <c r="I4" s="3825" t="s">
        <v>1050</v>
      </c>
      <c r="J4" s="3826"/>
      <c r="K4" s="639" t="s">
        <v>1051</v>
      </c>
      <c r="L4" s="389"/>
      <c r="M4" s="390"/>
      <c r="N4" s="390"/>
      <c r="O4" s="390"/>
      <c r="P4" s="3849" t="s">
        <v>1052</v>
      </c>
      <c r="Q4" s="3850"/>
      <c r="R4" s="3855" t="s">
        <v>1048</v>
      </c>
      <c r="S4" s="3856"/>
      <c r="T4" s="3855" t="s">
        <v>1049</v>
      </c>
      <c r="U4" s="3856"/>
      <c r="V4" s="3837" t="s">
        <v>1050</v>
      </c>
      <c r="W4" s="3837"/>
      <c r="X4" s="460"/>
      <c r="Y4" s="3855" t="s">
        <v>1052</v>
      </c>
      <c r="Z4" s="3856"/>
      <c r="AA4" s="3846" t="s">
        <v>1048</v>
      </c>
      <c r="AB4" s="3846" t="s">
        <v>1049</v>
      </c>
      <c r="AC4" s="3846" t="s">
        <v>1050</v>
      </c>
    </row>
    <row r="5" spans="1:29" ht="15">
      <c r="A5" s="225"/>
      <c r="B5" s="226"/>
      <c r="C5" s="3827" t="s">
        <v>1053</v>
      </c>
      <c r="D5" s="3828"/>
      <c r="E5" s="3867" t="s">
        <v>1054</v>
      </c>
      <c r="F5" s="3868"/>
      <c r="G5" s="3827" t="s">
        <v>1055</v>
      </c>
      <c r="H5" s="3828"/>
      <c r="I5" s="3827" t="s">
        <v>1056</v>
      </c>
      <c r="J5" s="3828"/>
      <c r="K5" s="640"/>
      <c r="L5" s="389"/>
      <c r="M5" s="390"/>
      <c r="N5" s="390"/>
      <c r="O5" s="390"/>
      <c r="P5" s="3851"/>
      <c r="Q5" s="3852"/>
      <c r="R5" s="3857"/>
      <c r="S5" s="3858"/>
      <c r="T5" s="3857"/>
      <c r="U5" s="3858"/>
      <c r="V5" s="3837"/>
      <c r="W5" s="3837"/>
      <c r="X5" s="460"/>
      <c r="Y5" s="3857"/>
      <c r="Z5" s="3858"/>
      <c r="AA5" s="3847"/>
      <c r="AB5" s="3847"/>
      <c r="AC5" s="3847"/>
    </row>
    <row r="6" spans="1:29" ht="15">
      <c r="A6" s="227"/>
      <c r="B6" s="228"/>
      <c r="C6" s="3831" t="s">
        <v>1057</v>
      </c>
      <c r="D6" s="3832"/>
      <c r="E6" s="3869" t="s">
        <v>1057</v>
      </c>
      <c r="F6" s="3870"/>
      <c r="G6" s="3831" t="s">
        <v>1057</v>
      </c>
      <c r="H6" s="3832"/>
      <c r="I6" s="3831" t="s">
        <v>1057</v>
      </c>
      <c r="J6" s="3832"/>
      <c r="K6" s="640" t="s">
        <v>1058</v>
      </c>
      <c r="L6" s="389"/>
      <c r="M6" s="390"/>
      <c r="N6" s="390"/>
      <c r="O6" s="390"/>
      <c r="P6" s="3853"/>
      <c r="Q6" s="3854"/>
      <c r="R6" s="3857"/>
      <c r="S6" s="3858"/>
      <c r="T6" s="3859"/>
      <c r="U6" s="3860"/>
      <c r="V6" s="3837"/>
      <c r="W6" s="3837"/>
      <c r="X6" s="460"/>
      <c r="Y6" s="3859"/>
      <c r="Z6" s="3860"/>
      <c r="AA6" s="3848"/>
      <c r="AB6" s="3848"/>
      <c r="AC6" s="3848"/>
    </row>
    <row r="7" spans="1:29" s="199" customFormat="1" ht="15">
      <c r="A7" s="229"/>
      <c r="B7" s="230" t="s">
        <v>1059</v>
      </c>
      <c r="C7" s="231">
        <f>'数据-取费表'!B2</f>
        <v>45257</v>
      </c>
      <c r="D7" s="232">
        <v>100</v>
      </c>
      <c r="E7" s="233"/>
      <c r="F7" s="234">
        <f>SUMIF(58:58,YEAR(E7)&amp;"-"&amp;MONTH(E7),59:59)</f>
        <v>0</v>
      </c>
      <c r="G7" s="235"/>
      <c r="H7" s="232">
        <f>SUMIF(58:58,YEAR(G7)&amp;"-"&amp;MONTH(G7),59:59)</f>
        <v>0</v>
      </c>
      <c r="I7" s="235"/>
      <c r="J7" s="232">
        <f>SUMIF(58:58,YEAR(I7)&amp;"-"&amp;MONTH(I7),59:59)</f>
        <v>0</v>
      </c>
      <c r="K7" s="641"/>
      <c r="L7" s="392"/>
      <c r="M7" s="393"/>
      <c r="N7" s="393"/>
      <c r="O7" s="393"/>
      <c r="P7" s="3833" t="s">
        <v>1060</v>
      </c>
      <c r="Q7" s="3834"/>
      <c r="R7" s="461" t="s">
        <v>1061</v>
      </c>
      <c r="S7" s="462">
        <f t="shared" ref="S7:S15" si="0">F7</f>
        <v>0</v>
      </c>
      <c r="T7" s="461" t="s">
        <v>1061</v>
      </c>
      <c r="U7" s="462">
        <f t="shared" ref="U7:U15" si="1">H7</f>
        <v>0</v>
      </c>
      <c r="V7" s="461" t="s">
        <v>1061</v>
      </c>
      <c r="W7" s="462">
        <f t="shared" ref="W7:W15"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3" t="s">
        <v>1064</v>
      </c>
      <c r="Q8" s="3835"/>
      <c r="R8" s="461" t="s">
        <v>1061</v>
      </c>
      <c r="S8" s="462">
        <f t="shared" si="0"/>
        <v>0</v>
      </c>
      <c r="T8" s="461" t="s">
        <v>1061</v>
      </c>
      <c r="U8" s="462">
        <f t="shared" si="1"/>
        <v>0</v>
      </c>
      <c r="V8" s="461" t="s">
        <v>1061</v>
      </c>
      <c r="W8" s="462">
        <f t="shared" si="2"/>
        <v>0</v>
      </c>
      <c r="X8" s="463"/>
      <c r="Y8" s="3833" t="s">
        <v>1064</v>
      </c>
      <c r="Z8" s="3835"/>
      <c r="AA8" s="480" t="e">
        <f t="shared" ref="AA8:AA46" si="3">D8/F8</f>
        <v>#DIV/0!</v>
      </c>
      <c r="AB8" s="480" t="e">
        <f t="shared" ref="AB8:AB46" si="4">D8/H8</f>
        <v>#DIV/0!</v>
      </c>
      <c r="AC8" s="480" t="e">
        <f t="shared" ref="AC8:AC46" si="5">D8/J8</f>
        <v>#DIV/0!</v>
      </c>
    </row>
    <row r="9" spans="1:29" s="199" customFormat="1" ht="15">
      <c r="A9" s="239"/>
      <c r="B9" s="240" t="s">
        <v>1065</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36" t="s">
        <v>1066</v>
      </c>
      <c r="Q9" s="464" t="str">
        <f t="shared" ref="Q9:Q15" si="6">B9</f>
        <v>用途</v>
      </c>
      <c r="R9" s="461" t="s">
        <v>1061</v>
      </c>
      <c r="S9" s="462">
        <f t="shared" si="0"/>
        <v>100</v>
      </c>
      <c r="T9" s="461" t="s">
        <v>1061</v>
      </c>
      <c r="U9" s="462">
        <f t="shared" si="1"/>
        <v>100</v>
      </c>
      <c r="V9" s="461" t="s">
        <v>1061</v>
      </c>
      <c r="W9" s="462">
        <f t="shared" si="2"/>
        <v>100</v>
      </c>
      <c r="X9" s="463"/>
      <c r="Y9" s="3804"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543"/>
      <c r="B11" s="237" t="s">
        <v>1069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36"/>
      <c r="Q11" s="464" t="str">
        <f t="shared" si="6"/>
        <v>容积率</v>
      </c>
      <c r="R11" s="461" t="s">
        <v>1061</v>
      </c>
      <c r="S11" s="462" t="e">
        <f t="shared" si="0"/>
        <v>#N/A</v>
      </c>
      <c r="T11" s="461" t="s">
        <v>1061</v>
      </c>
      <c r="U11" s="462" t="e">
        <f t="shared" si="1"/>
        <v>#N/A</v>
      </c>
      <c r="V11" s="461" t="s">
        <v>1061</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36"/>
      <c r="Q14" s="464">
        <f t="shared" si="6"/>
        <v>111</v>
      </c>
      <c r="R14" s="461" t="s">
        <v>1061</v>
      </c>
      <c r="S14" s="462">
        <f t="shared" si="0"/>
        <v>100</v>
      </c>
      <c r="T14" s="461" t="s">
        <v>1061</v>
      </c>
      <c r="U14" s="462">
        <f t="shared" si="1"/>
        <v>100</v>
      </c>
      <c r="V14" s="461" t="s">
        <v>1061</v>
      </c>
      <c r="W14" s="462">
        <f t="shared" si="2"/>
        <v>100</v>
      </c>
      <c r="X14" s="463"/>
      <c r="Y14" s="3804"/>
      <c r="Z14" s="481">
        <f t="shared" si="7"/>
        <v>111</v>
      </c>
      <c r="AA14" s="480">
        <f t="shared" si="3"/>
        <v>1</v>
      </c>
      <c r="AB14" s="480">
        <f t="shared" si="4"/>
        <v>1</v>
      </c>
      <c r="AC14" s="480">
        <f t="shared" si="5"/>
        <v>1</v>
      </c>
    </row>
    <row r="15" spans="1:29" ht="99.75">
      <c r="A15" s="257" t="s">
        <v>1071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2" t="s">
        <v>1072</v>
      </c>
      <c r="Q15" s="395" t="str">
        <f t="shared" si="6"/>
        <v>居住社区成熟度</v>
      </c>
      <c r="R15" s="465" t="s">
        <v>1061</v>
      </c>
      <c r="S15" s="466">
        <f t="shared" si="0"/>
        <v>100</v>
      </c>
      <c r="T15" s="465" t="s">
        <v>1061</v>
      </c>
      <c r="U15" s="466">
        <f t="shared" si="1"/>
        <v>100</v>
      </c>
      <c r="V15" s="465" t="s">
        <v>1061</v>
      </c>
      <c r="W15" s="466">
        <f t="shared" si="2"/>
        <v>100</v>
      </c>
      <c r="X15" s="460"/>
      <c r="Y15" s="3842" t="s">
        <v>1072</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3"/>
      <c r="Q17" s="395" t="str">
        <f>B17</f>
        <v>交通便捷度</v>
      </c>
      <c r="R17" s="465" t="s">
        <v>1061</v>
      </c>
      <c r="S17" s="466">
        <f>F17</f>
        <v>100</v>
      </c>
      <c r="T17" s="465" t="s">
        <v>1061</v>
      </c>
      <c r="U17" s="466">
        <f>H17</f>
        <v>100</v>
      </c>
      <c r="V17" s="465" t="s">
        <v>1061</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3"/>
      <c r="Q19" s="395" t="str">
        <f>B19</f>
        <v>公共配套设施</v>
      </c>
      <c r="R19" s="465" t="s">
        <v>1061</v>
      </c>
      <c r="S19" s="466">
        <f>F19</f>
        <v>100</v>
      </c>
      <c r="T19" s="465" t="s">
        <v>1061</v>
      </c>
      <c r="U19" s="466">
        <f>H19</f>
        <v>100</v>
      </c>
      <c r="V19" s="465" t="s">
        <v>1061</v>
      </c>
      <c r="W19" s="466">
        <f>J19</f>
        <v>100</v>
      </c>
      <c r="X19" s="460"/>
      <c r="Y19" s="384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3"/>
      <c r="Q21" s="395" t="str">
        <f>B21</f>
        <v>基础设施水平</v>
      </c>
      <c r="R21" s="465" t="s">
        <v>1061</v>
      </c>
      <c r="S21" s="466">
        <f>F21</f>
        <v>100</v>
      </c>
      <c r="T21" s="465" t="s">
        <v>1061</v>
      </c>
      <c r="U21" s="466">
        <f>H21</f>
        <v>100</v>
      </c>
      <c r="V21" s="465" t="s">
        <v>1061</v>
      </c>
      <c r="W21" s="466">
        <f>J21</f>
        <v>100</v>
      </c>
      <c r="X21" s="460"/>
      <c r="Y21" s="384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43"/>
      <c r="Q22" s="395"/>
      <c r="R22" s="465"/>
      <c r="S22" s="466"/>
      <c r="T22" s="465"/>
      <c r="U22" s="466"/>
      <c r="V22" s="465"/>
      <c r="W22" s="466"/>
      <c r="X22" s="460"/>
      <c r="Y22" s="3843"/>
      <c r="Z22" s="459"/>
      <c r="AA22" s="471">
        <v>1</v>
      </c>
      <c r="AB22" s="471">
        <v>1</v>
      </c>
      <c r="AC22" s="471">
        <v>1</v>
      </c>
    </row>
    <row r="23" spans="1:29" ht="57">
      <c r="A23" s="264"/>
      <c r="B23" s="283" t="s">
        <v>2518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3"/>
      <c r="Q23" s="395" t="str">
        <f>B23</f>
        <v>自然及人文环境</v>
      </c>
      <c r="R23" s="465" t="s">
        <v>1061</v>
      </c>
      <c r="S23" s="466">
        <f>F23</f>
        <v>100</v>
      </c>
      <c r="T23" s="465" t="s">
        <v>1061</v>
      </c>
      <c r="U23" s="466">
        <f>H23</f>
        <v>100</v>
      </c>
      <c r="V23" s="465" t="s">
        <v>1061</v>
      </c>
      <c r="W23" s="466">
        <f>J23</f>
        <v>100</v>
      </c>
      <c r="X23" s="460"/>
      <c r="Y23" s="384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43"/>
      <c r="Q24" s="395"/>
      <c r="R24" s="465"/>
      <c r="S24" s="466"/>
      <c r="T24" s="465"/>
      <c r="U24" s="466"/>
      <c r="V24" s="465"/>
      <c r="W24" s="466"/>
      <c r="X24" s="460"/>
      <c r="Y24" s="3843"/>
      <c r="Z24" s="459"/>
      <c r="AA24" s="471">
        <v>1</v>
      </c>
      <c r="AB24" s="471">
        <v>1</v>
      </c>
      <c r="AC24" s="471">
        <v>1</v>
      </c>
    </row>
    <row r="25" spans="1:29" ht="15">
      <c r="A25" s="264"/>
      <c r="B25" s="557" t="s">
        <v>2519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3"/>
      <c r="Q25" s="395" t="str">
        <f t="shared" ref="Q25:Q46" si="8">B25</f>
        <v>楼层-1</v>
      </c>
      <c r="R25" s="465" t="s">
        <v>1061</v>
      </c>
      <c r="S25" s="466">
        <f>F25</f>
        <v>100</v>
      </c>
      <c r="T25" s="465" t="s">
        <v>1061</v>
      </c>
      <c r="U25" s="466">
        <f>H25</f>
        <v>100</v>
      </c>
      <c r="V25" s="465" t="s">
        <v>1061</v>
      </c>
      <c r="W25" s="466">
        <f>J25</f>
        <v>100</v>
      </c>
      <c r="X25" s="460"/>
      <c r="Y25" s="3843"/>
      <c r="Z25" s="459" t="str">
        <f>Q25</f>
        <v>楼层-1</v>
      </c>
      <c r="AA25" s="471">
        <f t="shared" si="3"/>
        <v>1</v>
      </c>
      <c r="AB25" s="471">
        <f t="shared" si="4"/>
        <v>1</v>
      </c>
      <c r="AC25" s="471">
        <f t="shared" si="5"/>
        <v>1</v>
      </c>
    </row>
    <row r="26" spans="1:29" ht="15">
      <c r="A26" s="264"/>
      <c r="B26" s="298" t="s">
        <v>2520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3"/>
      <c r="Q26" s="395" t="str">
        <f t="shared" si="8"/>
        <v>朝向</v>
      </c>
      <c r="R26" s="465" t="s">
        <v>1061</v>
      </c>
      <c r="S26" s="466">
        <f>F26</f>
        <v>100</v>
      </c>
      <c r="T26" s="465" t="s">
        <v>1061</v>
      </c>
      <c r="U26" s="466">
        <f>H26</f>
        <v>100</v>
      </c>
      <c r="V26" s="465" t="s">
        <v>1061</v>
      </c>
      <c r="W26" s="466">
        <f>J26</f>
        <v>100</v>
      </c>
      <c r="X26" s="460"/>
      <c r="Y26" s="3843"/>
      <c r="Z26" s="459" t="str">
        <f>Q26</f>
        <v>朝向</v>
      </c>
      <c r="AA26" s="471">
        <f t="shared" si="3"/>
        <v>1</v>
      </c>
      <c r="AB26" s="471">
        <f t="shared" si="4"/>
        <v>1</v>
      </c>
      <c r="AC26" s="471">
        <f t="shared" si="5"/>
        <v>1</v>
      </c>
    </row>
    <row r="27" spans="1:29" s="199" customFormat="1" ht="15">
      <c r="A27" s="288"/>
      <c r="B27" s="287" t="s">
        <v>2521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3"/>
      <c r="Q27" s="464" t="str">
        <f t="shared" si="8"/>
        <v>道路级别</v>
      </c>
      <c r="R27" s="461" t="s">
        <v>1061</v>
      </c>
      <c r="S27" s="462">
        <f>F27</f>
        <v>100</v>
      </c>
      <c r="T27" s="461" t="s">
        <v>1061</v>
      </c>
      <c r="U27" s="462">
        <f>H27</f>
        <v>100</v>
      </c>
      <c r="V27" s="461" t="s">
        <v>1061</v>
      </c>
      <c r="W27" s="462">
        <f>J27</f>
        <v>100</v>
      </c>
      <c r="X27" s="463"/>
      <c r="Y27" s="3843"/>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3"/>
      <c r="Q28" s="395">
        <f t="shared" si="8"/>
        <v>111</v>
      </c>
      <c r="R28" s="465" t="s">
        <v>1061</v>
      </c>
      <c r="S28" s="466">
        <f t="shared" ref="S28:S46" si="9">F28</f>
        <v>100</v>
      </c>
      <c r="T28" s="465" t="s">
        <v>1061</v>
      </c>
      <c r="U28" s="466">
        <f t="shared" ref="U28:U46" si="10">H28</f>
        <v>100</v>
      </c>
      <c r="V28" s="465" t="s">
        <v>1061</v>
      </c>
      <c r="W28" s="466">
        <f t="shared" ref="W28:W46" si="11">J28</f>
        <v>100</v>
      </c>
      <c r="X28" s="460"/>
      <c r="Y28" s="3843"/>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3"/>
      <c r="Q29" s="395">
        <f t="shared" si="8"/>
        <v>111</v>
      </c>
      <c r="R29" s="465" t="s">
        <v>1061</v>
      </c>
      <c r="S29" s="466">
        <f t="shared" si="9"/>
        <v>100</v>
      </c>
      <c r="T29" s="465" t="s">
        <v>1061</v>
      </c>
      <c r="U29" s="466">
        <f t="shared" si="10"/>
        <v>100</v>
      </c>
      <c r="V29" s="465" t="s">
        <v>1061</v>
      </c>
      <c r="W29" s="466">
        <f t="shared" si="11"/>
        <v>100</v>
      </c>
      <c r="X29" s="460"/>
      <c r="Y29" s="384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3"/>
      <c r="Q30" s="395">
        <f t="shared" si="8"/>
        <v>111</v>
      </c>
      <c r="R30" s="465" t="s">
        <v>1061</v>
      </c>
      <c r="S30" s="466">
        <f t="shared" si="9"/>
        <v>100</v>
      </c>
      <c r="T30" s="465" t="s">
        <v>1061</v>
      </c>
      <c r="U30" s="466">
        <f t="shared" si="10"/>
        <v>100</v>
      </c>
      <c r="V30" s="465" t="s">
        <v>1061</v>
      </c>
      <c r="W30" s="466">
        <f t="shared" si="11"/>
        <v>100</v>
      </c>
      <c r="X30" s="460"/>
      <c r="Y30" s="3843"/>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3"/>
      <c r="Q31" s="395">
        <f t="shared" si="8"/>
        <v>111</v>
      </c>
      <c r="R31" s="465" t="s">
        <v>1061</v>
      </c>
      <c r="S31" s="466">
        <f t="shared" si="9"/>
        <v>100</v>
      </c>
      <c r="T31" s="465" t="s">
        <v>1061</v>
      </c>
      <c r="U31" s="466">
        <f t="shared" si="10"/>
        <v>100</v>
      </c>
      <c r="V31" s="465" t="s">
        <v>1061</v>
      </c>
      <c r="W31" s="466">
        <f t="shared" si="11"/>
        <v>100</v>
      </c>
      <c r="X31" s="460"/>
      <c r="Y31" s="3843"/>
      <c r="Z31" s="459">
        <f t="shared" si="12"/>
        <v>111</v>
      </c>
      <c r="AA31" s="471">
        <f t="shared" si="3"/>
        <v>1</v>
      </c>
      <c r="AB31" s="471">
        <f t="shared" si="4"/>
        <v>1</v>
      </c>
      <c r="AC31" s="471">
        <f t="shared" si="5"/>
        <v>1</v>
      </c>
    </row>
    <row r="32" spans="1:29" ht="15">
      <c r="A32" s="292" t="s">
        <v>1077</v>
      </c>
      <c r="B32" s="293" t="s">
        <v>2522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4" t="s">
        <v>1076</v>
      </c>
      <c r="Q32" s="395" t="str">
        <f t="shared" si="8"/>
        <v>建筑类型</v>
      </c>
      <c r="R32" s="465" t="s">
        <v>1061</v>
      </c>
      <c r="S32" s="466">
        <f t="shared" si="9"/>
        <v>100</v>
      </c>
      <c r="T32" s="465" t="s">
        <v>1061</v>
      </c>
      <c r="U32" s="466">
        <f t="shared" si="10"/>
        <v>100</v>
      </c>
      <c r="V32" s="465" t="s">
        <v>1061</v>
      </c>
      <c r="W32" s="466">
        <f t="shared" si="11"/>
        <v>100</v>
      </c>
      <c r="X32" s="460"/>
      <c r="Y32" s="3845" t="s">
        <v>1076</v>
      </c>
      <c r="Z32" s="459" t="str">
        <f t="shared" si="12"/>
        <v>建筑类型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45"/>
      <c r="Q33" s="467" t="str">
        <f t="shared" si="8"/>
        <v>项目建筑规模</v>
      </c>
      <c r="R33" s="468" t="s">
        <v>1061</v>
      </c>
      <c r="S33" s="469" t="e">
        <f t="shared" si="9"/>
        <v>#N/A</v>
      </c>
      <c r="T33" s="468" t="s">
        <v>1061</v>
      </c>
      <c r="U33" s="469" t="e">
        <f t="shared" si="10"/>
        <v>#N/A</v>
      </c>
      <c r="V33" s="468" t="s">
        <v>1061</v>
      </c>
      <c r="W33" s="469" t="e">
        <f t="shared" si="11"/>
        <v>#N/A</v>
      </c>
      <c r="X33" s="470"/>
      <c r="Y33" s="3845"/>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45"/>
      <c r="Q34" s="395" t="str">
        <f t="shared" si="8"/>
        <v>建筑结构</v>
      </c>
      <c r="R34" s="465" t="s">
        <v>1061</v>
      </c>
      <c r="S34" s="466">
        <f t="shared" si="9"/>
        <v>100</v>
      </c>
      <c r="T34" s="465" t="s">
        <v>1061</v>
      </c>
      <c r="U34" s="466">
        <f t="shared" si="10"/>
        <v>100</v>
      </c>
      <c r="V34" s="465" t="s">
        <v>1061</v>
      </c>
      <c r="W34" s="466">
        <f t="shared" si="11"/>
        <v>100</v>
      </c>
      <c r="X34" s="460"/>
      <c r="Y34" s="3845"/>
      <c r="Z34" s="459" t="str">
        <f t="shared" si="12"/>
        <v>建筑结构</v>
      </c>
      <c r="AA34" s="471">
        <f t="shared" si="3"/>
        <v>1</v>
      </c>
      <c r="AB34" s="471">
        <f t="shared" si="4"/>
        <v>1</v>
      </c>
      <c r="AC34" s="471">
        <f t="shared" si="5"/>
        <v>1</v>
      </c>
    </row>
    <row r="35" spans="1:29" ht="15">
      <c r="A35" s="302"/>
      <c r="B35" s="298" t="s">
        <v>2525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45"/>
      <c r="Q35" s="395" t="str">
        <f t="shared" si="8"/>
        <v>建筑品质</v>
      </c>
      <c r="R35" s="465" t="s">
        <v>1061</v>
      </c>
      <c r="S35" s="466">
        <f t="shared" si="9"/>
        <v>100</v>
      </c>
      <c r="T35" s="465" t="s">
        <v>1061</v>
      </c>
      <c r="U35" s="466">
        <f t="shared" si="10"/>
        <v>100</v>
      </c>
      <c r="V35" s="465" t="s">
        <v>1061</v>
      </c>
      <c r="W35" s="466">
        <f t="shared" si="11"/>
        <v>100</v>
      </c>
      <c r="X35" s="460"/>
      <c r="Y35" s="3845"/>
      <c r="Z35" s="459" t="str">
        <f t="shared" si="12"/>
        <v>建筑品质</v>
      </c>
      <c r="AA35" s="471">
        <f t="shared" si="3"/>
        <v>1</v>
      </c>
      <c r="AB35" s="471">
        <f t="shared" si="4"/>
        <v>1</v>
      </c>
      <c r="AC35" s="471">
        <f t="shared" si="5"/>
        <v>1</v>
      </c>
    </row>
    <row r="36" spans="1:29" ht="15">
      <c r="A36" s="302"/>
      <c r="B36" s="298" t="s">
        <v>2526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45"/>
      <c r="Q36" s="395" t="str">
        <f t="shared" si="8"/>
        <v>公共部分装修</v>
      </c>
      <c r="R36" s="465" t="s">
        <v>1061</v>
      </c>
      <c r="S36" s="466">
        <f t="shared" si="9"/>
        <v>100</v>
      </c>
      <c r="T36" s="465" t="s">
        <v>1061</v>
      </c>
      <c r="U36" s="466">
        <f t="shared" si="10"/>
        <v>100</v>
      </c>
      <c r="V36" s="465" t="s">
        <v>1061</v>
      </c>
      <c r="W36" s="466">
        <f t="shared" si="11"/>
        <v>100</v>
      </c>
      <c r="X36" s="460"/>
      <c r="Y36" s="3845"/>
      <c r="Z36" s="459" t="str">
        <f t="shared" si="12"/>
        <v>公共部分装修</v>
      </c>
      <c r="AA36" s="471">
        <f t="shared" si="3"/>
        <v>1</v>
      </c>
      <c r="AB36" s="471">
        <f t="shared" si="4"/>
        <v>1</v>
      </c>
      <c r="AC36" s="471">
        <f t="shared" si="5"/>
        <v>1</v>
      </c>
    </row>
    <row r="37" spans="1:29" s="199" customFormat="1" ht="15">
      <c r="A37" s="305"/>
      <c r="B37" s="298" t="s">
        <v>2527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45"/>
      <c r="Q37" s="464" t="str">
        <f t="shared" si="8"/>
        <v>成新度</v>
      </c>
      <c r="R37" s="461" t="s">
        <v>1061</v>
      </c>
      <c r="S37" s="462" t="e">
        <f t="shared" si="9"/>
        <v>#N/A</v>
      </c>
      <c r="T37" s="461" t="s">
        <v>1061</v>
      </c>
      <c r="U37" s="462" t="e">
        <f t="shared" si="10"/>
        <v>#N/A</v>
      </c>
      <c r="V37" s="461" t="s">
        <v>1061</v>
      </c>
      <c r="W37" s="462" t="e">
        <f t="shared" si="11"/>
        <v>#N/A</v>
      </c>
      <c r="X37" s="463"/>
      <c r="Y37" s="3845"/>
      <c r="Z37" s="481" t="str">
        <f t="shared" si="12"/>
        <v>成新度</v>
      </c>
      <c r="AA37" s="480" t="e">
        <f t="shared" si="3"/>
        <v>#N/A</v>
      </c>
      <c r="AB37" s="480" t="e">
        <f t="shared" si="4"/>
        <v>#N/A</v>
      </c>
      <c r="AC37" s="480" t="e">
        <f t="shared" si="5"/>
        <v>#N/A</v>
      </c>
    </row>
    <row r="38" spans="1:29" ht="15">
      <c r="A38" s="302"/>
      <c r="B38" s="298" t="s">
        <v>2528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45" t="s">
        <v>1076</v>
      </c>
      <c r="Q38" s="395" t="str">
        <f t="shared" si="8"/>
        <v>物业管理</v>
      </c>
      <c r="R38" s="465" t="s">
        <v>1061</v>
      </c>
      <c r="S38" s="466">
        <f t="shared" si="9"/>
        <v>100</v>
      </c>
      <c r="T38" s="465" t="s">
        <v>1061</v>
      </c>
      <c r="U38" s="466">
        <f t="shared" si="10"/>
        <v>100</v>
      </c>
      <c r="V38" s="465" t="s">
        <v>1061</v>
      </c>
      <c r="W38" s="466">
        <f t="shared" si="11"/>
        <v>100</v>
      </c>
      <c r="X38" s="460"/>
      <c r="Y38" s="3845" t="s">
        <v>1076</v>
      </c>
      <c r="Z38" s="459" t="str">
        <f t="shared" si="12"/>
        <v>物业管理</v>
      </c>
      <c r="AA38" s="471">
        <f t="shared" si="3"/>
        <v>1</v>
      </c>
      <c r="AB38" s="471">
        <f t="shared" si="4"/>
        <v>1</v>
      </c>
      <c r="AC38" s="471">
        <f t="shared" si="5"/>
        <v>1</v>
      </c>
    </row>
    <row r="39" spans="1:29" ht="15">
      <c r="A39" s="302"/>
      <c r="B39" s="557" t="s">
        <v>2529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45"/>
      <c r="Q39" s="395" t="str">
        <f t="shared" si="8"/>
        <v>市政基础设施</v>
      </c>
      <c r="R39" s="465" t="s">
        <v>1061</v>
      </c>
      <c r="S39" s="466">
        <f t="shared" si="9"/>
        <v>100</v>
      </c>
      <c r="T39" s="465" t="s">
        <v>1061</v>
      </c>
      <c r="U39" s="466">
        <f t="shared" si="10"/>
        <v>100</v>
      </c>
      <c r="V39" s="465" t="s">
        <v>1061</v>
      </c>
      <c r="W39" s="466">
        <f t="shared" si="11"/>
        <v>100</v>
      </c>
      <c r="X39" s="460"/>
      <c r="Y39" s="3845"/>
      <c r="Z39" s="459" t="str">
        <f t="shared" si="12"/>
        <v>市政基础设施</v>
      </c>
      <c r="AA39" s="471">
        <f t="shared" si="3"/>
        <v>1</v>
      </c>
      <c r="AB39" s="471">
        <f t="shared" si="4"/>
        <v>1</v>
      </c>
      <c r="AC39" s="471">
        <f t="shared" si="5"/>
        <v>1</v>
      </c>
    </row>
    <row r="40" spans="1:29" ht="15">
      <c r="A40" s="302"/>
      <c r="B40" s="298" t="s">
        <v>2530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45"/>
      <c r="Q40" s="395" t="str">
        <f t="shared" si="8"/>
        <v>房型</v>
      </c>
      <c r="R40" s="465" t="s">
        <v>1061</v>
      </c>
      <c r="S40" s="466">
        <f t="shared" si="9"/>
        <v>100</v>
      </c>
      <c r="T40" s="465" t="s">
        <v>1061</v>
      </c>
      <c r="U40" s="466">
        <f t="shared" si="10"/>
        <v>100</v>
      </c>
      <c r="V40" s="465" t="s">
        <v>1061</v>
      </c>
      <c r="W40" s="466">
        <f t="shared" si="11"/>
        <v>100</v>
      </c>
      <c r="X40" s="460"/>
      <c r="Y40" s="3845"/>
      <c r="Z40" s="459" t="str">
        <f t="shared" si="12"/>
        <v>房型</v>
      </c>
      <c r="AA40" s="471">
        <f t="shared" si="3"/>
        <v>1</v>
      </c>
      <c r="AB40" s="471">
        <f t="shared" si="4"/>
        <v>1</v>
      </c>
      <c r="AC40" s="471">
        <f t="shared" si="5"/>
        <v>1</v>
      </c>
    </row>
    <row r="41" spans="1:29" s="201" customFormat="1" ht="28.5">
      <c r="A41" s="297"/>
      <c r="B41" s="298" t="s">
        <v>2531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45"/>
      <c r="Q41" s="467" t="str">
        <f t="shared" si="8"/>
        <v>单套/主力户型建筑面积</v>
      </c>
      <c r="R41" s="468" t="s">
        <v>1061</v>
      </c>
      <c r="S41" s="469">
        <f t="shared" si="9"/>
        <v>100</v>
      </c>
      <c r="T41" s="468" t="s">
        <v>1061</v>
      </c>
      <c r="U41" s="469">
        <f t="shared" si="10"/>
        <v>100</v>
      </c>
      <c r="V41" s="468" t="s">
        <v>1061</v>
      </c>
      <c r="W41" s="469">
        <f t="shared" si="11"/>
        <v>100</v>
      </c>
      <c r="X41" s="470"/>
      <c r="Y41" s="3845"/>
      <c r="Z41" s="482" t="str">
        <f t="shared" si="12"/>
        <v>单套/主力户型建筑面积</v>
      </c>
      <c r="AA41" s="471">
        <f t="shared" si="3"/>
        <v>1</v>
      </c>
      <c r="AB41" s="471">
        <f t="shared" si="4"/>
        <v>1</v>
      </c>
      <c r="AC41" s="471">
        <f t="shared" si="5"/>
        <v>1</v>
      </c>
    </row>
    <row r="42" spans="1:29" ht="15">
      <c r="A42" s="302"/>
      <c r="B42" s="298" t="s">
        <v>2532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45"/>
      <c r="Q42" s="395" t="str">
        <f t="shared" si="8"/>
        <v>内部装修</v>
      </c>
      <c r="R42" s="465" t="s">
        <v>1061</v>
      </c>
      <c r="S42" s="466">
        <f t="shared" si="9"/>
        <v>100</v>
      </c>
      <c r="T42" s="465" t="s">
        <v>1061</v>
      </c>
      <c r="U42" s="466">
        <f t="shared" si="10"/>
        <v>100</v>
      </c>
      <c r="V42" s="465" t="s">
        <v>1061</v>
      </c>
      <c r="W42" s="466">
        <f t="shared" si="11"/>
        <v>100</v>
      </c>
      <c r="X42" s="460"/>
      <c r="Y42" s="3845"/>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45"/>
      <c r="Q43" s="395" t="str">
        <f t="shared" si="8"/>
        <v>内部装修维护情况</v>
      </c>
      <c r="R43" s="465" t="s">
        <v>1061</v>
      </c>
      <c r="S43" s="466">
        <f t="shared" si="9"/>
        <v>100</v>
      </c>
      <c r="T43" s="465" t="s">
        <v>1061</v>
      </c>
      <c r="U43" s="466">
        <f t="shared" si="10"/>
        <v>100</v>
      </c>
      <c r="V43" s="465" t="s">
        <v>1061</v>
      </c>
      <c r="W43" s="466">
        <f t="shared" si="11"/>
        <v>100</v>
      </c>
      <c r="X43" s="460"/>
      <c r="Y43" s="384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45"/>
      <c r="Q44" s="464">
        <f t="shared" si="8"/>
        <v>111</v>
      </c>
      <c r="R44" s="461" t="s">
        <v>1061</v>
      </c>
      <c r="S44" s="462">
        <f t="shared" si="9"/>
        <v>100</v>
      </c>
      <c r="T44" s="461" t="s">
        <v>1061</v>
      </c>
      <c r="U44" s="462">
        <f t="shared" si="10"/>
        <v>100</v>
      </c>
      <c r="V44" s="461" t="s">
        <v>1061</v>
      </c>
      <c r="W44" s="462">
        <f t="shared" si="11"/>
        <v>100</v>
      </c>
      <c r="X44" s="463"/>
      <c r="Y44" s="384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45"/>
      <c r="Q45" s="395">
        <f t="shared" si="8"/>
        <v>111</v>
      </c>
      <c r="R45" s="465" t="s">
        <v>1061</v>
      </c>
      <c r="S45" s="466">
        <f t="shared" si="9"/>
        <v>100</v>
      </c>
      <c r="T45" s="465" t="s">
        <v>1061</v>
      </c>
      <c r="U45" s="466">
        <f t="shared" si="10"/>
        <v>100</v>
      </c>
      <c r="V45" s="465" t="s">
        <v>1061</v>
      </c>
      <c r="W45" s="466">
        <f t="shared" si="11"/>
        <v>100</v>
      </c>
      <c r="X45" s="460"/>
      <c r="Y45" s="3845"/>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3"/>
      <c r="Q46" s="395">
        <f t="shared" si="8"/>
        <v>111</v>
      </c>
      <c r="R46" s="465" t="s">
        <v>1061</v>
      </c>
      <c r="S46" s="466">
        <f t="shared" si="9"/>
        <v>100</v>
      </c>
      <c r="T46" s="465" t="s">
        <v>1061</v>
      </c>
      <c r="U46" s="466">
        <f t="shared" si="10"/>
        <v>100</v>
      </c>
      <c r="V46" s="465" t="s">
        <v>1061</v>
      </c>
      <c r="W46" s="466">
        <f t="shared" si="11"/>
        <v>100</v>
      </c>
      <c r="X46" s="460"/>
      <c r="Y46" s="3953"/>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648"/>
      <c r="L47" s="410"/>
      <c r="M47" s="340"/>
      <c r="N47" s="390"/>
      <c r="O47" s="340"/>
      <c r="P47" s="3836" t="str">
        <f>A47</f>
        <v>成交单价（元/平方米）</v>
      </c>
      <c r="Q47" s="3836"/>
      <c r="R47" s="3951">
        <f>E47</f>
        <v>0</v>
      </c>
      <c r="S47" s="3951"/>
      <c r="T47" s="3951">
        <f>G47</f>
        <v>0</v>
      </c>
      <c r="U47" s="3951"/>
      <c r="V47" s="3951">
        <f>I47</f>
        <v>0</v>
      </c>
      <c r="W47" s="3951"/>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40"/>
      <c r="O48" s="340"/>
      <c r="P48" s="3836" t="str">
        <f>A48</f>
        <v>比较价格（元/平方米）</v>
      </c>
      <c r="Q48" s="3836"/>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1087</v>
      </c>
      <c r="B49" s="327"/>
      <c r="C49" s="328" t="e">
        <f>R49</f>
        <v>#DIV/0!</v>
      </c>
      <c r="D49" s="328"/>
      <c r="E49" s="328"/>
      <c r="F49" s="328"/>
      <c r="G49" s="328"/>
      <c r="H49" s="328"/>
      <c r="I49" s="328"/>
      <c r="J49" s="328"/>
      <c r="K49" s="649"/>
      <c r="L49" s="410"/>
      <c r="M49" s="340"/>
      <c r="N49" s="340"/>
      <c r="O49" s="340"/>
      <c r="P49" s="3839" t="str">
        <f>A49</f>
        <v>估价对象XX用房的比较价格（楼面单价，元/平方米）</v>
      </c>
      <c r="Q49" s="3840"/>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8"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2520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2522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2530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2531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2535</v>
      </c>
      <c r="C137" s="665"/>
      <c r="D137" s="665"/>
      <c r="E137" s="665"/>
      <c r="F137" s="665"/>
      <c r="G137" s="666"/>
      <c r="H137" s="667"/>
      <c r="I137" s="695" t="s">
        <v>2536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2537</v>
      </c>
      <c r="D138" s="669" t="s">
        <v>2538</v>
      </c>
      <c r="E138" s="670" t="s">
        <v>2539</v>
      </c>
      <c r="F138" s="671" t="s">
        <v>2540</v>
      </c>
      <c r="G138" s="669" t="s">
        <v>2538</v>
      </c>
      <c r="H138" s="672" t="s">
        <v>2539</v>
      </c>
      <c r="I138" s="697"/>
      <c r="J138" s="669" t="s">
        <v>2541</v>
      </c>
      <c r="K138" s="672" t="s">
        <v>2542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2543</v>
      </c>
      <c r="E139" s="676">
        <v>100</v>
      </c>
      <c r="F139" s="677">
        <v>102.5</v>
      </c>
      <c r="G139" s="675" t="s">
        <v>2543</v>
      </c>
      <c r="H139" s="678">
        <v>105</v>
      </c>
      <c r="I139" s="698" t="s">
        <v>2544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2545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2546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2547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1302</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2548</v>
      </c>
      <c r="E144" s="682">
        <v>102</v>
      </c>
      <c r="F144" s="686">
        <v>100</v>
      </c>
      <c r="G144" s="685" t="s">
        <v>2548</v>
      </c>
      <c r="H144" s="684">
        <v>105</v>
      </c>
      <c r="I144" s="700" t="s">
        <v>1302</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2549</v>
      </c>
      <c r="C145" s="688">
        <f>ROUND(MAX(C139:C144)/MIN(C139:C144)-1,3)</f>
        <v>7.2999999999999995E-2</v>
      </c>
      <c r="D145" s="689"/>
      <c r="E145" s="689"/>
      <c r="F145" s="690" t="s">
        <v>2550</v>
      </c>
      <c r="G145" s="691"/>
      <c r="H145" s="692"/>
      <c r="I145" s="705" t="s">
        <v>1302</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2553</v>
      </c>
      <c r="C1" s="209" t="s">
        <v>2515</v>
      </c>
      <c r="D1" s="609"/>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C49</f>
        <v>#DIV/0!</v>
      </c>
      <c r="C3" s="221" t="s">
        <v>2517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1046</v>
      </c>
      <c r="B4" s="224"/>
      <c r="C4" s="3825" t="s">
        <v>1047</v>
      </c>
      <c r="D4" s="3826"/>
      <c r="E4" s="3865" t="s">
        <v>1048</v>
      </c>
      <c r="F4" s="3866"/>
      <c r="G4" s="3825" t="s">
        <v>1049</v>
      </c>
      <c r="H4" s="3826"/>
      <c r="I4" s="3825" t="s">
        <v>1050</v>
      </c>
      <c r="J4" s="3826"/>
      <c r="K4" s="388" t="s">
        <v>1051</v>
      </c>
      <c r="L4" s="389"/>
      <c r="M4" s="390"/>
      <c r="N4" s="390"/>
      <c r="O4" s="390"/>
      <c r="P4" s="3849" t="s">
        <v>1052</v>
      </c>
      <c r="Q4" s="3850"/>
      <c r="R4" s="3855" t="s">
        <v>1048</v>
      </c>
      <c r="S4" s="3856"/>
      <c r="T4" s="3855" t="s">
        <v>1049</v>
      </c>
      <c r="U4" s="3856"/>
      <c r="V4" s="3837" t="s">
        <v>1050</v>
      </c>
      <c r="W4" s="3837"/>
      <c r="X4" s="460"/>
      <c r="Y4" s="3855" t="s">
        <v>1052</v>
      </c>
      <c r="Z4" s="3856"/>
      <c r="AA4" s="3846" t="s">
        <v>1048</v>
      </c>
      <c r="AB4" s="3837" t="s">
        <v>1049</v>
      </c>
      <c r="AC4" s="3846" t="s">
        <v>1050</v>
      </c>
    </row>
    <row r="5" spans="1:29" ht="15">
      <c r="A5" s="225"/>
      <c r="B5" s="226"/>
      <c r="C5" s="3827" t="s">
        <v>1053</v>
      </c>
      <c r="D5" s="3828"/>
      <c r="E5" s="3867" t="s">
        <v>1054</v>
      </c>
      <c r="F5" s="3868"/>
      <c r="G5" s="3827" t="s">
        <v>1055</v>
      </c>
      <c r="H5" s="3828"/>
      <c r="I5" s="3827" t="s">
        <v>1056</v>
      </c>
      <c r="J5" s="3828"/>
      <c r="K5" s="388"/>
      <c r="L5" s="389"/>
      <c r="M5" s="390"/>
      <c r="N5" s="390"/>
      <c r="O5" s="390"/>
      <c r="P5" s="3851"/>
      <c r="Q5" s="3852"/>
      <c r="R5" s="3857"/>
      <c r="S5" s="3858"/>
      <c r="T5" s="3857"/>
      <c r="U5" s="3858"/>
      <c r="V5" s="3837"/>
      <c r="W5" s="3837"/>
      <c r="X5" s="460"/>
      <c r="Y5" s="3857"/>
      <c r="Z5" s="3858"/>
      <c r="AA5" s="3847"/>
      <c r="AB5" s="3837"/>
      <c r="AC5" s="3847"/>
    </row>
    <row r="6" spans="1:29" ht="15">
      <c r="A6" s="227"/>
      <c r="B6" s="228"/>
      <c r="C6" s="3831" t="s">
        <v>1057</v>
      </c>
      <c r="D6" s="3832"/>
      <c r="E6" s="3869" t="s">
        <v>1057</v>
      </c>
      <c r="F6" s="3870"/>
      <c r="G6" s="3831" t="s">
        <v>1057</v>
      </c>
      <c r="H6" s="3832"/>
      <c r="I6" s="3831" t="s">
        <v>1057</v>
      </c>
      <c r="J6" s="3832"/>
      <c r="K6" s="388" t="s">
        <v>1058</v>
      </c>
      <c r="L6" s="389"/>
      <c r="M6" s="390"/>
      <c r="N6" s="390"/>
      <c r="O6" s="390"/>
      <c r="P6" s="3853"/>
      <c r="Q6" s="3854"/>
      <c r="R6" s="3857"/>
      <c r="S6" s="3858"/>
      <c r="T6" s="3859"/>
      <c r="U6" s="3860"/>
      <c r="V6" s="3837"/>
      <c r="W6" s="3837"/>
      <c r="X6" s="460"/>
      <c r="Y6" s="3859"/>
      <c r="Z6" s="3860"/>
      <c r="AA6" s="3848"/>
      <c r="AB6" s="3837"/>
      <c r="AC6" s="3848"/>
    </row>
    <row r="7" spans="1:29" s="199" customFormat="1" ht="15">
      <c r="A7" s="229"/>
      <c r="B7" s="230" t="s">
        <v>1059</v>
      </c>
      <c r="C7" s="231">
        <f>'数据-取费表'!B2</f>
        <v>45257</v>
      </c>
      <c r="D7" s="232">
        <v>100</v>
      </c>
      <c r="E7" s="233"/>
      <c r="F7" s="234">
        <f>SUMIF(58:58,YEAR(E7)&amp;"-"&amp;MONTH(E7),59:59)</f>
        <v>0</v>
      </c>
      <c r="G7" s="233"/>
      <c r="H7" s="232">
        <f>SUMIF(58:58,YEAR(G7)&amp;"-"&amp;MONTH(G7),59:59)</f>
        <v>0</v>
      </c>
      <c r="I7" s="233"/>
      <c r="J7" s="232">
        <f>SUMIF(58:58,YEAR(I7)&amp;"-"&amp;MONTH(I7),59:59)</f>
        <v>0</v>
      </c>
      <c r="K7" s="391"/>
      <c r="L7" s="392"/>
      <c r="M7" s="393"/>
      <c r="N7" s="393"/>
      <c r="O7" s="393"/>
      <c r="P7" s="3833" t="s">
        <v>1060</v>
      </c>
      <c r="Q7" s="3834"/>
      <c r="R7" s="461" t="s">
        <v>1061</v>
      </c>
      <c r="S7" s="462">
        <f t="shared" ref="S7:S15" si="0">F7</f>
        <v>0</v>
      </c>
      <c r="T7" s="461" t="s">
        <v>1061</v>
      </c>
      <c r="U7" s="462">
        <f t="shared" ref="U7:U15" si="1">H7</f>
        <v>0</v>
      </c>
      <c r="V7" s="461" t="s">
        <v>1061</v>
      </c>
      <c r="W7" s="462">
        <f t="shared" ref="W7:W15"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3" t="s">
        <v>1064</v>
      </c>
      <c r="Q8" s="3835"/>
      <c r="R8" s="461" t="s">
        <v>1061</v>
      </c>
      <c r="S8" s="462">
        <f t="shared" si="0"/>
        <v>0</v>
      </c>
      <c r="T8" s="461" t="s">
        <v>1061</v>
      </c>
      <c r="U8" s="462">
        <f t="shared" si="1"/>
        <v>0</v>
      </c>
      <c r="V8" s="461" t="s">
        <v>1061</v>
      </c>
      <c r="W8" s="462">
        <f t="shared" si="2"/>
        <v>0</v>
      </c>
      <c r="X8" s="463"/>
      <c r="Y8" s="3833" t="s">
        <v>1064</v>
      </c>
      <c r="Z8" s="3835"/>
      <c r="AA8" s="480" t="e">
        <f t="shared" ref="AA8:AA46" si="3">D8/F8</f>
        <v>#DIV/0!</v>
      </c>
      <c r="AB8" s="480" t="e">
        <f t="shared" ref="AB8:AB46" si="4">D8/H8</f>
        <v>#DIV/0!</v>
      </c>
      <c r="AC8" s="480" t="e">
        <f t="shared" ref="AC8:AC46" si="5">D8/J8</f>
        <v>#DIV/0!</v>
      </c>
    </row>
    <row r="9" spans="1:29" s="199" customFormat="1" ht="15">
      <c r="A9" s="239"/>
      <c r="B9" s="240" t="s">
        <v>1065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6" t="s">
        <v>1066</v>
      </c>
      <c r="Q9" s="464" t="str">
        <f t="shared" ref="Q9:Q15" si="6">B9</f>
        <v>用途</v>
      </c>
      <c r="R9" s="461" t="s">
        <v>1061</v>
      </c>
      <c r="S9" s="462">
        <f t="shared" si="0"/>
        <v>100</v>
      </c>
      <c r="T9" s="461" t="s">
        <v>1061</v>
      </c>
      <c r="U9" s="462">
        <f t="shared" si="1"/>
        <v>100</v>
      </c>
      <c r="V9" s="461" t="s">
        <v>1061</v>
      </c>
      <c r="W9" s="462">
        <f t="shared" si="2"/>
        <v>100</v>
      </c>
      <c r="X9" s="463"/>
      <c r="Y9" s="3804"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6"/>
      <c r="Q11" s="464" t="str">
        <f t="shared" si="6"/>
        <v>容积率</v>
      </c>
      <c r="R11" s="461" t="s">
        <v>1061</v>
      </c>
      <c r="S11" s="462" t="e">
        <f t="shared" si="0"/>
        <v>#N/A</v>
      </c>
      <c r="T11" s="461" t="s">
        <v>1061</v>
      </c>
      <c r="U11" s="462" t="e">
        <f t="shared" si="1"/>
        <v>#N/A</v>
      </c>
      <c r="V11" s="461" t="s">
        <v>1061</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6"/>
      <c r="Q14" s="464">
        <f t="shared" si="6"/>
        <v>111</v>
      </c>
      <c r="R14" s="461" t="s">
        <v>1061</v>
      </c>
      <c r="S14" s="462">
        <f t="shared" si="0"/>
        <v>100</v>
      </c>
      <c r="T14" s="461" t="s">
        <v>1061</v>
      </c>
      <c r="U14" s="462">
        <f t="shared" si="1"/>
        <v>100</v>
      </c>
      <c r="V14" s="461" t="s">
        <v>1061</v>
      </c>
      <c r="W14" s="462">
        <f t="shared" si="2"/>
        <v>100</v>
      </c>
      <c r="X14" s="463"/>
      <c r="Y14" s="3804"/>
      <c r="Z14" s="481">
        <f t="shared" si="7"/>
        <v>111</v>
      </c>
      <c r="AA14" s="480">
        <f t="shared" si="3"/>
        <v>1</v>
      </c>
      <c r="AB14" s="480">
        <f t="shared" si="4"/>
        <v>1</v>
      </c>
      <c r="AC14" s="480">
        <f t="shared" si="5"/>
        <v>1</v>
      </c>
    </row>
    <row r="15" spans="1:29" ht="71.25">
      <c r="A15" s="257" t="s">
        <v>1071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2" t="s">
        <v>1072</v>
      </c>
      <c r="Q15" s="395" t="str">
        <f t="shared" si="6"/>
        <v>商业繁华度</v>
      </c>
      <c r="R15" s="465" t="s">
        <v>1061</v>
      </c>
      <c r="S15" s="466">
        <f t="shared" si="0"/>
        <v>100</v>
      </c>
      <c r="T15" s="465" t="s">
        <v>1061</v>
      </c>
      <c r="U15" s="466">
        <f t="shared" si="1"/>
        <v>100</v>
      </c>
      <c r="V15" s="465" t="s">
        <v>1061</v>
      </c>
      <c r="W15" s="466">
        <f t="shared" si="2"/>
        <v>100</v>
      </c>
      <c r="X15" s="460"/>
      <c r="Y15" s="3842" t="s">
        <v>1072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3"/>
      <c r="Q17" s="395" t="str">
        <f>B17</f>
        <v>交通便捷度</v>
      </c>
      <c r="R17" s="465" t="s">
        <v>1061</v>
      </c>
      <c r="S17" s="466">
        <f>F17</f>
        <v>100</v>
      </c>
      <c r="T17" s="465" t="s">
        <v>1061</v>
      </c>
      <c r="U17" s="466">
        <f>H17</f>
        <v>100</v>
      </c>
      <c r="V17" s="465" t="s">
        <v>1061</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3"/>
      <c r="Q19" s="395" t="str">
        <f>B19</f>
        <v>公共配套设施</v>
      </c>
      <c r="R19" s="465" t="s">
        <v>1061</v>
      </c>
      <c r="S19" s="466">
        <f>F19</f>
        <v>100</v>
      </c>
      <c r="T19" s="465" t="s">
        <v>1061</v>
      </c>
      <c r="U19" s="466">
        <f>H19</f>
        <v>100</v>
      </c>
      <c r="V19" s="465" t="s">
        <v>1061</v>
      </c>
      <c r="W19" s="466">
        <f>J19</f>
        <v>100</v>
      </c>
      <c r="X19" s="460"/>
      <c r="Y19" s="384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3"/>
      <c r="Q21" s="395" t="str">
        <f>B21</f>
        <v>基础设施水平</v>
      </c>
      <c r="R21" s="465" t="s">
        <v>1061</v>
      </c>
      <c r="S21" s="466">
        <f>F21</f>
        <v>100</v>
      </c>
      <c r="T21" s="465" t="s">
        <v>1061</v>
      </c>
      <c r="U21" s="466">
        <f>H21</f>
        <v>100</v>
      </c>
      <c r="V21" s="465" t="s">
        <v>1061</v>
      </c>
      <c r="W21" s="466">
        <f>J21</f>
        <v>100</v>
      </c>
      <c r="X21" s="460"/>
      <c r="Y21" s="384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3"/>
      <c r="Q22" s="395"/>
      <c r="R22" s="465"/>
      <c r="S22" s="466"/>
      <c r="T22" s="465"/>
      <c r="U22" s="466"/>
      <c r="V22" s="465"/>
      <c r="W22" s="466"/>
      <c r="X22" s="460"/>
      <c r="Y22" s="3843"/>
      <c r="Z22" s="459"/>
      <c r="AA22" s="471">
        <v>1</v>
      </c>
      <c r="AB22" s="471">
        <v>1</v>
      </c>
      <c r="AC22" s="471">
        <v>1</v>
      </c>
    </row>
    <row r="23" spans="1:29" ht="57">
      <c r="A23" s="264"/>
      <c r="B23" s="283" t="s">
        <v>2518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3"/>
      <c r="Q23" s="395" t="str">
        <f>B23</f>
        <v>自然及人文环境</v>
      </c>
      <c r="R23" s="465" t="s">
        <v>1061</v>
      </c>
      <c r="S23" s="466">
        <f>F23</f>
        <v>100</v>
      </c>
      <c r="T23" s="465" t="s">
        <v>1061</v>
      </c>
      <c r="U23" s="466">
        <f>H23</f>
        <v>100</v>
      </c>
      <c r="V23" s="465" t="s">
        <v>1061</v>
      </c>
      <c r="W23" s="466">
        <f>J23</f>
        <v>100</v>
      </c>
      <c r="X23" s="460"/>
      <c r="Y23" s="384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3"/>
      <c r="Q24" s="395"/>
      <c r="R24" s="465"/>
      <c r="S24" s="466"/>
      <c r="T24" s="465"/>
      <c r="U24" s="466"/>
      <c r="V24" s="465"/>
      <c r="W24" s="466"/>
      <c r="X24" s="460"/>
      <c r="Y24" s="3843"/>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3"/>
      <c r="Q25" s="395" t="str">
        <f t="shared" ref="Q25:Q46" si="8">B25</f>
        <v>临街状况</v>
      </c>
      <c r="R25" s="465" t="s">
        <v>1061</v>
      </c>
      <c r="S25" s="466">
        <f>F25</f>
        <v>100</v>
      </c>
      <c r="T25" s="465" t="s">
        <v>1061</v>
      </c>
      <c r="U25" s="466">
        <f>H25</f>
        <v>100</v>
      </c>
      <c r="V25" s="465" t="s">
        <v>1061</v>
      </c>
      <c r="W25" s="466">
        <f>J25</f>
        <v>100</v>
      </c>
      <c r="X25" s="460"/>
      <c r="Y25" s="3843"/>
      <c r="Z25" s="459" t="str">
        <f>Q25</f>
        <v>临街状况</v>
      </c>
      <c r="AA25" s="471">
        <f t="shared" si="3"/>
        <v>1</v>
      </c>
      <c r="AB25" s="471">
        <f t="shared" si="4"/>
        <v>1</v>
      </c>
      <c r="AC25" s="471">
        <f t="shared" si="5"/>
        <v>1</v>
      </c>
    </row>
    <row r="26" spans="1:29" ht="15">
      <c r="A26" s="264"/>
      <c r="B26" s="552" t="s">
        <v>2554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3"/>
      <c r="Q26" s="395" t="str">
        <f t="shared" si="8"/>
        <v>平面位置/可视性</v>
      </c>
      <c r="R26" s="465" t="s">
        <v>1061</v>
      </c>
      <c r="S26" s="466">
        <f>F26</f>
        <v>100</v>
      </c>
      <c r="T26" s="465" t="s">
        <v>1061</v>
      </c>
      <c r="U26" s="466">
        <f>H26</f>
        <v>100</v>
      </c>
      <c r="V26" s="465" t="s">
        <v>1061</v>
      </c>
      <c r="W26" s="466">
        <f>J26</f>
        <v>100</v>
      </c>
      <c r="X26" s="460"/>
      <c r="Y26" s="3843"/>
      <c r="Z26" s="459" t="str">
        <f>Q26</f>
        <v>平面位置/可视性</v>
      </c>
      <c r="AA26" s="471">
        <f t="shared" si="3"/>
        <v>1</v>
      </c>
      <c r="AB26" s="471">
        <f t="shared" si="4"/>
        <v>1</v>
      </c>
      <c r="AC26" s="471">
        <f t="shared" si="5"/>
        <v>1</v>
      </c>
    </row>
    <row r="27" spans="1:29" s="199" customFormat="1" ht="15">
      <c r="A27" s="288"/>
      <c r="B27" s="283" t="s">
        <v>2555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3"/>
      <c r="Q27" s="464" t="str">
        <f t="shared" si="8"/>
        <v>人流量</v>
      </c>
      <c r="R27" s="461" t="s">
        <v>1061</v>
      </c>
      <c r="S27" s="462">
        <f>F27</f>
        <v>100</v>
      </c>
      <c r="T27" s="461" t="s">
        <v>1061</v>
      </c>
      <c r="U27" s="462">
        <f>H27</f>
        <v>100</v>
      </c>
      <c r="V27" s="461" t="s">
        <v>1061</v>
      </c>
      <c r="W27" s="462">
        <f>J27</f>
        <v>100</v>
      </c>
      <c r="X27" s="463"/>
      <c r="Y27" s="3843"/>
      <c r="Z27" s="481" t="str">
        <f>Q27</f>
        <v>人流量</v>
      </c>
      <c r="AA27" s="471">
        <f t="shared" si="3"/>
        <v>1</v>
      </c>
      <c r="AB27" s="471">
        <f t="shared" si="4"/>
        <v>1</v>
      </c>
      <c r="AC27" s="471">
        <f t="shared" si="5"/>
        <v>1</v>
      </c>
    </row>
    <row r="28" spans="1:29" ht="15">
      <c r="A28" s="264"/>
      <c r="B28" s="298" t="s">
        <v>2556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3"/>
      <c r="Q28" s="395" t="str">
        <f t="shared" si="8"/>
        <v>楼层</v>
      </c>
      <c r="R28" s="465" t="s">
        <v>1061</v>
      </c>
      <c r="S28" s="466">
        <f t="shared" ref="S28:S46" si="9">F28</f>
        <v>100</v>
      </c>
      <c r="T28" s="465" t="s">
        <v>1061</v>
      </c>
      <c r="U28" s="466">
        <f t="shared" ref="U28:U46" si="10">H28</f>
        <v>100</v>
      </c>
      <c r="V28" s="465" t="s">
        <v>1061</v>
      </c>
      <c r="W28" s="466">
        <f t="shared" ref="W28:W46" si="11">J28</f>
        <v>100</v>
      </c>
      <c r="X28" s="460"/>
      <c r="Y28" s="3843"/>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3"/>
      <c r="Q29" s="395">
        <f t="shared" si="8"/>
        <v>111</v>
      </c>
      <c r="R29" s="465" t="s">
        <v>1061</v>
      </c>
      <c r="S29" s="466">
        <f t="shared" si="9"/>
        <v>100</v>
      </c>
      <c r="T29" s="465" t="s">
        <v>1061</v>
      </c>
      <c r="U29" s="466">
        <f t="shared" si="10"/>
        <v>100</v>
      </c>
      <c r="V29" s="465" t="s">
        <v>1061</v>
      </c>
      <c r="W29" s="466">
        <f t="shared" si="11"/>
        <v>100</v>
      </c>
      <c r="X29" s="460"/>
      <c r="Y29" s="384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3"/>
      <c r="Q30" s="395">
        <f t="shared" si="8"/>
        <v>111</v>
      </c>
      <c r="R30" s="465" t="s">
        <v>1061</v>
      </c>
      <c r="S30" s="466">
        <f t="shared" si="9"/>
        <v>100</v>
      </c>
      <c r="T30" s="465" t="s">
        <v>1061</v>
      </c>
      <c r="U30" s="466">
        <f t="shared" si="10"/>
        <v>100</v>
      </c>
      <c r="V30" s="465" t="s">
        <v>1061</v>
      </c>
      <c r="W30" s="466">
        <f t="shared" si="11"/>
        <v>100</v>
      </c>
      <c r="X30" s="460"/>
      <c r="Y30" s="3843"/>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3"/>
      <c r="Q31" s="395">
        <f t="shared" si="8"/>
        <v>111</v>
      </c>
      <c r="R31" s="465" t="s">
        <v>1061</v>
      </c>
      <c r="S31" s="466">
        <f t="shared" si="9"/>
        <v>100</v>
      </c>
      <c r="T31" s="465" t="s">
        <v>1061</v>
      </c>
      <c r="U31" s="466">
        <f t="shared" si="10"/>
        <v>100</v>
      </c>
      <c r="V31" s="465" t="s">
        <v>1061</v>
      </c>
      <c r="W31" s="466">
        <f t="shared" si="11"/>
        <v>100</v>
      </c>
      <c r="X31" s="460"/>
      <c r="Y31" s="3843"/>
      <c r="Z31" s="459">
        <f t="shared" si="12"/>
        <v>111</v>
      </c>
      <c r="AA31" s="471">
        <f t="shared" si="3"/>
        <v>1</v>
      </c>
      <c r="AB31" s="471">
        <f t="shared" si="4"/>
        <v>1</v>
      </c>
      <c r="AC31" s="471">
        <f t="shared" si="5"/>
        <v>1</v>
      </c>
    </row>
    <row r="32" spans="1:29" ht="15">
      <c r="A32" s="292" t="s">
        <v>1077</v>
      </c>
      <c r="B32" s="293" t="s">
        <v>2557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4" t="s">
        <v>1076</v>
      </c>
      <c r="Q32" s="395" t="str">
        <f t="shared" si="8"/>
        <v>商业类型</v>
      </c>
      <c r="R32" s="465" t="s">
        <v>1061</v>
      </c>
      <c r="S32" s="466">
        <f t="shared" si="9"/>
        <v>100</v>
      </c>
      <c r="T32" s="465" t="s">
        <v>1061</v>
      </c>
      <c r="U32" s="466">
        <f t="shared" si="10"/>
        <v>100</v>
      </c>
      <c r="V32" s="465" t="s">
        <v>1061</v>
      </c>
      <c r="W32" s="466">
        <f t="shared" si="11"/>
        <v>100</v>
      </c>
      <c r="X32" s="460"/>
      <c r="Y32" s="3845" t="s">
        <v>1076</v>
      </c>
      <c r="Z32" s="459" t="str">
        <f t="shared" si="12"/>
        <v>商业类型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5"/>
      <c r="Q33" s="467" t="str">
        <f t="shared" si="8"/>
        <v>项目建筑规模</v>
      </c>
      <c r="R33" s="468" t="s">
        <v>1061</v>
      </c>
      <c r="S33" s="469" t="e">
        <f t="shared" si="9"/>
        <v>#N/A</v>
      </c>
      <c r="T33" s="468" t="s">
        <v>1061</v>
      </c>
      <c r="U33" s="469" t="e">
        <f t="shared" si="10"/>
        <v>#N/A</v>
      </c>
      <c r="V33" s="468" t="s">
        <v>1061</v>
      </c>
      <c r="W33" s="469" t="e">
        <f t="shared" si="11"/>
        <v>#N/A</v>
      </c>
      <c r="X33" s="470"/>
      <c r="Y33" s="3845"/>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5"/>
      <c r="Q34" s="395" t="str">
        <f t="shared" si="8"/>
        <v>建筑结构</v>
      </c>
      <c r="R34" s="465" t="s">
        <v>1061</v>
      </c>
      <c r="S34" s="466">
        <f t="shared" si="9"/>
        <v>100</v>
      </c>
      <c r="T34" s="465" t="s">
        <v>1061</v>
      </c>
      <c r="U34" s="466">
        <f t="shared" si="10"/>
        <v>100</v>
      </c>
      <c r="V34" s="465" t="s">
        <v>1061</v>
      </c>
      <c r="W34" s="466">
        <f t="shared" si="11"/>
        <v>100</v>
      </c>
      <c r="X34" s="460"/>
      <c r="Y34" s="3845"/>
      <c r="Z34" s="459" t="str">
        <f t="shared" si="12"/>
        <v>建筑结构</v>
      </c>
      <c r="AA34" s="471">
        <f t="shared" si="3"/>
        <v>1</v>
      </c>
      <c r="AB34" s="471">
        <f t="shared" si="4"/>
        <v>1</v>
      </c>
      <c r="AC34" s="471">
        <f t="shared" si="5"/>
        <v>1</v>
      </c>
    </row>
    <row r="35" spans="1:29" ht="15">
      <c r="A35" s="302"/>
      <c r="B35" s="298" t="s">
        <v>2526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5"/>
      <c r="Q35" s="395" t="str">
        <f t="shared" si="8"/>
        <v>公共部分装修</v>
      </c>
      <c r="R35" s="465" t="s">
        <v>1061</v>
      </c>
      <c r="S35" s="466">
        <f t="shared" si="9"/>
        <v>100</v>
      </c>
      <c r="T35" s="465" t="s">
        <v>1061</v>
      </c>
      <c r="U35" s="466">
        <f t="shared" si="10"/>
        <v>100</v>
      </c>
      <c r="V35" s="465" t="s">
        <v>1061</v>
      </c>
      <c r="W35" s="466">
        <f t="shared" si="11"/>
        <v>100</v>
      </c>
      <c r="X35" s="460"/>
      <c r="Y35" s="3845"/>
      <c r="Z35" s="459" t="str">
        <f t="shared" si="12"/>
        <v>公共部分装修</v>
      </c>
      <c r="AA35" s="471">
        <f t="shared" si="3"/>
        <v>1</v>
      </c>
      <c r="AB35" s="471">
        <f t="shared" si="4"/>
        <v>1</v>
      </c>
      <c r="AC35" s="471">
        <f t="shared" si="5"/>
        <v>1</v>
      </c>
    </row>
    <row r="36" spans="1:29" ht="15">
      <c r="A36" s="302"/>
      <c r="B36" s="298" t="s">
        <v>2527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5"/>
      <c r="Q36" s="395" t="str">
        <f t="shared" si="8"/>
        <v>成新度</v>
      </c>
      <c r="R36" s="465" t="s">
        <v>1061</v>
      </c>
      <c r="S36" s="466" t="e">
        <f t="shared" si="9"/>
        <v>#N/A</v>
      </c>
      <c r="T36" s="465" t="s">
        <v>1061</v>
      </c>
      <c r="U36" s="466" t="e">
        <f t="shared" si="10"/>
        <v>#N/A</v>
      </c>
      <c r="V36" s="465" t="s">
        <v>1061</v>
      </c>
      <c r="W36" s="466" t="e">
        <f t="shared" si="11"/>
        <v>#N/A</v>
      </c>
      <c r="X36" s="460"/>
      <c r="Y36" s="3845"/>
      <c r="Z36" s="459" t="str">
        <f t="shared" si="12"/>
        <v>成新度</v>
      </c>
      <c r="AA36" s="471" t="e">
        <f t="shared" si="3"/>
        <v>#N/A</v>
      </c>
      <c r="AB36" s="471" t="e">
        <f t="shared" si="4"/>
        <v>#N/A</v>
      </c>
      <c r="AC36" s="471" t="e">
        <f t="shared" si="5"/>
        <v>#N/A</v>
      </c>
    </row>
    <row r="37" spans="1:29" s="199" customFormat="1" ht="15">
      <c r="A37" s="305"/>
      <c r="B37" s="557" t="s">
        <v>2529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5"/>
      <c r="Q37" s="464" t="str">
        <f t="shared" si="8"/>
        <v>市政基础设施</v>
      </c>
      <c r="R37" s="461" t="s">
        <v>1061</v>
      </c>
      <c r="S37" s="462">
        <f t="shared" si="9"/>
        <v>100</v>
      </c>
      <c r="T37" s="461" t="s">
        <v>1061</v>
      </c>
      <c r="U37" s="462">
        <f t="shared" si="10"/>
        <v>100</v>
      </c>
      <c r="V37" s="461" t="s">
        <v>1061</v>
      </c>
      <c r="W37" s="462">
        <f t="shared" si="11"/>
        <v>100</v>
      </c>
      <c r="X37" s="463"/>
      <c r="Y37" s="3845"/>
      <c r="Z37" s="481" t="str">
        <f t="shared" si="12"/>
        <v>市政基础设施</v>
      </c>
      <c r="AA37" s="480">
        <f t="shared" si="3"/>
        <v>1</v>
      </c>
      <c r="AB37" s="480">
        <f t="shared" si="4"/>
        <v>1</v>
      </c>
      <c r="AC37" s="480">
        <f t="shared" si="5"/>
        <v>1</v>
      </c>
    </row>
    <row r="38" spans="1:29" ht="15">
      <c r="A38" s="302"/>
      <c r="B38" s="298" t="s">
        <v>2558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5" t="s">
        <v>1076</v>
      </c>
      <c r="Q38" s="395" t="str">
        <f t="shared" si="8"/>
        <v>业态</v>
      </c>
      <c r="R38" s="465" t="s">
        <v>1061</v>
      </c>
      <c r="S38" s="466">
        <f t="shared" si="9"/>
        <v>100</v>
      </c>
      <c r="T38" s="465" t="s">
        <v>1061</v>
      </c>
      <c r="U38" s="466">
        <f t="shared" si="10"/>
        <v>100</v>
      </c>
      <c r="V38" s="465" t="s">
        <v>1061</v>
      </c>
      <c r="W38" s="466">
        <f t="shared" si="11"/>
        <v>100</v>
      </c>
      <c r="X38" s="460"/>
      <c r="Y38" s="3845" t="s">
        <v>1076</v>
      </c>
      <c r="Z38" s="459" t="str">
        <f t="shared" si="12"/>
        <v>业态</v>
      </c>
      <c r="AA38" s="471">
        <f t="shared" si="3"/>
        <v>1</v>
      </c>
      <c r="AB38" s="471">
        <f t="shared" si="4"/>
        <v>1</v>
      </c>
      <c r="AC38" s="471">
        <f t="shared" si="5"/>
        <v>1</v>
      </c>
    </row>
    <row r="39" spans="1:29" ht="15">
      <c r="A39" s="302"/>
      <c r="B39" s="298" t="s">
        <v>2559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5"/>
      <c r="Q39" s="395" t="str">
        <f t="shared" si="8"/>
        <v>层高</v>
      </c>
      <c r="R39" s="465" t="s">
        <v>1061</v>
      </c>
      <c r="S39" s="466">
        <f t="shared" si="9"/>
        <v>100</v>
      </c>
      <c r="T39" s="465" t="s">
        <v>1061</v>
      </c>
      <c r="U39" s="466">
        <f t="shared" si="10"/>
        <v>100</v>
      </c>
      <c r="V39" s="465" t="s">
        <v>1061</v>
      </c>
      <c r="W39" s="466">
        <f t="shared" si="11"/>
        <v>100</v>
      </c>
      <c r="X39" s="460"/>
      <c r="Y39" s="3845"/>
      <c r="Z39" s="459" t="str">
        <f t="shared" si="12"/>
        <v>层高</v>
      </c>
      <c r="AA39" s="471">
        <f t="shared" si="3"/>
        <v>1</v>
      </c>
      <c r="AB39" s="471">
        <f t="shared" si="4"/>
        <v>1</v>
      </c>
      <c r="AC39" s="471">
        <f t="shared" si="5"/>
        <v>1</v>
      </c>
    </row>
    <row r="40" spans="1:29" ht="15">
      <c r="A40" s="302"/>
      <c r="B40" s="298" t="s">
        <v>2560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5"/>
      <c r="Q40" s="395" t="str">
        <f t="shared" si="8"/>
        <v>单套建筑面积</v>
      </c>
      <c r="R40" s="465" t="s">
        <v>1061</v>
      </c>
      <c r="S40" s="466">
        <f t="shared" si="9"/>
        <v>100</v>
      </c>
      <c r="T40" s="465" t="s">
        <v>1061</v>
      </c>
      <c r="U40" s="466">
        <f t="shared" si="10"/>
        <v>100</v>
      </c>
      <c r="V40" s="465" t="s">
        <v>1061</v>
      </c>
      <c r="W40" s="466">
        <f t="shared" si="11"/>
        <v>100</v>
      </c>
      <c r="X40" s="460"/>
      <c r="Y40" s="3845"/>
      <c r="Z40" s="459" t="str">
        <f t="shared" si="12"/>
        <v>单套建筑面积</v>
      </c>
      <c r="AA40" s="471">
        <f t="shared" si="3"/>
        <v>1</v>
      </c>
      <c r="AB40" s="471">
        <f t="shared" si="4"/>
        <v>1</v>
      </c>
      <c r="AC40" s="471">
        <f t="shared" si="5"/>
        <v>1</v>
      </c>
    </row>
    <row r="41" spans="1:29" s="201" customFormat="1" ht="15">
      <c r="A41" s="297"/>
      <c r="B41" s="413" t="s">
        <v>2561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5"/>
      <c r="Q41" s="467" t="str">
        <f t="shared" si="8"/>
        <v>进深比</v>
      </c>
      <c r="R41" s="468" t="s">
        <v>1061</v>
      </c>
      <c r="S41" s="469">
        <f t="shared" si="9"/>
        <v>100</v>
      </c>
      <c r="T41" s="468" t="s">
        <v>1061</v>
      </c>
      <c r="U41" s="469">
        <f t="shared" si="10"/>
        <v>100</v>
      </c>
      <c r="V41" s="468" t="s">
        <v>1061</v>
      </c>
      <c r="W41" s="469">
        <f t="shared" si="11"/>
        <v>100</v>
      </c>
      <c r="X41" s="470"/>
      <c r="Y41" s="3845"/>
      <c r="Z41" s="482" t="str">
        <f t="shared" si="12"/>
        <v>进深比</v>
      </c>
      <c r="AA41" s="471">
        <f t="shared" si="3"/>
        <v>1</v>
      </c>
      <c r="AB41" s="471">
        <f t="shared" si="4"/>
        <v>1</v>
      </c>
      <c r="AC41" s="471">
        <f t="shared" si="5"/>
        <v>1</v>
      </c>
    </row>
    <row r="42" spans="1:29" ht="15">
      <c r="A42" s="302"/>
      <c r="B42" s="298" t="s">
        <v>2532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5"/>
      <c r="Q42" s="395" t="str">
        <f t="shared" si="8"/>
        <v>内部装修</v>
      </c>
      <c r="R42" s="465" t="s">
        <v>1061</v>
      </c>
      <c r="S42" s="466">
        <f t="shared" si="9"/>
        <v>100</v>
      </c>
      <c r="T42" s="465" t="s">
        <v>1061</v>
      </c>
      <c r="U42" s="466">
        <f t="shared" si="10"/>
        <v>100</v>
      </c>
      <c r="V42" s="465" t="s">
        <v>1061</v>
      </c>
      <c r="W42" s="466">
        <f t="shared" si="11"/>
        <v>100</v>
      </c>
      <c r="X42" s="460"/>
      <c r="Y42" s="3845"/>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5"/>
      <c r="Q43" s="395" t="str">
        <f t="shared" si="8"/>
        <v>内部装修维护情况</v>
      </c>
      <c r="R43" s="465" t="s">
        <v>1061</v>
      </c>
      <c r="S43" s="466">
        <f t="shared" si="9"/>
        <v>100</v>
      </c>
      <c r="T43" s="465" t="s">
        <v>1061</v>
      </c>
      <c r="U43" s="466">
        <f t="shared" si="10"/>
        <v>100</v>
      </c>
      <c r="V43" s="465" t="s">
        <v>1061</v>
      </c>
      <c r="W43" s="466">
        <f t="shared" si="11"/>
        <v>100</v>
      </c>
      <c r="X43" s="460"/>
      <c r="Y43" s="384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5"/>
      <c r="Q44" s="464">
        <f t="shared" si="8"/>
        <v>111</v>
      </c>
      <c r="R44" s="461" t="s">
        <v>1061</v>
      </c>
      <c r="S44" s="462">
        <f t="shared" si="9"/>
        <v>100</v>
      </c>
      <c r="T44" s="461" t="s">
        <v>1061</v>
      </c>
      <c r="U44" s="462">
        <f t="shared" si="10"/>
        <v>100</v>
      </c>
      <c r="V44" s="461" t="s">
        <v>1061</v>
      </c>
      <c r="W44" s="462">
        <f t="shared" si="11"/>
        <v>100</v>
      </c>
      <c r="X44" s="463"/>
      <c r="Y44" s="384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5"/>
      <c r="Q45" s="395">
        <f t="shared" si="8"/>
        <v>111</v>
      </c>
      <c r="R45" s="465" t="s">
        <v>1061</v>
      </c>
      <c r="S45" s="466">
        <f t="shared" si="9"/>
        <v>100</v>
      </c>
      <c r="T45" s="465" t="s">
        <v>1061</v>
      </c>
      <c r="U45" s="466">
        <f t="shared" si="10"/>
        <v>100</v>
      </c>
      <c r="V45" s="465" t="s">
        <v>1061</v>
      </c>
      <c r="W45" s="466">
        <f t="shared" si="11"/>
        <v>100</v>
      </c>
      <c r="X45" s="460"/>
      <c r="Y45" s="3845"/>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3"/>
      <c r="Q46" s="395">
        <f t="shared" si="8"/>
        <v>111</v>
      </c>
      <c r="R46" s="465" t="s">
        <v>1061</v>
      </c>
      <c r="S46" s="466">
        <f t="shared" si="9"/>
        <v>100</v>
      </c>
      <c r="T46" s="465" t="s">
        <v>1061</v>
      </c>
      <c r="U46" s="466">
        <f t="shared" si="10"/>
        <v>100</v>
      </c>
      <c r="V46" s="465" t="s">
        <v>1061</v>
      </c>
      <c r="W46" s="466">
        <f t="shared" si="11"/>
        <v>100</v>
      </c>
      <c r="X46" s="460"/>
      <c r="Y46" s="3953"/>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409"/>
      <c r="L47" s="410"/>
      <c r="M47" s="340"/>
      <c r="N47" s="390"/>
      <c r="O47" s="340"/>
      <c r="P47" s="3836" t="str">
        <f>A47</f>
        <v>成交单价（元/平方米）</v>
      </c>
      <c r="Q47" s="3836"/>
      <c r="R47" s="3951">
        <f>E47</f>
        <v>0</v>
      </c>
      <c r="S47" s="3951"/>
      <c r="T47" s="3951">
        <f>G47</f>
        <v>0</v>
      </c>
      <c r="U47" s="3951"/>
      <c r="V47" s="3951">
        <f>I47</f>
        <v>0</v>
      </c>
      <c r="W47" s="3951"/>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90"/>
      <c r="O48" s="340"/>
      <c r="P48" s="3836" t="str">
        <f>A48</f>
        <v>比较价格（元/平方米）</v>
      </c>
      <c r="Q48" s="3836"/>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1087</v>
      </c>
      <c r="B49" s="327"/>
      <c r="C49" s="328" t="e">
        <f>R49</f>
        <v>#DIV/0!</v>
      </c>
      <c r="D49" s="328"/>
      <c r="E49" s="328"/>
      <c r="F49" s="328"/>
      <c r="G49" s="328"/>
      <c r="H49" s="328"/>
      <c r="I49" s="328"/>
      <c r="J49" s="328"/>
      <c r="K49" s="412"/>
      <c r="L49" s="410"/>
      <c r="M49" s="340"/>
      <c r="N49" s="390"/>
      <c r="O49" s="340"/>
      <c r="P49" s="3839" t="str">
        <f>A49</f>
        <v>估价对象XX用房的比较价格（楼面单价，元/平方米）</v>
      </c>
      <c r="Q49" s="3840"/>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7"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2557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93.75">
      <c r="A7" s="3604" t="s">
        <v>95</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2563</v>
      </c>
      <c r="C1" s="209" t="s">
        <v>2515</v>
      </c>
      <c r="D1" s="210"/>
      <c r="E1" s="211"/>
      <c r="F1" s="212"/>
      <c r="G1" s="213" t="s">
        <v>2516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2237</v>
      </c>
      <c r="B3" s="220" t="e">
        <f>C50</f>
        <v>#DIV/0!</v>
      </c>
      <c r="C3" s="221" t="s">
        <v>2517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1046</v>
      </c>
      <c r="B4" s="224"/>
      <c r="C4" s="3825" t="s">
        <v>1047</v>
      </c>
      <c r="D4" s="3826"/>
      <c r="E4" s="3865" t="s">
        <v>1048</v>
      </c>
      <c r="F4" s="3866"/>
      <c r="G4" s="3825" t="s">
        <v>1049</v>
      </c>
      <c r="H4" s="3826"/>
      <c r="I4" s="3825" t="s">
        <v>1050</v>
      </c>
      <c r="J4" s="3826"/>
      <c r="K4" s="388" t="s">
        <v>1051</v>
      </c>
      <c r="L4" s="389"/>
      <c r="M4" s="390"/>
      <c r="N4" s="390"/>
      <c r="O4" s="390"/>
      <c r="P4" s="3955" t="s">
        <v>1052</v>
      </c>
      <c r="Q4" s="3850"/>
      <c r="R4" s="3855" t="s">
        <v>1048</v>
      </c>
      <c r="S4" s="3856"/>
      <c r="T4" s="3855" t="s">
        <v>1049</v>
      </c>
      <c r="U4" s="3856"/>
      <c r="V4" s="3837" t="s">
        <v>1050</v>
      </c>
      <c r="W4" s="3837"/>
      <c r="X4" s="460"/>
      <c r="Y4" s="3855" t="s">
        <v>1052</v>
      </c>
      <c r="Z4" s="3856"/>
      <c r="AA4" s="3846" t="s">
        <v>1048</v>
      </c>
      <c r="AB4" s="3846" t="s">
        <v>1049</v>
      </c>
      <c r="AC4" s="3846" t="s">
        <v>1050</v>
      </c>
    </row>
    <row r="5" spans="1:29" ht="15">
      <c r="A5" s="225"/>
      <c r="B5" s="226"/>
      <c r="C5" s="3827" t="s">
        <v>1053</v>
      </c>
      <c r="D5" s="3828"/>
      <c r="E5" s="3867" t="s">
        <v>1054</v>
      </c>
      <c r="F5" s="3868"/>
      <c r="G5" s="3827" t="s">
        <v>1055</v>
      </c>
      <c r="H5" s="3828"/>
      <c r="I5" s="3827" t="s">
        <v>1056</v>
      </c>
      <c r="J5" s="3828"/>
      <c r="K5" s="388"/>
      <c r="L5" s="389"/>
      <c r="M5" s="390"/>
      <c r="N5" s="390"/>
      <c r="O5" s="390"/>
      <c r="P5" s="3956"/>
      <c r="Q5" s="3852"/>
      <c r="R5" s="3857"/>
      <c r="S5" s="3858"/>
      <c r="T5" s="3857"/>
      <c r="U5" s="3858"/>
      <c r="V5" s="3837"/>
      <c r="W5" s="3837"/>
      <c r="X5" s="460"/>
      <c r="Y5" s="3857"/>
      <c r="Z5" s="3858"/>
      <c r="AA5" s="3847"/>
      <c r="AB5" s="3847"/>
      <c r="AC5" s="3847"/>
    </row>
    <row r="6" spans="1:29" ht="15">
      <c r="A6" s="227"/>
      <c r="B6" s="228"/>
      <c r="C6" s="3831" t="s">
        <v>1057</v>
      </c>
      <c r="D6" s="3832"/>
      <c r="E6" s="3869" t="s">
        <v>1057</v>
      </c>
      <c r="F6" s="3870"/>
      <c r="G6" s="3831" t="s">
        <v>1057</v>
      </c>
      <c r="H6" s="3832"/>
      <c r="I6" s="3831" t="s">
        <v>1057</v>
      </c>
      <c r="J6" s="3832"/>
      <c r="K6" s="388" t="s">
        <v>1058</v>
      </c>
      <c r="L6" s="389"/>
      <c r="M6" s="390"/>
      <c r="N6" s="390"/>
      <c r="O6" s="390"/>
      <c r="P6" s="3957"/>
      <c r="Q6" s="3854"/>
      <c r="R6" s="3857"/>
      <c r="S6" s="3858"/>
      <c r="T6" s="3859"/>
      <c r="U6" s="3860"/>
      <c r="V6" s="3837"/>
      <c r="W6" s="3837"/>
      <c r="X6" s="460"/>
      <c r="Y6" s="3859"/>
      <c r="Z6" s="3860"/>
      <c r="AA6" s="3848"/>
      <c r="AB6" s="3848"/>
      <c r="AC6" s="3848"/>
    </row>
    <row r="7" spans="1:29" s="199" customFormat="1" ht="15">
      <c r="A7" s="229"/>
      <c r="B7" s="230" t="s">
        <v>1059</v>
      </c>
      <c r="C7" s="231">
        <f>'数据-取费表'!B2</f>
        <v>45257</v>
      </c>
      <c r="D7" s="232">
        <v>100</v>
      </c>
      <c r="E7" s="233"/>
      <c r="F7" s="234">
        <f>SUMIF(59:59,YEAR(E7)&amp;"-"&amp;MONTH(E7),60:60)</f>
        <v>0</v>
      </c>
      <c r="G7" s="233"/>
      <c r="H7" s="232">
        <f>SUMIF(59:59,YEAR(G7)&amp;"-"&amp;MONTH(G7),60:60)</f>
        <v>0</v>
      </c>
      <c r="I7" s="233"/>
      <c r="J7" s="232">
        <f>SUMIF(59:59,YEAR(I7)&amp;"-"&amp;MONTH(I7),60:60)</f>
        <v>0</v>
      </c>
      <c r="K7" s="391"/>
      <c r="L7" s="392"/>
      <c r="M7" s="393"/>
      <c r="N7" s="393"/>
      <c r="O7" s="393"/>
      <c r="P7" s="3834" t="s">
        <v>1060</v>
      </c>
      <c r="Q7" s="3834"/>
      <c r="R7" s="461" t="s">
        <v>1061</v>
      </c>
      <c r="S7" s="462">
        <f t="shared" ref="S7:S15" si="0">F7</f>
        <v>0</v>
      </c>
      <c r="T7" s="461" t="s">
        <v>1061</v>
      </c>
      <c r="U7" s="462">
        <f t="shared" ref="U7:U15" si="1">H7</f>
        <v>0</v>
      </c>
      <c r="V7" s="461" t="s">
        <v>1061</v>
      </c>
      <c r="W7" s="462">
        <f t="shared" ref="W7:W15"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4" t="s">
        <v>1064</v>
      </c>
      <c r="Q8" s="3835"/>
      <c r="R8" s="461" t="s">
        <v>1061</v>
      </c>
      <c r="S8" s="462">
        <f t="shared" si="0"/>
        <v>0</v>
      </c>
      <c r="T8" s="461" t="s">
        <v>1061</v>
      </c>
      <c r="U8" s="462">
        <f t="shared" si="1"/>
        <v>0</v>
      </c>
      <c r="V8" s="461" t="s">
        <v>1061</v>
      </c>
      <c r="W8" s="462">
        <f t="shared" si="2"/>
        <v>0</v>
      </c>
      <c r="X8" s="463"/>
      <c r="Y8" s="3833" t="s">
        <v>1064</v>
      </c>
      <c r="Z8" s="3835"/>
      <c r="AA8" s="480" t="e">
        <f t="shared" ref="AA8:AA47" si="3">D8/F8</f>
        <v>#DIV/0!</v>
      </c>
      <c r="AB8" s="480" t="e">
        <f t="shared" ref="AB8:AB47" si="4">D8/H8</f>
        <v>#DIV/0!</v>
      </c>
      <c r="AC8" s="480" t="e">
        <f t="shared" ref="AC8:AC47" si="5">D8/J8</f>
        <v>#DIV/0!</v>
      </c>
    </row>
    <row r="9" spans="1:29" s="199" customFormat="1" ht="15">
      <c r="A9" s="239"/>
      <c r="B9" s="240" t="s">
        <v>1065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6" t="s">
        <v>1066</v>
      </c>
      <c r="Q9" s="464" t="str">
        <f t="shared" ref="Q9:Q15" si="6">B9</f>
        <v>用途</v>
      </c>
      <c r="R9" s="461" t="s">
        <v>1061</v>
      </c>
      <c r="S9" s="462">
        <f t="shared" si="0"/>
        <v>100</v>
      </c>
      <c r="T9" s="461" t="s">
        <v>1061</v>
      </c>
      <c r="U9" s="462">
        <f t="shared" si="1"/>
        <v>100</v>
      </c>
      <c r="V9" s="461" t="s">
        <v>1061</v>
      </c>
      <c r="W9" s="462">
        <f t="shared" si="2"/>
        <v>100</v>
      </c>
      <c r="X9" s="463"/>
      <c r="Y9" s="3804"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6"/>
      <c r="Q11" s="464" t="str">
        <f t="shared" si="6"/>
        <v>容积率</v>
      </c>
      <c r="R11" s="461" t="s">
        <v>1061</v>
      </c>
      <c r="S11" s="462" t="e">
        <f t="shared" si="0"/>
        <v>#N/A</v>
      </c>
      <c r="T11" s="461" t="s">
        <v>1061</v>
      </c>
      <c r="U11" s="462" t="e">
        <f t="shared" si="1"/>
        <v>#N/A</v>
      </c>
      <c r="V11" s="461" t="s">
        <v>1061</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6"/>
      <c r="Q14" s="464">
        <f t="shared" si="6"/>
        <v>111</v>
      </c>
      <c r="R14" s="461" t="s">
        <v>1061</v>
      </c>
      <c r="S14" s="462">
        <f t="shared" si="0"/>
        <v>100</v>
      </c>
      <c r="T14" s="461" t="s">
        <v>1061</v>
      </c>
      <c r="U14" s="462">
        <f t="shared" si="1"/>
        <v>100</v>
      </c>
      <c r="V14" s="461" t="s">
        <v>1061</v>
      </c>
      <c r="W14" s="462">
        <f t="shared" si="2"/>
        <v>100</v>
      </c>
      <c r="X14" s="463"/>
      <c r="Y14" s="3804"/>
      <c r="Z14" s="481">
        <f t="shared" si="7"/>
        <v>111</v>
      </c>
      <c r="AA14" s="480">
        <f t="shared" si="3"/>
        <v>1</v>
      </c>
      <c r="AB14" s="480">
        <f t="shared" si="4"/>
        <v>1</v>
      </c>
      <c r="AC14" s="480">
        <f t="shared" si="5"/>
        <v>1</v>
      </c>
    </row>
    <row r="15" spans="1:29" ht="71.25">
      <c r="A15" s="257" t="s">
        <v>1071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2" t="s">
        <v>1072</v>
      </c>
      <c r="Q15" s="395" t="str">
        <f t="shared" si="6"/>
        <v>办公集聚程度</v>
      </c>
      <c r="R15" s="465" t="s">
        <v>1061</v>
      </c>
      <c r="S15" s="466">
        <f t="shared" si="0"/>
        <v>100</v>
      </c>
      <c r="T15" s="465" t="s">
        <v>1061</v>
      </c>
      <c r="U15" s="466">
        <f t="shared" si="1"/>
        <v>100</v>
      </c>
      <c r="V15" s="465" t="s">
        <v>1061</v>
      </c>
      <c r="W15" s="466">
        <f t="shared" si="2"/>
        <v>100</v>
      </c>
      <c r="X15" s="460"/>
      <c r="Y15" s="3842" t="s">
        <v>1072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3"/>
      <c r="Q16" s="395"/>
      <c r="R16" s="465"/>
      <c r="S16" s="466"/>
      <c r="T16" s="465"/>
      <c r="U16" s="466"/>
      <c r="V16" s="465"/>
      <c r="W16" s="466"/>
      <c r="X16" s="460"/>
      <c r="Y16" s="3843"/>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3"/>
      <c r="Q17" s="395" t="str">
        <f>B17</f>
        <v>交通便捷度</v>
      </c>
      <c r="R17" s="465" t="s">
        <v>1061</v>
      </c>
      <c r="S17" s="466">
        <f>F17</f>
        <v>100</v>
      </c>
      <c r="T17" s="465" t="s">
        <v>1061</v>
      </c>
      <c r="U17" s="466">
        <f>H17</f>
        <v>100</v>
      </c>
      <c r="V17" s="465" t="s">
        <v>1061</v>
      </c>
      <c r="W17" s="466">
        <f>J17</f>
        <v>100</v>
      </c>
      <c r="X17" s="460"/>
      <c r="Y17" s="3843"/>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3"/>
      <c r="Q18" s="395"/>
      <c r="R18" s="465"/>
      <c r="S18" s="466"/>
      <c r="T18" s="465"/>
      <c r="U18" s="466"/>
      <c r="V18" s="465"/>
      <c r="W18" s="466"/>
      <c r="X18" s="460"/>
      <c r="Y18" s="3843"/>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3"/>
      <c r="Q19" s="395" t="str">
        <f>B19</f>
        <v>公共配套设施</v>
      </c>
      <c r="R19" s="465" t="s">
        <v>1061</v>
      </c>
      <c r="S19" s="466">
        <f>F19</f>
        <v>100</v>
      </c>
      <c r="T19" s="465" t="s">
        <v>1061</v>
      </c>
      <c r="U19" s="466">
        <f>H19</f>
        <v>100</v>
      </c>
      <c r="V19" s="465" t="s">
        <v>1061</v>
      </c>
      <c r="W19" s="466">
        <f>J19</f>
        <v>100</v>
      </c>
      <c r="X19" s="460"/>
      <c r="Y19" s="3843"/>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3"/>
      <c r="Q20" s="395"/>
      <c r="R20" s="465"/>
      <c r="S20" s="466"/>
      <c r="T20" s="465"/>
      <c r="U20" s="466"/>
      <c r="V20" s="465"/>
      <c r="W20" s="466"/>
      <c r="X20" s="460"/>
      <c r="Y20" s="3843"/>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3"/>
      <c r="Q21" s="395" t="str">
        <f>B21</f>
        <v>基础设施水平</v>
      </c>
      <c r="R21" s="465" t="s">
        <v>1061</v>
      </c>
      <c r="S21" s="466">
        <f>F21</f>
        <v>100</v>
      </c>
      <c r="T21" s="465" t="s">
        <v>1061</v>
      </c>
      <c r="U21" s="466">
        <f>H21</f>
        <v>100</v>
      </c>
      <c r="V21" s="465" t="s">
        <v>1061</v>
      </c>
      <c r="W21" s="466">
        <f>J21</f>
        <v>100</v>
      </c>
      <c r="X21" s="460"/>
      <c r="Y21" s="3843"/>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3"/>
      <c r="Q22" s="395"/>
      <c r="R22" s="465"/>
      <c r="S22" s="466"/>
      <c r="T22" s="465"/>
      <c r="U22" s="466"/>
      <c r="V22" s="465"/>
      <c r="W22" s="466"/>
      <c r="X22" s="460"/>
      <c r="Y22" s="3843"/>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3"/>
      <c r="Q23" s="395" t="str">
        <f>B23</f>
        <v>环境质量</v>
      </c>
      <c r="R23" s="465" t="s">
        <v>1061</v>
      </c>
      <c r="S23" s="466">
        <f>F23</f>
        <v>100</v>
      </c>
      <c r="T23" s="465" t="s">
        <v>1061</v>
      </c>
      <c r="U23" s="466">
        <f>H23</f>
        <v>100</v>
      </c>
      <c r="V23" s="465" t="s">
        <v>1061</v>
      </c>
      <c r="W23" s="466">
        <f>J23</f>
        <v>100</v>
      </c>
      <c r="X23" s="460"/>
      <c r="Y23" s="3843"/>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3"/>
      <c r="Q24" s="395"/>
      <c r="R24" s="465"/>
      <c r="S24" s="466"/>
      <c r="T24" s="465"/>
      <c r="U24" s="466"/>
      <c r="V24" s="465"/>
      <c r="W24" s="466"/>
      <c r="X24" s="460"/>
      <c r="Y24" s="3843"/>
      <c r="Z24" s="459"/>
      <c r="AA24" s="471">
        <v>1</v>
      </c>
      <c r="AB24" s="471">
        <v>1</v>
      </c>
      <c r="AC24" s="471">
        <v>1</v>
      </c>
    </row>
    <row r="25" spans="1:29" ht="27">
      <c r="A25" s="225"/>
      <c r="B25" s="513" t="s">
        <v>1074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3"/>
      <c r="Q25" s="395" t="str">
        <f>B25</f>
        <v>毗邻道路的类型与等级</v>
      </c>
      <c r="R25" s="465" t="s">
        <v>1061</v>
      </c>
      <c r="S25" s="466">
        <f>F25</f>
        <v>100</v>
      </c>
      <c r="T25" s="465" t="s">
        <v>1061</v>
      </c>
      <c r="U25" s="466">
        <f>H25</f>
        <v>100</v>
      </c>
      <c r="V25" s="465" t="s">
        <v>1061</v>
      </c>
      <c r="W25" s="466">
        <f>J25</f>
        <v>100</v>
      </c>
      <c r="X25" s="460"/>
      <c r="Y25" s="3843"/>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3"/>
      <c r="Q26" s="395"/>
      <c r="R26" s="465"/>
      <c r="S26" s="466"/>
      <c r="T26" s="465"/>
      <c r="U26" s="466"/>
      <c r="V26" s="465"/>
      <c r="W26" s="466"/>
      <c r="X26" s="460"/>
      <c r="Y26" s="3843"/>
      <c r="Z26" s="459"/>
      <c r="AA26" s="471">
        <v>1</v>
      </c>
      <c r="AB26" s="471">
        <v>1</v>
      </c>
      <c r="AC26" s="471">
        <v>1</v>
      </c>
    </row>
    <row r="27" spans="1:29" ht="15">
      <c r="A27" s="264"/>
      <c r="B27" s="276" t="s">
        <v>2556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3"/>
      <c r="Q27" s="395" t="str">
        <f t="shared" ref="Q27:Q47" si="8">B27</f>
        <v>楼层</v>
      </c>
      <c r="R27" s="465" t="s">
        <v>1061</v>
      </c>
      <c r="S27" s="466">
        <f>F27</f>
        <v>100</v>
      </c>
      <c r="T27" s="465" t="s">
        <v>1061</v>
      </c>
      <c r="U27" s="466">
        <f>H27</f>
        <v>100</v>
      </c>
      <c r="V27" s="465" t="s">
        <v>1061</v>
      </c>
      <c r="W27" s="466">
        <f>J27</f>
        <v>100</v>
      </c>
      <c r="X27" s="460"/>
      <c r="Y27" s="3843"/>
      <c r="Z27" s="459" t="str">
        <f>Q27</f>
        <v>楼层</v>
      </c>
      <c r="AA27" s="471">
        <f t="shared" si="3"/>
        <v>1</v>
      </c>
      <c r="AB27" s="471">
        <f t="shared" si="4"/>
        <v>1</v>
      </c>
      <c r="AC27" s="471">
        <f t="shared" si="5"/>
        <v>1</v>
      </c>
    </row>
    <row r="28" spans="1:29" s="199" customFormat="1" ht="15">
      <c r="A28" s="288"/>
      <c r="B28" s="513" t="s">
        <v>2520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3"/>
      <c r="Q28" s="464" t="str">
        <f t="shared" si="8"/>
        <v>朝向</v>
      </c>
      <c r="R28" s="461" t="s">
        <v>1061</v>
      </c>
      <c r="S28" s="462">
        <f>F28</f>
        <v>100</v>
      </c>
      <c r="T28" s="461" t="s">
        <v>1061</v>
      </c>
      <c r="U28" s="462">
        <f>H28</f>
        <v>100</v>
      </c>
      <c r="V28" s="461" t="s">
        <v>1061</v>
      </c>
      <c r="W28" s="462">
        <f>J28</f>
        <v>100</v>
      </c>
      <c r="X28" s="463"/>
      <c r="Y28" s="3843"/>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3"/>
      <c r="Q29" s="395">
        <f t="shared" si="8"/>
        <v>111</v>
      </c>
      <c r="R29" s="465" t="s">
        <v>1061</v>
      </c>
      <c r="S29" s="466">
        <f t="shared" ref="S29:S47" si="9">F29</f>
        <v>100</v>
      </c>
      <c r="T29" s="465" t="s">
        <v>1061</v>
      </c>
      <c r="U29" s="466">
        <f t="shared" ref="U29:U47" si="10">H29</f>
        <v>100</v>
      </c>
      <c r="V29" s="465" t="s">
        <v>1061</v>
      </c>
      <c r="W29" s="466">
        <f t="shared" ref="W29:W47" si="11">J29</f>
        <v>100</v>
      </c>
      <c r="X29" s="460"/>
      <c r="Y29" s="3843"/>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3"/>
      <c r="Q30" s="395">
        <f t="shared" si="8"/>
        <v>111</v>
      </c>
      <c r="R30" s="465" t="s">
        <v>1061</v>
      </c>
      <c r="S30" s="466">
        <f t="shared" si="9"/>
        <v>100</v>
      </c>
      <c r="T30" s="465" t="s">
        <v>1061</v>
      </c>
      <c r="U30" s="466">
        <f t="shared" si="10"/>
        <v>100</v>
      </c>
      <c r="V30" s="465" t="s">
        <v>1061</v>
      </c>
      <c r="W30" s="466">
        <f t="shared" si="11"/>
        <v>100</v>
      </c>
      <c r="X30" s="460"/>
      <c r="Y30" s="3843"/>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3"/>
      <c r="Q31" s="395">
        <f t="shared" si="8"/>
        <v>111</v>
      </c>
      <c r="R31" s="465" t="s">
        <v>1061</v>
      </c>
      <c r="S31" s="466">
        <f t="shared" si="9"/>
        <v>100</v>
      </c>
      <c r="T31" s="465" t="s">
        <v>1061</v>
      </c>
      <c r="U31" s="466">
        <f t="shared" si="10"/>
        <v>100</v>
      </c>
      <c r="V31" s="465" t="s">
        <v>1061</v>
      </c>
      <c r="W31" s="466">
        <f t="shared" si="11"/>
        <v>100</v>
      </c>
      <c r="X31" s="460"/>
      <c r="Y31" s="3843"/>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3"/>
      <c r="Q32" s="395">
        <f t="shared" si="8"/>
        <v>111</v>
      </c>
      <c r="R32" s="465" t="s">
        <v>1061</v>
      </c>
      <c r="S32" s="466">
        <f t="shared" si="9"/>
        <v>100</v>
      </c>
      <c r="T32" s="465" t="s">
        <v>1061</v>
      </c>
      <c r="U32" s="466">
        <f t="shared" si="10"/>
        <v>100</v>
      </c>
      <c r="V32" s="465" t="s">
        <v>1061</v>
      </c>
      <c r="W32" s="466">
        <f t="shared" si="11"/>
        <v>100</v>
      </c>
      <c r="X32" s="460"/>
      <c r="Y32" s="3843"/>
      <c r="Z32" s="459">
        <f t="shared" si="12"/>
        <v>111</v>
      </c>
      <c r="AA32" s="471">
        <f t="shared" si="3"/>
        <v>1</v>
      </c>
      <c r="AB32" s="471">
        <f t="shared" si="4"/>
        <v>1</v>
      </c>
      <c r="AC32" s="471">
        <f t="shared" si="5"/>
        <v>1</v>
      </c>
    </row>
    <row r="33" spans="1:29" ht="15">
      <c r="A33" s="292" t="s">
        <v>1077</v>
      </c>
      <c r="B33" s="293" t="s">
        <v>2522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4" t="s">
        <v>1076</v>
      </c>
      <c r="Q33" s="395" t="str">
        <f t="shared" si="8"/>
        <v>建筑类型</v>
      </c>
      <c r="R33" s="465" t="s">
        <v>1061</v>
      </c>
      <c r="S33" s="466">
        <f t="shared" si="9"/>
        <v>100</v>
      </c>
      <c r="T33" s="465" t="s">
        <v>1061</v>
      </c>
      <c r="U33" s="466">
        <f t="shared" si="10"/>
        <v>100</v>
      </c>
      <c r="V33" s="465" t="s">
        <v>1061</v>
      </c>
      <c r="W33" s="466">
        <f t="shared" si="11"/>
        <v>100</v>
      </c>
      <c r="X33" s="460"/>
      <c r="Y33" s="3845" t="s">
        <v>1076</v>
      </c>
      <c r="Z33" s="459" t="str">
        <f t="shared" si="12"/>
        <v>建筑类型</v>
      </c>
      <c r="AA33" s="471">
        <f t="shared" si="3"/>
        <v>1</v>
      </c>
      <c r="AB33" s="471">
        <f t="shared" si="4"/>
        <v>1</v>
      </c>
      <c r="AC33" s="471">
        <f t="shared" si="5"/>
        <v>1</v>
      </c>
    </row>
    <row r="34" spans="1:29" s="201" customFormat="1" ht="15">
      <c r="A34" s="297"/>
      <c r="B34" s="298" t="s">
        <v>2523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5"/>
      <c r="Q34" s="467" t="str">
        <f t="shared" si="8"/>
        <v>项目建筑规模</v>
      </c>
      <c r="R34" s="468" t="s">
        <v>1061</v>
      </c>
      <c r="S34" s="469" t="e">
        <f t="shared" si="9"/>
        <v>#N/A</v>
      </c>
      <c r="T34" s="468" t="s">
        <v>1061</v>
      </c>
      <c r="U34" s="469" t="e">
        <f t="shared" si="10"/>
        <v>#N/A</v>
      </c>
      <c r="V34" s="468" t="s">
        <v>1061</v>
      </c>
      <c r="W34" s="469" t="e">
        <f t="shared" si="11"/>
        <v>#N/A</v>
      </c>
      <c r="X34" s="470"/>
      <c r="Y34" s="3845"/>
      <c r="Z34" s="482" t="str">
        <f t="shared" si="12"/>
        <v>项目建筑规模</v>
      </c>
      <c r="AA34" s="471" t="e">
        <f t="shared" si="3"/>
        <v>#N/A</v>
      </c>
      <c r="AB34" s="471" t="e">
        <f t="shared" si="4"/>
        <v>#N/A</v>
      </c>
      <c r="AC34" s="471" t="e">
        <f t="shared" si="5"/>
        <v>#N/A</v>
      </c>
    </row>
    <row r="35" spans="1:29" ht="15">
      <c r="A35" s="302"/>
      <c r="B35" s="298" t="s">
        <v>2524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5"/>
      <c r="Q35" s="395" t="str">
        <f t="shared" si="8"/>
        <v>建筑结构</v>
      </c>
      <c r="R35" s="465" t="s">
        <v>1061</v>
      </c>
      <c r="S35" s="466">
        <f t="shared" si="9"/>
        <v>100</v>
      </c>
      <c r="T35" s="465" t="s">
        <v>1061</v>
      </c>
      <c r="U35" s="466">
        <f t="shared" si="10"/>
        <v>100</v>
      </c>
      <c r="V35" s="465" t="s">
        <v>1061</v>
      </c>
      <c r="W35" s="466">
        <f t="shared" si="11"/>
        <v>100</v>
      </c>
      <c r="X35" s="460"/>
      <c r="Y35" s="3845"/>
      <c r="Z35" s="459" t="str">
        <f t="shared" si="12"/>
        <v>建筑结构</v>
      </c>
      <c r="AA35" s="471">
        <f t="shared" si="3"/>
        <v>1</v>
      </c>
      <c r="AB35" s="471">
        <f t="shared" si="4"/>
        <v>1</v>
      </c>
      <c r="AC35" s="471">
        <f t="shared" si="5"/>
        <v>1</v>
      </c>
    </row>
    <row r="36" spans="1:29" ht="15">
      <c r="A36" s="302"/>
      <c r="B36" s="298" t="s">
        <v>2526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5"/>
      <c r="Q36" s="395" t="str">
        <f t="shared" si="8"/>
        <v>公共部分装修</v>
      </c>
      <c r="R36" s="465" t="s">
        <v>1061</v>
      </c>
      <c r="S36" s="466">
        <f t="shared" si="9"/>
        <v>100</v>
      </c>
      <c r="T36" s="465" t="s">
        <v>1061</v>
      </c>
      <c r="U36" s="466">
        <f t="shared" si="10"/>
        <v>100</v>
      </c>
      <c r="V36" s="465" t="s">
        <v>1061</v>
      </c>
      <c r="W36" s="466">
        <f t="shared" si="11"/>
        <v>100</v>
      </c>
      <c r="X36" s="460"/>
      <c r="Y36" s="3845"/>
      <c r="Z36" s="459" t="str">
        <f t="shared" si="12"/>
        <v>公共部分装修</v>
      </c>
      <c r="AA36" s="471">
        <f t="shared" si="3"/>
        <v>1</v>
      </c>
      <c r="AB36" s="471">
        <f t="shared" si="4"/>
        <v>1</v>
      </c>
      <c r="AC36" s="471">
        <f t="shared" si="5"/>
        <v>1</v>
      </c>
    </row>
    <row r="37" spans="1:29" ht="15">
      <c r="A37" s="302"/>
      <c r="B37" s="298" t="s">
        <v>2527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5"/>
      <c r="Q37" s="395" t="str">
        <f t="shared" si="8"/>
        <v>成新度</v>
      </c>
      <c r="R37" s="465" t="s">
        <v>1061</v>
      </c>
      <c r="S37" s="466" t="e">
        <f t="shared" si="9"/>
        <v>#N/A</v>
      </c>
      <c r="T37" s="465" t="s">
        <v>1061</v>
      </c>
      <c r="U37" s="466" t="e">
        <f t="shared" si="10"/>
        <v>#N/A</v>
      </c>
      <c r="V37" s="465" t="s">
        <v>1061</v>
      </c>
      <c r="W37" s="466" t="e">
        <f t="shared" si="11"/>
        <v>#N/A</v>
      </c>
      <c r="X37" s="460"/>
      <c r="Y37" s="3845"/>
      <c r="Z37" s="459" t="str">
        <f t="shared" si="12"/>
        <v>成新度</v>
      </c>
      <c r="AA37" s="471" t="e">
        <f t="shared" si="3"/>
        <v>#N/A</v>
      </c>
      <c r="AB37" s="471" t="e">
        <f t="shared" si="4"/>
        <v>#N/A</v>
      </c>
      <c r="AC37" s="471" t="e">
        <f t="shared" si="5"/>
        <v>#N/A</v>
      </c>
    </row>
    <row r="38" spans="1:29" s="199" customFormat="1" ht="15">
      <c r="A38" s="305"/>
      <c r="B38" s="298" t="s">
        <v>2564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5"/>
      <c r="Q38" s="464" t="str">
        <f t="shared" si="8"/>
        <v>写字楼等级</v>
      </c>
      <c r="R38" s="461" t="s">
        <v>1061</v>
      </c>
      <c r="S38" s="462">
        <f t="shared" si="9"/>
        <v>100</v>
      </c>
      <c r="T38" s="461" t="s">
        <v>1061</v>
      </c>
      <c r="U38" s="462">
        <f t="shared" si="10"/>
        <v>100</v>
      </c>
      <c r="V38" s="461" t="s">
        <v>1061</v>
      </c>
      <c r="W38" s="462">
        <f t="shared" si="11"/>
        <v>100</v>
      </c>
      <c r="X38" s="463"/>
      <c r="Y38" s="3845"/>
      <c r="Z38" s="481" t="str">
        <f t="shared" si="12"/>
        <v>写字楼等级</v>
      </c>
      <c r="AA38" s="480">
        <f t="shared" si="3"/>
        <v>1</v>
      </c>
      <c r="AB38" s="480">
        <f t="shared" si="4"/>
        <v>1</v>
      </c>
      <c r="AC38" s="480">
        <f t="shared" si="5"/>
        <v>1</v>
      </c>
    </row>
    <row r="39" spans="1:29" ht="15">
      <c r="A39" s="302"/>
      <c r="B39" s="298" t="s">
        <v>2528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5" t="s">
        <v>1076</v>
      </c>
      <c r="Q39" s="395" t="str">
        <f t="shared" si="8"/>
        <v>物业管理</v>
      </c>
      <c r="R39" s="465" t="s">
        <v>1061</v>
      </c>
      <c r="S39" s="466">
        <f t="shared" si="9"/>
        <v>100</v>
      </c>
      <c r="T39" s="465" t="s">
        <v>1061</v>
      </c>
      <c r="U39" s="466">
        <f t="shared" si="10"/>
        <v>100</v>
      </c>
      <c r="V39" s="465" t="s">
        <v>1061</v>
      </c>
      <c r="W39" s="466">
        <f t="shared" si="11"/>
        <v>100</v>
      </c>
      <c r="X39" s="460"/>
      <c r="Y39" s="3845" t="s">
        <v>1076</v>
      </c>
      <c r="Z39" s="459" t="str">
        <f t="shared" si="12"/>
        <v>物业管理</v>
      </c>
      <c r="AA39" s="471">
        <f t="shared" si="3"/>
        <v>1</v>
      </c>
      <c r="AB39" s="471">
        <f t="shared" si="4"/>
        <v>1</v>
      </c>
      <c r="AC39" s="471">
        <f t="shared" si="5"/>
        <v>1</v>
      </c>
    </row>
    <row r="40" spans="1:29" ht="15">
      <c r="A40" s="302"/>
      <c r="B40" s="557" t="s">
        <v>2529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5"/>
      <c r="Q40" s="395" t="str">
        <f t="shared" si="8"/>
        <v>市政基础设施</v>
      </c>
      <c r="R40" s="465" t="s">
        <v>1061</v>
      </c>
      <c r="S40" s="466">
        <f t="shared" si="9"/>
        <v>100</v>
      </c>
      <c r="T40" s="465" t="s">
        <v>1061</v>
      </c>
      <c r="U40" s="466">
        <f t="shared" si="10"/>
        <v>100</v>
      </c>
      <c r="V40" s="465" t="s">
        <v>1061</v>
      </c>
      <c r="W40" s="466">
        <f t="shared" si="11"/>
        <v>100</v>
      </c>
      <c r="X40" s="460"/>
      <c r="Y40" s="3845"/>
      <c r="Z40" s="459" t="str">
        <f t="shared" si="12"/>
        <v>市政基础设施</v>
      </c>
      <c r="AA40" s="471">
        <f t="shared" si="3"/>
        <v>1</v>
      </c>
      <c r="AB40" s="471">
        <f t="shared" si="4"/>
        <v>1</v>
      </c>
      <c r="AC40" s="471">
        <f t="shared" si="5"/>
        <v>1</v>
      </c>
    </row>
    <row r="41" spans="1:29" ht="15">
      <c r="A41" s="302"/>
      <c r="B41" s="298" t="s">
        <v>2559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5"/>
      <c r="Q41" s="395" t="str">
        <f t="shared" si="8"/>
        <v>层高</v>
      </c>
      <c r="R41" s="465" t="s">
        <v>1061</v>
      </c>
      <c r="S41" s="466">
        <f t="shared" si="9"/>
        <v>100</v>
      </c>
      <c r="T41" s="465" t="s">
        <v>1061</v>
      </c>
      <c r="U41" s="466">
        <f t="shared" si="10"/>
        <v>100</v>
      </c>
      <c r="V41" s="465" t="s">
        <v>1061</v>
      </c>
      <c r="W41" s="466">
        <f t="shared" si="11"/>
        <v>100</v>
      </c>
      <c r="X41" s="460"/>
      <c r="Y41" s="3845"/>
      <c r="Z41" s="459" t="str">
        <f t="shared" si="12"/>
        <v>层高</v>
      </c>
      <c r="AA41" s="471">
        <f t="shared" si="3"/>
        <v>1</v>
      </c>
      <c r="AB41" s="471">
        <f t="shared" si="4"/>
        <v>1</v>
      </c>
      <c r="AC41" s="471">
        <f t="shared" si="5"/>
        <v>1</v>
      </c>
    </row>
    <row r="42" spans="1:29" s="201" customFormat="1" ht="15">
      <c r="A42" s="297"/>
      <c r="B42" s="413" t="s">
        <v>2565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5"/>
      <c r="Q42" s="467" t="str">
        <f t="shared" si="8"/>
        <v>单套建筑面积</v>
      </c>
      <c r="R42" s="468" t="s">
        <v>1061</v>
      </c>
      <c r="S42" s="469">
        <f t="shared" si="9"/>
        <v>100</v>
      </c>
      <c r="T42" s="468" t="s">
        <v>1061</v>
      </c>
      <c r="U42" s="469">
        <f t="shared" si="10"/>
        <v>100</v>
      </c>
      <c r="V42" s="468" t="s">
        <v>1061</v>
      </c>
      <c r="W42" s="469">
        <f t="shared" si="11"/>
        <v>100</v>
      </c>
      <c r="X42" s="470"/>
      <c r="Y42" s="3845"/>
      <c r="Z42" s="482" t="str">
        <f t="shared" si="12"/>
        <v>单套建筑面积</v>
      </c>
      <c r="AA42" s="471">
        <f t="shared" si="3"/>
        <v>1</v>
      </c>
      <c r="AB42" s="471">
        <f t="shared" si="4"/>
        <v>1</v>
      </c>
      <c r="AC42" s="471">
        <f t="shared" si="5"/>
        <v>1</v>
      </c>
    </row>
    <row r="43" spans="1:29" ht="15">
      <c r="A43" s="302"/>
      <c r="B43" s="298" t="s">
        <v>2532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5"/>
      <c r="Q43" s="395" t="str">
        <f t="shared" si="8"/>
        <v>内部装修</v>
      </c>
      <c r="R43" s="465" t="s">
        <v>1061</v>
      </c>
      <c r="S43" s="466">
        <f t="shared" si="9"/>
        <v>100</v>
      </c>
      <c r="T43" s="465" t="s">
        <v>1061</v>
      </c>
      <c r="U43" s="466">
        <f t="shared" si="10"/>
        <v>100</v>
      </c>
      <c r="V43" s="465" t="s">
        <v>1061</v>
      </c>
      <c r="W43" s="466">
        <f t="shared" si="11"/>
        <v>100</v>
      </c>
      <c r="X43" s="460"/>
      <c r="Y43" s="3845"/>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5"/>
      <c r="Q44" s="395" t="str">
        <f t="shared" si="8"/>
        <v>内部装修维护情况</v>
      </c>
      <c r="R44" s="465" t="s">
        <v>1061</v>
      </c>
      <c r="S44" s="466">
        <f t="shared" si="9"/>
        <v>100</v>
      </c>
      <c r="T44" s="465" t="s">
        <v>1061</v>
      </c>
      <c r="U44" s="466">
        <f t="shared" si="10"/>
        <v>100</v>
      </c>
      <c r="V44" s="465" t="s">
        <v>1061</v>
      </c>
      <c r="W44" s="466">
        <f t="shared" si="11"/>
        <v>100</v>
      </c>
      <c r="X44" s="460"/>
      <c r="Y44" s="3845"/>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5"/>
      <c r="Q45" s="464">
        <f t="shared" si="8"/>
        <v>111</v>
      </c>
      <c r="R45" s="461" t="s">
        <v>1061</v>
      </c>
      <c r="S45" s="462">
        <f t="shared" si="9"/>
        <v>100</v>
      </c>
      <c r="T45" s="461" t="s">
        <v>1061</v>
      </c>
      <c r="U45" s="462">
        <f t="shared" si="10"/>
        <v>100</v>
      </c>
      <c r="V45" s="461" t="s">
        <v>1061</v>
      </c>
      <c r="W45" s="462">
        <f t="shared" si="11"/>
        <v>100</v>
      </c>
      <c r="X45" s="463"/>
      <c r="Y45" s="3845"/>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5"/>
      <c r="Q46" s="395">
        <f t="shared" si="8"/>
        <v>111</v>
      </c>
      <c r="R46" s="465" t="s">
        <v>1061</v>
      </c>
      <c r="S46" s="466">
        <f t="shared" si="9"/>
        <v>100</v>
      </c>
      <c r="T46" s="465" t="s">
        <v>1061</v>
      </c>
      <c r="U46" s="466">
        <f t="shared" si="10"/>
        <v>100</v>
      </c>
      <c r="V46" s="465" t="s">
        <v>1061</v>
      </c>
      <c r="W46" s="466">
        <f t="shared" si="11"/>
        <v>100</v>
      </c>
      <c r="X46" s="460"/>
      <c r="Y46" s="3845"/>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3"/>
      <c r="Q47" s="395">
        <f t="shared" si="8"/>
        <v>111</v>
      </c>
      <c r="R47" s="465" t="s">
        <v>1061</v>
      </c>
      <c r="S47" s="466">
        <f t="shared" si="9"/>
        <v>100</v>
      </c>
      <c r="T47" s="465" t="s">
        <v>1061</v>
      </c>
      <c r="U47" s="466">
        <f t="shared" si="10"/>
        <v>100</v>
      </c>
      <c r="V47" s="465" t="s">
        <v>1061</v>
      </c>
      <c r="W47" s="466">
        <f t="shared" si="11"/>
        <v>100</v>
      </c>
      <c r="X47" s="460"/>
      <c r="Y47" s="3953"/>
      <c r="Z47" s="459">
        <f t="shared" si="12"/>
        <v>111</v>
      </c>
      <c r="AA47" s="471">
        <f t="shared" si="3"/>
        <v>1</v>
      </c>
      <c r="AB47" s="471">
        <f t="shared" si="4"/>
        <v>1</v>
      </c>
      <c r="AC47" s="471">
        <f t="shared" si="5"/>
        <v>1</v>
      </c>
    </row>
    <row r="48" spans="1:29" ht="15">
      <c r="A48" s="312" t="s">
        <v>2533</v>
      </c>
      <c r="B48" s="313"/>
      <c r="C48" s="314" t="s">
        <v>138</v>
      </c>
      <c r="D48" s="315"/>
      <c r="E48" s="316"/>
      <c r="F48" s="317"/>
      <c r="G48" s="318"/>
      <c r="H48" s="319"/>
      <c r="I48" s="316"/>
      <c r="J48" s="319"/>
      <c r="K48" s="409"/>
      <c r="L48" s="410"/>
      <c r="M48" s="390"/>
      <c r="N48" s="390"/>
      <c r="O48" s="390"/>
      <c r="P48" s="3840" t="str">
        <f>A48</f>
        <v>成交单价（元/平方米）</v>
      </c>
      <c r="Q48" s="3836"/>
      <c r="R48" s="3951">
        <f>E48</f>
        <v>0</v>
      </c>
      <c r="S48" s="3951"/>
      <c r="T48" s="3951">
        <f>G48</f>
        <v>0</v>
      </c>
      <c r="U48" s="3951"/>
      <c r="V48" s="3951">
        <f>I48</f>
        <v>0</v>
      </c>
      <c r="W48" s="3951"/>
      <c r="X48" s="342"/>
      <c r="Y48" s="483"/>
      <c r="Z48" s="342"/>
      <c r="AA48" s="342"/>
      <c r="AB48" s="342"/>
      <c r="AC48" s="342"/>
    </row>
    <row r="49" spans="1:29" ht="15">
      <c r="A49" s="320" t="s">
        <v>1085</v>
      </c>
      <c r="B49" s="321"/>
      <c r="C49" s="322" t="e">
        <f>R50</f>
        <v>#DIV/0!</v>
      </c>
      <c r="D49" s="323" t="s">
        <v>1086</v>
      </c>
      <c r="E49" s="324" t="e">
        <f>R49</f>
        <v>#DIV/0!</v>
      </c>
      <c r="F49" s="325"/>
      <c r="G49" s="322" t="e">
        <f>T49</f>
        <v>#DIV/0!</v>
      </c>
      <c r="H49" s="325"/>
      <c r="I49" s="324" t="e">
        <f>V49</f>
        <v>#DIV/0!</v>
      </c>
      <c r="J49" s="325"/>
      <c r="K49" s="411">
        <f>F49+H49+J49</f>
        <v>0</v>
      </c>
      <c r="L49" s="410"/>
      <c r="M49" s="390"/>
      <c r="N49" s="390"/>
      <c r="O49" s="390"/>
      <c r="P49" s="3840" t="str">
        <f>A49</f>
        <v>比较价格（元/平方米）</v>
      </c>
      <c r="Q49" s="3836"/>
      <c r="R49" s="3951" t="e">
        <f>IF(F1="售价",ROUND(PRODUCT(R48,AA7:AA47),0),ROUND(PRODUCT(R48,AA7:AA47),1))</f>
        <v>#DIV/0!</v>
      </c>
      <c r="S49" s="3951"/>
      <c r="T49" s="3951" t="e">
        <f>IF(F1="售价",ROUND(PRODUCT(T48,AB7:AB47),0),ROUND(PRODUCT(T48,AB7:AB47),1))</f>
        <v>#DIV/0!</v>
      </c>
      <c r="U49" s="3951"/>
      <c r="V49" s="3951" t="e">
        <f>IF(F1="售价",ROUND(PRODUCT(V48,AC7:AC47),0),ROUND(PRODUCT(V48,AC7:AC47),1))</f>
        <v>#DIV/0!</v>
      </c>
      <c r="W49" s="3951"/>
      <c r="X49" s="342"/>
      <c r="Y49" s="342"/>
      <c r="Z49" s="342"/>
      <c r="AA49" s="342"/>
      <c r="AB49" s="342"/>
      <c r="AC49" s="342"/>
    </row>
    <row r="50" spans="1:29" ht="15">
      <c r="A50" s="326" t="s">
        <v>1087</v>
      </c>
      <c r="B50" s="327"/>
      <c r="C50" s="328" t="e">
        <f>R50</f>
        <v>#DIV/0!</v>
      </c>
      <c r="D50" s="328"/>
      <c r="E50" s="328"/>
      <c r="F50" s="328"/>
      <c r="G50" s="328"/>
      <c r="H50" s="328"/>
      <c r="I50" s="328"/>
      <c r="J50" s="328"/>
      <c r="K50" s="412"/>
      <c r="L50" s="410"/>
      <c r="M50" s="390"/>
      <c r="N50" s="390"/>
      <c r="O50" s="390"/>
      <c r="P50" s="3954" t="str">
        <f>A50</f>
        <v>估价对象XX用房的比较价格（楼面单价，元/平方米）</v>
      </c>
      <c r="Q50" s="3840"/>
      <c r="R50" s="3952" t="e">
        <f>IF(F1="售价",ROUND(IF(D49="简单平均",AVERAGE(R49:V49),R49*F49+T49*H49+V49*J49),0),ROUND(IF(D49="简单平均",AVERAGE(R49:V49),R49*F49+T49*H49+V49*J49),1))</f>
        <v>#DIV/0!</v>
      </c>
      <c r="S50" s="3952"/>
      <c r="T50" s="3952"/>
      <c r="U50" s="3952"/>
      <c r="V50" s="3952"/>
      <c r="W50" s="395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1111</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1059</v>
      </c>
      <c r="B59" s="346"/>
      <c r="C59" s="347" t="str">
        <f>YEAR(C7)&amp;"-"&amp;MONTH(C7)</f>
        <v>2023-11</v>
      </c>
      <c r="D59" s="348">
        <f>EDATE(C59,-1)</f>
        <v>45200</v>
      </c>
      <c r="E59" s="348">
        <f t="shared" ref="E59:O59" si="13">EDATE(D59,-1)</f>
        <v>45170</v>
      </c>
      <c r="F59" s="348">
        <f t="shared" si="13"/>
        <v>45139</v>
      </c>
      <c r="G59" s="348">
        <f t="shared" si="13"/>
        <v>45108</v>
      </c>
      <c r="H59" s="348">
        <f t="shared" si="13"/>
        <v>45078</v>
      </c>
      <c r="I59" s="348">
        <f t="shared" si="13"/>
        <v>45047</v>
      </c>
      <c r="J59" s="348">
        <f t="shared" si="13"/>
        <v>45017</v>
      </c>
      <c r="K59" s="348">
        <f t="shared" si="13"/>
        <v>44986</v>
      </c>
      <c r="L59" s="348">
        <f t="shared" si="13"/>
        <v>44958</v>
      </c>
      <c r="M59" s="348">
        <f t="shared" si="13"/>
        <v>44927</v>
      </c>
      <c r="N59" s="348">
        <f t="shared" si="13"/>
        <v>44896</v>
      </c>
      <c r="O59" s="348">
        <f t="shared" si="13"/>
        <v>44866</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1133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1062</v>
      </c>
      <c r="B62" s="350"/>
      <c r="C62" s="358" t="s">
        <v>1063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1115</v>
      </c>
      <c r="B64" s="361" t="s">
        <v>1116</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1117</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1118</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1119</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1074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1124</v>
      </c>
      <c r="B101" s="361" t="s">
        <v>2522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2523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2560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1125</v>
      </c>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962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2237</v>
      </c>
      <c r="B3" s="220" t="e">
        <f>C43</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5" t="s">
        <v>1047</v>
      </c>
      <c r="D4" s="3826"/>
      <c r="E4" s="3865" t="s">
        <v>1048</v>
      </c>
      <c r="F4" s="3866"/>
      <c r="G4" s="3825" t="s">
        <v>1049</v>
      </c>
      <c r="H4" s="3826"/>
      <c r="I4" s="3825" t="s">
        <v>1050</v>
      </c>
      <c r="J4" s="3826"/>
      <c r="K4" s="388" t="s">
        <v>1051</v>
      </c>
      <c r="L4" s="389"/>
      <c r="M4" s="390"/>
      <c r="N4" s="390"/>
      <c r="O4" s="390"/>
      <c r="P4" s="3849" t="s">
        <v>1052</v>
      </c>
      <c r="Q4" s="3850"/>
      <c r="R4" s="3855" t="s">
        <v>1048</v>
      </c>
      <c r="S4" s="3856"/>
      <c r="T4" s="3855" t="s">
        <v>1049</v>
      </c>
      <c r="U4" s="3856"/>
      <c r="V4" s="3837" t="s">
        <v>1050</v>
      </c>
      <c r="W4" s="3837"/>
      <c r="X4" s="460"/>
      <c r="Y4" s="3855" t="s">
        <v>1052</v>
      </c>
      <c r="Z4" s="3856"/>
      <c r="AA4" s="3846" t="s">
        <v>1048</v>
      </c>
      <c r="AB4" s="3847" t="s">
        <v>1049</v>
      </c>
      <c r="AC4" s="3846" t="s">
        <v>1050</v>
      </c>
    </row>
    <row r="5" spans="1:29" ht="15">
      <c r="A5" s="225"/>
      <c r="B5" s="226"/>
      <c r="C5" s="3827" t="s">
        <v>1053</v>
      </c>
      <c r="D5" s="3828"/>
      <c r="E5" s="3867" t="s">
        <v>1054</v>
      </c>
      <c r="F5" s="3868"/>
      <c r="G5" s="3827" t="s">
        <v>1055</v>
      </c>
      <c r="H5" s="3828"/>
      <c r="I5" s="3827" t="s">
        <v>1056</v>
      </c>
      <c r="J5" s="3828"/>
      <c r="K5" s="388"/>
      <c r="L5" s="389"/>
      <c r="M5" s="390"/>
      <c r="N5" s="390"/>
      <c r="O5" s="390"/>
      <c r="P5" s="3851"/>
      <c r="Q5" s="3852"/>
      <c r="R5" s="3857"/>
      <c r="S5" s="3858"/>
      <c r="T5" s="3857"/>
      <c r="U5" s="3858"/>
      <c r="V5" s="3837"/>
      <c r="W5" s="3837"/>
      <c r="X5" s="460"/>
      <c r="Y5" s="3857"/>
      <c r="Z5" s="3858"/>
      <c r="AA5" s="3847"/>
      <c r="AB5" s="3847"/>
      <c r="AC5" s="3847"/>
    </row>
    <row r="6" spans="1:29" ht="15">
      <c r="A6" s="227"/>
      <c r="B6" s="228"/>
      <c r="C6" s="3831" t="s">
        <v>1057</v>
      </c>
      <c r="D6" s="3832"/>
      <c r="E6" s="3869" t="s">
        <v>1057</v>
      </c>
      <c r="F6" s="3870"/>
      <c r="G6" s="3831" t="s">
        <v>1057</v>
      </c>
      <c r="H6" s="3832"/>
      <c r="I6" s="3831" t="s">
        <v>1057</v>
      </c>
      <c r="J6" s="3832"/>
      <c r="K6" s="388" t="s">
        <v>1058</v>
      </c>
      <c r="L6" s="389"/>
      <c r="M6" s="390"/>
      <c r="N6" s="390"/>
      <c r="O6" s="390"/>
      <c r="P6" s="3853"/>
      <c r="Q6" s="3854"/>
      <c r="R6" s="3857"/>
      <c r="S6" s="3858"/>
      <c r="T6" s="3859"/>
      <c r="U6" s="3860"/>
      <c r="V6" s="3837"/>
      <c r="W6" s="3837"/>
      <c r="X6" s="460"/>
      <c r="Y6" s="3859"/>
      <c r="Z6" s="3860"/>
      <c r="AA6" s="3848"/>
      <c r="AB6" s="3848"/>
      <c r="AC6" s="3848"/>
    </row>
    <row r="7" spans="1:29" s="199" customFormat="1" ht="15">
      <c r="A7" s="229"/>
      <c r="B7" s="230" t="s">
        <v>1059</v>
      </c>
      <c r="C7" s="231">
        <f>'数据-取费表'!B2</f>
        <v>45257</v>
      </c>
      <c r="D7" s="232">
        <v>100</v>
      </c>
      <c r="E7" s="233"/>
      <c r="F7" s="234">
        <f>SUMIF(52:52,YEAR(E7)&amp;"-"&amp;MONTH(E7),53:53)</f>
        <v>0</v>
      </c>
      <c r="G7" s="233"/>
      <c r="H7" s="232">
        <f>SUMIF(52:52,YEAR(G7)&amp;"-"&amp;MONTH(G7),53:53)</f>
        <v>0</v>
      </c>
      <c r="I7" s="233"/>
      <c r="J7" s="232">
        <f>SUMIF(52:52,YEAR(I7)&amp;"-"&amp;MONTH(I7),53:53)</f>
        <v>0</v>
      </c>
      <c r="K7" s="391"/>
      <c r="L7" s="392"/>
      <c r="M7" s="393"/>
      <c r="N7" s="393"/>
      <c r="O7" s="393"/>
      <c r="P7" s="3833" t="s">
        <v>1060</v>
      </c>
      <c r="Q7" s="3834"/>
      <c r="R7" s="461" t="s">
        <v>1061</v>
      </c>
      <c r="S7" s="462">
        <f t="shared" ref="S7:S15" si="0">F7</f>
        <v>0</v>
      </c>
      <c r="T7" s="461" t="s">
        <v>1061</v>
      </c>
      <c r="U7" s="462">
        <f t="shared" ref="U7:U15" si="1">H7</f>
        <v>0</v>
      </c>
      <c r="V7" s="461" t="s">
        <v>1061</v>
      </c>
      <c r="W7" s="462">
        <f t="shared" ref="W7:W15"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3" t="s">
        <v>1064</v>
      </c>
      <c r="Q8" s="3835"/>
      <c r="R8" s="461" t="s">
        <v>1061</v>
      </c>
      <c r="S8" s="462">
        <f t="shared" si="0"/>
        <v>0</v>
      </c>
      <c r="T8" s="461" t="s">
        <v>1061</v>
      </c>
      <c r="U8" s="462">
        <f t="shared" si="1"/>
        <v>0</v>
      </c>
      <c r="V8" s="461" t="s">
        <v>1061</v>
      </c>
      <c r="W8" s="462">
        <f t="shared" si="2"/>
        <v>0</v>
      </c>
      <c r="X8" s="463"/>
      <c r="Y8" s="3833" t="s">
        <v>1064</v>
      </c>
      <c r="Z8" s="3835"/>
      <c r="AA8" s="480" t="e">
        <f t="shared" ref="AA8:AA40" si="3">D8/F8</f>
        <v>#DIV/0!</v>
      </c>
      <c r="AB8" s="480" t="e">
        <f t="shared" ref="AB8:AB40" si="4">D8/H8</f>
        <v>#DIV/0!</v>
      </c>
      <c r="AC8" s="480" t="e">
        <f t="shared" ref="AC8:AC40" si="5">D8/J8</f>
        <v>#DIV/0!</v>
      </c>
    </row>
    <row r="9" spans="1:29" s="199" customFormat="1" ht="15">
      <c r="A9" s="239"/>
      <c r="B9" s="240" t="s">
        <v>1065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6" t="s">
        <v>1066</v>
      </c>
      <c r="Q9" s="464" t="str">
        <f t="shared" ref="Q9:Q15" si="6">B9</f>
        <v>用途</v>
      </c>
      <c r="R9" s="461" t="s">
        <v>1061</v>
      </c>
      <c r="S9" s="462">
        <f t="shared" si="0"/>
        <v>100</v>
      </c>
      <c r="T9" s="461" t="s">
        <v>1061</v>
      </c>
      <c r="U9" s="462">
        <f t="shared" si="1"/>
        <v>100</v>
      </c>
      <c r="V9" s="461" t="s">
        <v>1061</v>
      </c>
      <c r="W9" s="462">
        <f t="shared" si="2"/>
        <v>100</v>
      </c>
      <c r="X9" s="463"/>
      <c r="Y9" s="3804"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6"/>
      <c r="Q11" s="464" t="str">
        <f t="shared" si="6"/>
        <v>容积率</v>
      </c>
      <c r="R11" s="461" t="s">
        <v>1061</v>
      </c>
      <c r="S11" s="462" t="e">
        <f t="shared" si="0"/>
        <v>#N/A</v>
      </c>
      <c r="T11" s="461" t="s">
        <v>1061</v>
      </c>
      <c r="U11" s="462" t="e">
        <f t="shared" si="1"/>
        <v>#N/A</v>
      </c>
      <c r="V11" s="461" t="s">
        <v>1061</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6"/>
      <c r="Q14" s="464">
        <f t="shared" si="6"/>
        <v>111</v>
      </c>
      <c r="R14" s="461" t="s">
        <v>1061</v>
      </c>
      <c r="S14" s="462">
        <f t="shared" si="0"/>
        <v>100</v>
      </c>
      <c r="T14" s="461" t="s">
        <v>1061</v>
      </c>
      <c r="U14" s="462">
        <f t="shared" si="1"/>
        <v>100</v>
      </c>
      <c r="V14" s="461" t="s">
        <v>1061</v>
      </c>
      <c r="W14" s="462">
        <f t="shared" si="2"/>
        <v>100</v>
      </c>
      <c r="X14" s="463"/>
      <c r="Y14" s="3804"/>
      <c r="Z14" s="481">
        <f t="shared" si="7"/>
        <v>111</v>
      </c>
      <c r="AA14" s="480">
        <f t="shared" si="3"/>
        <v>1</v>
      </c>
      <c r="AB14" s="480">
        <f t="shared" si="4"/>
        <v>1</v>
      </c>
      <c r="AC14" s="480">
        <f t="shared" si="5"/>
        <v>1</v>
      </c>
    </row>
    <row r="15" spans="1:29" ht="57">
      <c r="A15" s="257" t="s">
        <v>1071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2" t="s">
        <v>1072</v>
      </c>
      <c r="Q15" s="395" t="str">
        <f t="shared" si="6"/>
        <v>产业集聚程度</v>
      </c>
      <c r="R15" s="465" t="s">
        <v>1061</v>
      </c>
      <c r="S15" s="466">
        <f t="shared" si="0"/>
        <v>100</v>
      </c>
      <c r="T15" s="465" t="s">
        <v>1061</v>
      </c>
      <c r="U15" s="466">
        <f t="shared" si="1"/>
        <v>100</v>
      </c>
      <c r="V15" s="465" t="s">
        <v>1061</v>
      </c>
      <c r="W15" s="466">
        <f t="shared" si="2"/>
        <v>100</v>
      </c>
      <c r="X15" s="460"/>
      <c r="Y15" s="3842" t="s">
        <v>1072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3"/>
      <c r="Q17" s="395" t="str">
        <f>B17</f>
        <v>交通便捷度</v>
      </c>
      <c r="R17" s="465" t="s">
        <v>1061</v>
      </c>
      <c r="S17" s="466">
        <f>F17</f>
        <v>100</v>
      </c>
      <c r="T17" s="465" t="s">
        <v>1061</v>
      </c>
      <c r="U17" s="466">
        <f>H17</f>
        <v>100</v>
      </c>
      <c r="V17" s="465" t="s">
        <v>1061</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3"/>
      <c r="Q19" s="395" t="str">
        <f>B19</f>
        <v>公共配套设施</v>
      </c>
      <c r="R19" s="465" t="s">
        <v>1061</v>
      </c>
      <c r="S19" s="466">
        <f>F19</f>
        <v>100</v>
      </c>
      <c r="T19" s="465" t="s">
        <v>1061</v>
      </c>
      <c r="U19" s="466">
        <f>H19</f>
        <v>100</v>
      </c>
      <c r="V19" s="465" t="s">
        <v>1061</v>
      </c>
      <c r="W19" s="466">
        <f>J19</f>
        <v>100</v>
      </c>
      <c r="X19" s="460"/>
      <c r="Y19" s="3843"/>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3"/>
      <c r="Q21" s="395" t="str">
        <f>B21</f>
        <v>基础设施水平</v>
      </c>
      <c r="R21" s="465" t="s">
        <v>1061</v>
      </c>
      <c r="S21" s="466">
        <f>F21</f>
        <v>100</v>
      </c>
      <c r="T21" s="465" t="s">
        <v>1061</v>
      </c>
      <c r="U21" s="466">
        <f>H21</f>
        <v>100</v>
      </c>
      <c r="V21" s="465" t="s">
        <v>1061</v>
      </c>
      <c r="W21" s="466">
        <f>J21</f>
        <v>100</v>
      </c>
      <c r="X21" s="460"/>
      <c r="Y21" s="3843"/>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3"/>
      <c r="Q22" s="395"/>
      <c r="R22" s="465"/>
      <c r="S22" s="466"/>
      <c r="T22" s="465"/>
      <c r="U22" s="466"/>
      <c r="V22" s="465"/>
      <c r="W22" s="466"/>
      <c r="X22" s="460"/>
      <c r="Y22" s="3843"/>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3"/>
      <c r="Q23" s="395" t="str">
        <f>B23</f>
        <v>环境质量</v>
      </c>
      <c r="R23" s="465" t="s">
        <v>1061</v>
      </c>
      <c r="S23" s="466">
        <f>F23</f>
        <v>100</v>
      </c>
      <c r="T23" s="465" t="s">
        <v>1061</v>
      </c>
      <c r="U23" s="466">
        <f>H23</f>
        <v>100</v>
      </c>
      <c r="V23" s="465" t="s">
        <v>1061</v>
      </c>
      <c r="W23" s="466">
        <f>J23</f>
        <v>100</v>
      </c>
      <c r="X23" s="460"/>
      <c r="Y23" s="3843"/>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3"/>
      <c r="Q24" s="395"/>
      <c r="R24" s="465"/>
      <c r="S24" s="466"/>
      <c r="T24" s="465"/>
      <c r="U24" s="466"/>
      <c r="V24" s="465"/>
      <c r="W24" s="466"/>
      <c r="X24" s="460"/>
      <c r="Y24" s="3843"/>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3"/>
      <c r="Q25" s="395">
        <f>B25</f>
        <v>111</v>
      </c>
      <c r="R25" s="465" t="s">
        <v>1061</v>
      </c>
      <c r="S25" s="466">
        <f>F25</f>
        <v>100</v>
      </c>
      <c r="T25" s="465" t="s">
        <v>1061</v>
      </c>
      <c r="U25" s="466">
        <f>H25</f>
        <v>100</v>
      </c>
      <c r="V25" s="465" t="s">
        <v>1061</v>
      </c>
      <c r="W25" s="466">
        <f>J25</f>
        <v>100</v>
      </c>
      <c r="X25" s="460"/>
      <c r="Y25" s="3843"/>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3"/>
      <c r="Q26" s="395">
        <f t="shared" ref="Q26:Q40" si="8">B26</f>
        <v>111</v>
      </c>
      <c r="R26" s="465" t="s">
        <v>1061</v>
      </c>
      <c r="S26" s="466">
        <f>F26</f>
        <v>100</v>
      </c>
      <c r="T26" s="465" t="s">
        <v>1061</v>
      </c>
      <c r="U26" s="466">
        <f>H26</f>
        <v>100</v>
      </c>
      <c r="V26" s="465" t="s">
        <v>1061</v>
      </c>
      <c r="W26" s="466">
        <f>J26</f>
        <v>100</v>
      </c>
      <c r="X26" s="460"/>
      <c r="Y26" s="3843"/>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3"/>
      <c r="Q27" s="464">
        <f t="shared" si="8"/>
        <v>111</v>
      </c>
      <c r="R27" s="461" t="s">
        <v>1061</v>
      </c>
      <c r="S27" s="462">
        <f>F27</f>
        <v>100</v>
      </c>
      <c r="T27" s="461" t="s">
        <v>1061</v>
      </c>
      <c r="U27" s="462">
        <f>H27</f>
        <v>100</v>
      </c>
      <c r="V27" s="461" t="s">
        <v>1061</v>
      </c>
      <c r="W27" s="462">
        <f>J27</f>
        <v>100</v>
      </c>
      <c r="X27" s="463"/>
      <c r="Y27" s="3843"/>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3"/>
      <c r="Q28" s="395">
        <f t="shared" si="8"/>
        <v>111</v>
      </c>
      <c r="R28" s="465" t="s">
        <v>1061</v>
      </c>
      <c r="S28" s="466">
        <f t="shared" ref="S28:S40" si="9">F28</f>
        <v>100</v>
      </c>
      <c r="T28" s="465" t="s">
        <v>1061</v>
      </c>
      <c r="U28" s="466">
        <f t="shared" ref="U28:U40" si="10">H28</f>
        <v>100</v>
      </c>
      <c r="V28" s="465" t="s">
        <v>1061</v>
      </c>
      <c r="W28" s="466">
        <f t="shared" ref="W28:W40" si="11">J28</f>
        <v>100</v>
      </c>
      <c r="X28" s="460"/>
      <c r="Y28" s="3843"/>
      <c r="Z28" s="459">
        <f t="shared" ref="Z28:Z40" si="12">Q28</f>
        <v>111</v>
      </c>
      <c r="AA28" s="471">
        <f t="shared" si="3"/>
        <v>1</v>
      </c>
      <c r="AB28" s="471">
        <f t="shared" si="4"/>
        <v>1</v>
      </c>
      <c r="AC28" s="471">
        <f t="shared" si="5"/>
        <v>1</v>
      </c>
    </row>
    <row r="29" spans="1:29" ht="15">
      <c r="A29" s="292" t="s">
        <v>1077</v>
      </c>
      <c r="B29" s="293" t="s">
        <v>2522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4" t="s">
        <v>1076</v>
      </c>
      <c r="Q29" s="395" t="str">
        <f t="shared" si="8"/>
        <v>建筑类型</v>
      </c>
      <c r="R29" s="465" t="s">
        <v>1061</v>
      </c>
      <c r="S29" s="466">
        <f t="shared" si="9"/>
        <v>100</v>
      </c>
      <c r="T29" s="465" t="s">
        <v>1061</v>
      </c>
      <c r="U29" s="466">
        <f t="shared" si="10"/>
        <v>100</v>
      </c>
      <c r="V29" s="465" t="s">
        <v>1061</v>
      </c>
      <c r="W29" s="466">
        <f t="shared" si="11"/>
        <v>100</v>
      </c>
      <c r="X29" s="460"/>
      <c r="Y29" s="3845" t="s">
        <v>1076</v>
      </c>
      <c r="Z29" s="459" t="str">
        <f t="shared" si="12"/>
        <v>建筑类型</v>
      </c>
      <c r="AA29" s="471">
        <f t="shared" si="3"/>
        <v>1</v>
      </c>
      <c r="AB29" s="471">
        <f t="shared" si="4"/>
        <v>1</v>
      </c>
      <c r="AC29" s="471">
        <f t="shared" si="5"/>
        <v>1</v>
      </c>
    </row>
    <row r="30" spans="1:29" s="201" customFormat="1" ht="15">
      <c r="A30" s="297"/>
      <c r="B30" s="298" t="s">
        <v>2523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5"/>
      <c r="Q30" s="467" t="str">
        <f t="shared" si="8"/>
        <v>项目建筑规模</v>
      </c>
      <c r="R30" s="468" t="s">
        <v>1061</v>
      </c>
      <c r="S30" s="469" t="e">
        <f t="shared" si="9"/>
        <v>#N/A</v>
      </c>
      <c r="T30" s="468" t="s">
        <v>1061</v>
      </c>
      <c r="U30" s="469" t="e">
        <f t="shared" si="10"/>
        <v>#N/A</v>
      </c>
      <c r="V30" s="468" t="s">
        <v>1061</v>
      </c>
      <c r="W30" s="469" t="e">
        <f t="shared" si="11"/>
        <v>#N/A</v>
      </c>
      <c r="X30" s="470"/>
      <c r="Y30" s="3845"/>
      <c r="Z30" s="482" t="str">
        <f t="shared" si="12"/>
        <v>项目建筑规模</v>
      </c>
      <c r="AA30" s="471" t="e">
        <f t="shared" si="3"/>
        <v>#N/A</v>
      </c>
      <c r="AB30" s="471" t="e">
        <f t="shared" si="4"/>
        <v>#N/A</v>
      </c>
      <c r="AC30" s="471" t="e">
        <f t="shared" si="5"/>
        <v>#N/A</v>
      </c>
    </row>
    <row r="31" spans="1:29" ht="15">
      <c r="A31" s="302"/>
      <c r="B31" s="298" t="s">
        <v>2524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5"/>
      <c r="Q31" s="395" t="str">
        <f t="shared" si="8"/>
        <v>建筑结构</v>
      </c>
      <c r="R31" s="465" t="s">
        <v>1061</v>
      </c>
      <c r="S31" s="466">
        <f t="shared" si="9"/>
        <v>100</v>
      </c>
      <c r="T31" s="465" t="s">
        <v>1061</v>
      </c>
      <c r="U31" s="466">
        <f t="shared" si="10"/>
        <v>100</v>
      </c>
      <c r="V31" s="465" t="s">
        <v>1061</v>
      </c>
      <c r="W31" s="466">
        <f t="shared" si="11"/>
        <v>100</v>
      </c>
      <c r="X31" s="460"/>
      <c r="Y31" s="3845"/>
      <c r="Z31" s="459" t="str">
        <f t="shared" si="12"/>
        <v>建筑结构</v>
      </c>
      <c r="AA31" s="471">
        <f t="shared" si="3"/>
        <v>1</v>
      </c>
      <c r="AB31" s="471">
        <f t="shared" si="4"/>
        <v>1</v>
      </c>
      <c r="AC31" s="471">
        <f t="shared" si="5"/>
        <v>1</v>
      </c>
    </row>
    <row r="32" spans="1:29" ht="15">
      <c r="A32" s="302"/>
      <c r="B32" s="298" t="s">
        <v>2526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5"/>
      <c r="Q32" s="395" t="str">
        <f t="shared" si="8"/>
        <v>公共部分装修</v>
      </c>
      <c r="R32" s="465" t="s">
        <v>1061</v>
      </c>
      <c r="S32" s="466">
        <f t="shared" si="9"/>
        <v>100</v>
      </c>
      <c r="T32" s="465" t="s">
        <v>1061</v>
      </c>
      <c r="U32" s="466">
        <f t="shared" si="10"/>
        <v>100</v>
      </c>
      <c r="V32" s="465" t="s">
        <v>1061</v>
      </c>
      <c r="W32" s="466">
        <f t="shared" si="11"/>
        <v>100</v>
      </c>
      <c r="X32" s="460"/>
      <c r="Y32" s="3845"/>
      <c r="Z32" s="459" t="str">
        <f t="shared" si="12"/>
        <v>公共部分装修</v>
      </c>
      <c r="AA32" s="471">
        <f t="shared" si="3"/>
        <v>1</v>
      </c>
      <c r="AB32" s="471">
        <f t="shared" si="4"/>
        <v>1</v>
      </c>
      <c r="AC32" s="471">
        <f t="shared" si="5"/>
        <v>1</v>
      </c>
    </row>
    <row r="33" spans="1:29" ht="15">
      <c r="A33" s="302"/>
      <c r="B33" s="298" t="s">
        <v>2527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5"/>
      <c r="Q33" s="395" t="str">
        <f t="shared" si="8"/>
        <v>成新度</v>
      </c>
      <c r="R33" s="465" t="s">
        <v>1061</v>
      </c>
      <c r="S33" s="466" t="e">
        <f t="shared" si="9"/>
        <v>#N/A</v>
      </c>
      <c r="T33" s="465" t="s">
        <v>1061</v>
      </c>
      <c r="U33" s="466" t="e">
        <f t="shared" si="10"/>
        <v>#N/A</v>
      </c>
      <c r="V33" s="465" t="s">
        <v>1061</v>
      </c>
      <c r="W33" s="466" t="e">
        <f t="shared" si="11"/>
        <v>#N/A</v>
      </c>
      <c r="X33" s="460"/>
      <c r="Y33" s="3845"/>
      <c r="Z33" s="459" t="str">
        <f t="shared" si="12"/>
        <v>成新度</v>
      </c>
      <c r="AA33" s="471" t="e">
        <f t="shared" si="3"/>
        <v>#N/A</v>
      </c>
      <c r="AB33" s="471" t="e">
        <f t="shared" si="4"/>
        <v>#N/A</v>
      </c>
      <c r="AC33" s="471" t="e">
        <f t="shared" si="5"/>
        <v>#N/A</v>
      </c>
    </row>
    <row r="34" spans="1:29" s="199" customFormat="1" ht="15">
      <c r="A34" s="305"/>
      <c r="B34" s="298" t="s">
        <v>2528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5"/>
      <c r="Q34" s="464" t="str">
        <f t="shared" si="8"/>
        <v>物业管理</v>
      </c>
      <c r="R34" s="461" t="s">
        <v>1061</v>
      </c>
      <c r="S34" s="462">
        <f t="shared" si="9"/>
        <v>100</v>
      </c>
      <c r="T34" s="461" t="s">
        <v>1061</v>
      </c>
      <c r="U34" s="462">
        <f t="shared" si="10"/>
        <v>100</v>
      </c>
      <c r="V34" s="461" t="s">
        <v>1061</v>
      </c>
      <c r="W34" s="462">
        <f t="shared" si="11"/>
        <v>100</v>
      </c>
      <c r="X34" s="463"/>
      <c r="Y34" s="3845"/>
      <c r="Z34" s="481" t="str">
        <f t="shared" si="12"/>
        <v>物业管理</v>
      </c>
      <c r="AA34" s="480">
        <f t="shared" si="3"/>
        <v>1</v>
      </c>
      <c r="AB34" s="480">
        <f t="shared" si="4"/>
        <v>1</v>
      </c>
      <c r="AC34" s="480">
        <f t="shared" si="5"/>
        <v>1</v>
      </c>
    </row>
    <row r="35" spans="1:29" ht="15">
      <c r="A35" s="302"/>
      <c r="B35" s="557" t="s">
        <v>2529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5" t="s">
        <v>1076</v>
      </c>
      <c r="Q35" s="395" t="str">
        <f t="shared" si="8"/>
        <v>市政基础设施</v>
      </c>
      <c r="R35" s="465" t="s">
        <v>1061</v>
      </c>
      <c r="S35" s="466">
        <f t="shared" si="9"/>
        <v>100</v>
      </c>
      <c r="T35" s="465" t="s">
        <v>1061</v>
      </c>
      <c r="U35" s="466">
        <f t="shared" si="10"/>
        <v>100</v>
      </c>
      <c r="V35" s="465" t="s">
        <v>1061</v>
      </c>
      <c r="W35" s="466">
        <f t="shared" si="11"/>
        <v>100</v>
      </c>
      <c r="X35" s="460"/>
      <c r="Y35" s="3845" t="s">
        <v>1076</v>
      </c>
      <c r="Z35" s="459" t="str">
        <f t="shared" si="12"/>
        <v>市政基础设施</v>
      </c>
      <c r="AA35" s="471">
        <f t="shared" si="3"/>
        <v>1</v>
      </c>
      <c r="AB35" s="471">
        <f t="shared" si="4"/>
        <v>1</v>
      </c>
      <c r="AC35" s="471">
        <f t="shared" si="5"/>
        <v>1</v>
      </c>
    </row>
    <row r="36" spans="1:29" ht="15">
      <c r="A36" s="302"/>
      <c r="B36" s="298" t="s">
        <v>2532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5"/>
      <c r="Q36" s="395" t="str">
        <f t="shared" si="8"/>
        <v>内部装修</v>
      </c>
      <c r="R36" s="465" t="s">
        <v>1061</v>
      </c>
      <c r="S36" s="466">
        <f t="shared" si="9"/>
        <v>100</v>
      </c>
      <c r="T36" s="465" t="s">
        <v>1061</v>
      </c>
      <c r="U36" s="466">
        <f t="shared" si="10"/>
        <v>100</v>
      </c>
      <c r="V36" s="465" t="s">
        <v>1061</v>
      </c>
      <c r="W36" s="466">
        <f t="shared" si="11"/>
        <v>100</v>
      </c>
      <c r="X36" s="460"/>
      <c r="Y36" s="3845"/>
      <c r="Z36" s="459" t="str">
        <f t="shared" si="12"/>
        <v>内部装修</v>
      </c>
      <c r="AA36" s="471">
        <f t="shared" si="3"/>
        <v>1</v>
      </c>
      <c r="AB36" s="471">
        <f t="shared" si="4"/>
        <v>1</v>
      </c>
      <c r="AC36" s="471">
        <f t="shared" si="5"/>
        <v>1</v>
      </c>
    </row>
    <row r="37" spans="1:29" ht="15">
      <c r="A37" s="302"/>
      <c r="B37" s="298" t="s">
        <v>2567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5"/>
      <c r="Q37" s="395" t="str">
        <f t="shared" si="8"/>
        <v>内部装修状况</v>
      </c>
      <c r="R37" s="465" t="s">
        <v>1061</v>
      </c>
      <c r="S37" s="466">
        <f t="shared" si="9"/>
        <v>100</v>
      </c>
      <c r="T37" s="465" t="s">
        <v>1061</v>
      </c>
      <c r="U37" s="466">
        <f t="shared" si="10"/>
        <v>100</v>
      </c>
      <c r="V37" s="465" t="s">
        <v>1061</v>
      </c>
      <c r="W37" s="466">
        <f t="shared" si="11"/>
        <v>100</v>
      </c>
      <c r="X37" s="460"/>
      <c r="Y37" s="3845"/>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5"/>
      <c r="Q38" s="467">
        <f t="shared" si="8"/>
        <v>111</v>
      </c>
      <c r="R38" s="468" t="s">
        <v>1061</v>
      </c>
      <c r="S38" s="469">
        <f t="shared" si="9"/>
        <v>100</v>
      </c>
      <c r="T38" s="468" t="s">
        <v>1061</v>
      </c>
      <c r="U38" s="469">
        <f t="shared" si="10"/>
        <v>100</v>
      </c>
      <c r="V38" s="468" t="s">
        <v>1061</v>
      </c>
      <c r="W38" s="469">
        <f t="shared" si="11"/>
        <v>100</v>
      </c>
      <c r="X38" s="470"/>
      <c r="Y38" s="3845"/>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5"/>
      <c r="Q39" s="395">
        <f t="shared" si="8"/>
        <v>111</v>
      </c>
      <c r="R39" s="465" t="s">
        <v>1061</v>
      </c>
      <c r="S39" s="466">
        <f t="shared" si="9"/>
        <v>100</v>
      </c>
      <c r="T39" s="465" t="s">
        <v>1061</v>
      </c>
      <c r="U39" s="466">
        <f t="shared" si="10"/>
        <v>100</v>
      </c>
      <c r="V39" s="465" t="s">
        <v>1061</v>
      </c>
      <c r="W39" s="466">
        <f t="shared" si="11"/>
        <v>100</v>
      </c>
      <c r="X39" s="460"/>
      <c r="Y39" s="3845"/>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3"/>
      <c r="Q40" s="395">
        <f t="shared" si="8"/>
        <v>111</v>
      </c>
      <c r="R40" s="465" t="s">
        <v>1061</v>
      </c>
      <c r="S40" s="466">
        <f t="shared" si="9"/>
        <v>100</v>
      </c>
      <c r="T40" s="465" t="s">
        <v>1061</v>
      </c>
      <c r="U40" s="466">
        <f t="shared" si="10"/>
        <v>100</v>
      </c>
      <c r="V40" s="465" t="s">
        <v>1061</v>
      </c>
      <c r="W40" s="466">
        <f t="shared" si="11"/>
        <v>100</v>
      </c>
      <c r="X40" s="460"/>
      <c r="Y40" s="3953"/>
      <c r="Z40" s="459">
        <f t="shared" si="12"/>
        <v>111</v>
      </c>
      <c r="AA40" s="471">
        <f t="shared" si="3"/>
        <v>1</v>
      </c>
      <c r="AB40" s="471">
        <f t="shared" si="4"/>
        <v>1</v>
      </c>
      <c r="AC40" s="471">
        <f t="shared" si="5"/>
        <v>1</v>
      </c>
    </row>
    <row r="41" spans="1:29" ht="15">
      <c r="A41" s="312" t="s">
        <v>2533</v>
      </c>
      <c r="B41" s="313"/>
      <c r="C41" s="314" t="s">
        <v>138</v>
      </c>
      <c r="D41" s="315"/>
      <c r="E41" s="316"/>
      <c r="F41" s="317"/>
      <c r="G41" s="318"/>
      <c r="H41" s="319"/>
      <c r="I41" s="316"/>
      <c r="J41" s="319"/>
      <c r="K41" s="409"/>
      <c r="L41" s="410"/>
      <c r="M41" s="340"/>
      <c r="N41" s="390"/>
      <c r="O41" s="340"/>
      <c r="P41" s="3836" t="str">
        <f>A41</f>
        <v>成交单价（元/平方米）</v>
      </c>
      <c r="Q41" s="3836"/>
      <c r="R41" s="3951">
        <f>E41</f>
        <v>0</v>
      </c>
      <c r="S41" s="3951"/>
      <c r="T41" s="3951">
        <f>G41</f>
        <v>0</v>
      </c>
      <c r="U41" s="3951"/>
      <c r="V41" s="3951">
        <f>I41</f>
        <v>0</v>
      </c>
      <c r="W41" s="3951"/>
      <c r="X41" s="342"/>
      <c r="Y41" s="483"/>
      <c r="Z41" s="342"/>
      <c r="AA41" s="342"/>
      <c r="AB41" s="342"/>
      <c r="AC41" s="342"/>
    </row>
    <row r="42" spans="1:29" ht="15">
      <c r="A42" s="320" t="s">
        <v>1085</v>
      </c>
      <c r="B42" s="321"/>
      <c r="C42" s="322" t="e">
        <f>R43</f>
        <v>#DIV/0!</v>
      </c>
      <c r="D42" s="323" t="s">
        <v>1086</v>
      </c>
      <c r="E42" s="324" t="e">
        <f>R42</f>
        <v>#DIV/0!</v>
      </c>
      <c r="F42" s="325"/>
      <c r="G42" s="322" t="e">
        <f>T42</f>
        <v>#DIV/0!</v>
      </c>
      <c r="H42" s="325"/>
      <c r="I42" s="324" t="e">
        <f>V42</f>
        <v>#DIV/0!</v>
      </c>
      <c r="J42" s="325"/>
      <c r="K42" s="411">
        <f>F42+H42+J42</f>
        <v>0</v>
      </c>
      <c r="L42" s="410"/>
      <c r="M42" s="340"/>
      <c r="N42" s="390"/>
      <c r="O42" s="340"/>
      <c r="P42" s="3836" t="str">
        <f>A42</f>
        <v>比较价格（元/平方米）</v>
      </c>
      <c r="Q42" s="3836"/>
      <c r="R42" s="3951" t="e">
        <f>IF(F1="售价",ROUND(PRODUCT(R41,AA7:AA40),0),ROUND(PRODUCT(R41,AA7:AA40),1))</f>
        <v>#DIV/0!</v>
      </c>
      <c r="S42" s="3951"/>
      <c r="T42" s="3951" t="e">
        <f>IF(F1="售价",ROUND(PRODUCT(T41,AB7:AB40),0),ROUND(PRODUCT(T41,AB7:AB40),1))</f>
        <v>#DIV/0!</v>
      </c>
      <c r="U42" s="3951"/>
      <c r="V42" s="3951" t="e">
        <f>IF(F1="售价",ROUND(PRODUCT(V41,AC7:AC40),0),ROUND(PRODUCT(V41,AC7:AC40),1))</f>
        <v>#DIV/0!</v>
      </c>
      <c r="W42" s="3951"/>
      <c r="X42" s="342"/>
      <c r="Y42" s="342"/>
      <c r="Z42" s="342"/>
      <c r="AA42" s="342"/>
      <c r="AB42" s="342"/>
      <c r="AC42" s="342"/>
    </row>
    <row r="43" spans="1:29" ht="15">
      <c r="A43" s="326" t="s">
        <v>1087</v>
      </c>
      <c r="B43" s="327"/>
      <c r="C43" s="328" t="e">
        <f>R43</f>
        <v>#DIV/0!</v>
      </c>
      <c r="D43" s="328"/>
      <c r="E43" s="328"/>
      <c r="F43" s="328"/>
      <c r="G43" s="328"/>
      <c r="H43" s="328"/>
      <c r="I43" s="328"/>
      <c r="J43" s="328"/>
      <c r="K43" s="412"/>
      <c r="L43" s="410"/>
      <c r="M43" s="340"/>
      <c r="N43" s="340"/>
      <c r="O43" s="340"/>
      <c r="P43" s="3839" t="str">
        <f>A43</f>
        <v>估价对象XX用房的比较价格（楼面单价，元/平方米）</v>
      </c>
      <c r="Q43" s="3840"/>
      <c r="R43" s="3952" t="e">
        <f>IF(F1="售价",ROUND(IF(D42="简单平均",AVERAGE(R42:V42),R42*F42+T42*H42+V42*J42),0),ROUND(IF(D42="简单平均",AVERAGE(R42:V42),R42*F42+T42*H42+V42*J42),1))</f>
        <v>#DIV/0!</v>
      </c>
      <c r="S43" s="3952"/>
      <c r="T43" s="3952"/>
      <c r="U43" s="3952"/>
      <c r="V43" s="3952"/>
      <c r="W43" s="395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1088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1089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1059</v>
      </c>
      <c r="B52" s="346"/>
      <c r="C52" s="347" t="str">
        <f>YEAR(C7)&amp;"-"&amp;MONTH(C7)</f>
        <v>2023-11</v>
      </c>
      <c r="D52" s="348">
        <f>EDATE(C52,-1)</f>
        <v>45200</v>
      </c>
      <c r="E52" s="348">
        <f t="shared" ref="E52:O52" si="13">EDATE(D52,-1)</f>
        <v>45170</v>
      </c>
      <c r="F52" s="348">
        <f t="shared" si="13"/>
        <v>45139</v>
      </c>
      <c r="G52" s="348">
        <f t="shared" si="13"/>
        <v>45108</v>
      </c>
      <c r="H52" s="348">
        <f t="shared" si="13"/>
        <v>45078</v>
      </c>
      <c r="I52" s="348">
        <f t="shared" si="13"/>
        <v>45047</v>
      </c>
      <c r="J52" s="348">
        <f t="shared" si="13"/>
        <v>45017</v>
      </c>
      <c r="K52" s="348">
        <f t="shared" si="13"/>
        <v>44986</v>
      </c>
      <c r="L52" s="348">
        <f t="shared" si="13"/>
        <v>44958</v>
      </c>
      <c r="M52" s="348">
        <f t="shared" si="13"/>
        <v>44927</v>
      </c>
      <c r="N52" s="348">
        <f t="shared" si="13"/>
        <v>44896</v>
      </c>
      <c r="O52" s="348">
        <f t="shared" si="13"/>
        <v>44866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1062</v>
      </c>
      <c r="B55" s="350"/>
      <c r="C55" s="358" t="s">
        <v>1063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1115</v>
      </c>
      <c r="B57" s="361" t="s">
        <v>1116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1117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1118</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1119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1124</v>
      </c>
      <c r="B88" s="361" t="s">
        <v>2522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2523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IF(B37="元/平方米",C39,ROUND(B2*10000/D3,0))</f>
        <v>#DIV/0!</v>
      </c>
      <c r="C3" s="221" t="s">
        <v>2517</v>
      </c>
      <c r="D3" s="222">
        <f>SUMIF('数据-汇总表'!$C19:$C33,D1,'数据-汇总表'!$E19:$E33)</f>
        <v>0</v>
      </c>
      <c r="E3" s="509" t="s">
        <v>2569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5" t="s">
        <v>1047</v>
      </c>
      <c r="D4" s="3826"/>
      <c r="E4" s="3825" t="s">
        <v>1048</v>
      </c>
      <c r="F4" s="3826"/>
      <c r="G4" s="3825" t="s">
        <v>1049</v>
      </c>
      <c r="H4" s="3826"/>
      <c r="I4" s="3825" t="s">
        <v>1050</v>
      </c>
      <c r="J4" s="3826"/>
      <c r="K4" s="388" t="s">
        <v>1051</v>
      </c>
      <c r="L4" s="389"/>
      <c r="M4" s="390"/>
      <c r="N4" s="390"/>
      <c r="O4" s="390"/>
      <c r="P4" s="3849" t="s">
        <v>1052</v>
      </c>
      <c r="Q4" s="3850"/>
      <c r="R4" s="3855" t="s">
        <v>1048</v>
      </c>
      <c r="S4" s="3856"/>
      <c r="T4" s="3855" t="s">
        <v>1049</v>
      </c>
      <c r="U4" s="3856"/>
      <c r="V4" s="3837" t="s">
        <v>1050</v>
      </c>
      <c r="W4" s="3837"/>
      <c r="X4" s="460"/>
      <c r="Y4" s="3855" t="s">
        <v>1052</v>
      </c>
      <c r="Z4" s="3856"/>
      <c r="AA4" s="3846" t="s">
        <v>1048</v>
      </c>
      <c r="AB4" s="3847" t="s">
        <v>1049</v>
      </c>
      <c r="AC4" s="3846" t="s">
        <v>1050</v>
      </c>
    </row>
    <row r="5" spans="1:29" ht="15">
      <c r="A5" s="225"/>
      <c r="B5" s="226"/>
      <c r="C5" s="3827" t="s">
        <v>1053</v>
      </c>
      <c r="D5" s="3828"/>
      <c r="E5" s="3827" t="s">
        <v>1054</v>
      </c>
      <c r="F5" s="3828"/>
      <c r="G5" s="3827" t="s">
        <v>1055</v>
      </c>
      <c r="H5" s="3828"/>
      <c r="I5" s="3827" t="s">
        <v>1056</v>
      </c>
      <c r="J5" s="3828"/>
      <c r="K5" s="388"/>
      <c r="L5" s="389"/>
      <c r="M5" s="390"/>
      <c r="N5" s="390"/>
      <c r="O5" s="390"/>
      <c r="P5" s="3851"/>
      <c r="Q5" s="3852"/>
      <c r="R5" s="3857"/>
      <c r="S5" s="3858"/>
      <c r="T5" s="3857"/>
      <c r="U5" s="3858"/>
      <c r="V5" s="3837"/>
      <c r="W5" s="3837"/>
      <c r="X5" s="460"/>
      <c r="Y5" s="3857"/>
      <c r="Z5" s="3858"/>
      <c r="AA5" s="3847"/>
      <c r="AB5" s="3847"/>
      <c r="AC5" s="3847"/>
    </row>
    <row r="6" spans="1:29" ht="15">
      <c r="A6" s="227"/>
      <c r="B6" s="228"/>
      <c r="C6" s="3831" t="s">
        <v>1057</v>
      </c>
      <c r="D6" s="3832"/>
      <c r="E6" s="3829" t="s">
        <v>1057</v>
      </c>
      <c r="F6" s="3830"/>
      <c r="G6" s="3831" t="s">
        <v>1057</v>
      </c>
      <c r="H6" s="3832"/>
      <c r="I6" s="3831" t="s">
        <v>1057</v>
      </c>
      <c r="J6" s="3832"/>
      <c r="K6" s="388" t="s">
        <v>1058</v>
      </c>
      <c r="L6" s="389"/>
      <c r="M6" s="390"/>
      <c r="N6" s="390"/>
      <c r="O6" s="390"/>
      <c r="P6" s="3853"/>
      <c r="Q6" s="3854"/>
      <c r="R6" s="3857"/>
      <c r="S6" s="3858"/>
      <c r="T6" s="3859"/>
      <c r="U6" s="3860"/>
      <c r="V6" s="3837"/>
      <c r="W6" s="3837"/>
      <c r="X6" s="460"/>
      <c r="Y6" s="3859"/>
      <c r="Z6" s="3860"/>
      <c r="AA6" s="3848"/>
      <c r="AB6" s="3848"/>
      <c r="AC6" s="3848"/>
    </row>
    <row r="7" spans="1:29" s="199" customFormat="1" ht="15">
      <c r="A7" s="229"/>
      <c r="B7" s="230" t="s">
        <v>1059</v>
      </c>
      <c r="C7" s="231">
        <f>'数据-取费表'!B2</f>
        <v>45257</v>
      </c>
      <c r="D7" s="232">
        <v>100</v>
      </c>
      <c r="E7" s="233"/>
      <c r="F7" s="234">
        <f>SUMIF(48:48,YEAR(E7)&amp;"-"&amp;MONTH(E7),49:49)</f>
        <v>0</v>
      </c>
      <c r="G7" s="235"/>
      <c r="H7" s="232">
        <f>SUMIF(48:48,YEAR(G7)&amp;"-"&amp;MONTH(G7),49:49)</f>
        <v>0</v>
      </c>
      <c r="I7" s="235"/>
      <c r="J7" s="232">
        <f>SUMIF(48:48,YEAR(I7)&amp;"-"&amp;MONTH(I7),49:49)</f>
        <v>0</v>
      </c>
      <c r="K7" s="391"/>
      <c r="L7" s="392"/>
      <c r="M7" s="393"/>
      <c r="N7" s="393"/>
      <c r="O7" s="393"/>
      <c r="P7" s="3833" t="s">
        <v>1060</v>
      </c>
      <c r="Q7" s="3834"/>
      <c r="R7" s="461" t="s">
        <v>1061</v>
      </c>
      <c r="S7" s="462">
        <f t="shared" ref="S7:S14" si="0">F7</f>
        <v>0</v>
      </c>
      <c r="T7" s="461" t="s">
        <v>1061</v>
      </c>
      <c r="U7" s="462">
        <f t="shared" ref="U7:U14" si="1">H7</f>
        <v>0</v>
      </c>
      <c r="V7" s="461" t="s">
        <v>1061</v>
      </c>
      <c r="W7" s="462">
        <f t="shared" ref="W7:W14"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3" t="s">
        <v>1064</v>
      </c>
      <c r="Q8" s="3835"/>
      <c r="R8" s="461" t="s">
        <v>1061</v>
      </c>
      <c r="S8" s="462">
        <f t="shared" si="0"/>
        <v>0</v>
      </c>
      <c r="T8" s="461" t="s">
        <v>1061</v>
      </c>
      <c r="U8" s="462">
        <f t="shared" si="1"/>
        <v>0</v>
      </c>
      <c r="V8" s="461" t="s">
        <v>1061</v>
      </c>
      <c r="W8" s="462">
        <f t="shared" si="2"/>
        <v>0</v>
      </c>
      <c r="X8" s="463"/>
      <c r="Y8" s="3833" t="s">
        <v>1064</v>
      </c>
      <c r="Z8" s="3835"/>
      <c r="AA8" s="480" t="e">
        <f t="shared" ref="AA8:AA36" si="3">D8/F8</f>
        <v>#DIV/0!</v>
      </c>
      <c r="AB8" s="480" t="e">
        <f t="shared" ref="AB8:AB36" si="4">D8/H8</f>
        <v>#DIV/0!</v>
      </c>
      <c r="AC8" s="480" t="e">
        <f t="shared" ref="AC8:AC36" si="5">D8/J8</f>
        <v>#DIV/0!</v>
      </c>
    </row>
    <row r="9" spans="1:29" s="199" customFormat="1" ht="15">
      <c r="A9" s="239"/>
      <c r="B9" s="240" t="s">
        <v>1065</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6" t="s">
        <v>1066</v>
      </c>
      <c r="Q9" s="464" t="str">
        <f t="shared" ref="Q9:Q14" si="6">B9</f>
        <v>用途</v>
      </c>
      <c r="R9" s="461" t="s">
        <v>1061</v>
      </c>
      <c r="S9" s="462">
        <f t="shared" si="0"/>
        <v>100</v>
      </c>
      <c r="T9" s="461" t="s">
        <v>1061</v>
      </c>
      <c r="U9" s="462">
        <f t="shared" si="1"/>
        <v>100</v>
      </c>
      <c r="V9" s="461" t="s">
        <v>1061</v>
      </c>
      <c r="W9" s="462">
        <f t="shared" si="2"/>
        <v>100</v>
      </c>
      <c r="X9" s="463"/>
      <c r="Y9" s="3804"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6"/>
      <c r="Q11" s="464">
        <f t="shared" si="6"/>
        <v>111</v>
      </c>
      <c r="R11" s="461" t="s">
        <v>1061</v>
      </c>
      <c r="S11" s="462">
        <f t="shared" si="0"/>
        <v>100</v>
      </c>
      <c r="T11" s="461" t="s">
        <v>1061</v>
      </c>
      <c r="U11" s="462">
        <f t="shared" si="1"/>
        <v>100</v>
      </c>
      <c r="V11" s="461" t="s">
        <v>1061</v>
      </c>
      <c r="W11" s="462">
        <f t="shared" si="2"/>
        <v>100</v>
      </c>
      <c r="X11" s="463"/>
      <c r="Y11" s="380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85.5">
      <c r="A14" s="257" t="s">
        <v>1071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2" t="s">
        <v>1072</v>
      </c>
      <c r="Q14" s="395" t="str">
        <f t="shared" si="6"/>
        <v>交通便捷度</v>
      </c>
      <c r="R14" s="465" t="s">
        <v>1061</v>
      </c>
      <c r="S14" s="466">
        <f t="shared" si="0"/>
        <v>100</v>
      </c>
      <c r="T14" s="465" t="s">
        <v>1061</v>
      </c>
      <c r="U14" s="466">
        <f t="shared" si="1"/>
        <v>100</v>
      </c>
      <c r="V14" s="465" t="s">
        <v>1061</v>
      </c>
      <c r="W14" s="466">
        <f t="shared" si="2"/>
        <v>100</v>
      </c>
      <c r="X14" s="460"/>
      <c r="Y14" s="3842" t="s">
        <v>1072</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3"/>
      <c r="Q15" s="395"/>
      <c r="R15" s="465"/>
      <c r="S15" s="466"/>
      <c r="T15" s="465"/>
      <c r="U15" s="466"/>
      <c r="V15" s="465"/>
      <c r="W15" s="466"/>
      <c r="X15" s="460"/>
      <c r="Y15" s="3843"/>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3"/>
      <c r="Q16" s="395" t="str">
        <f>B16</f>
        <v>公共配套设施</v>
      </c>
      <c r="R16" s="465" t="s">
        <v>1061</v>
      </c>
      <c r="S16" s="466">
        <f>F16</f>
        <v>100</v>
      </c>
      <c r="T16" s="465" t="s">
        <v>1061</v>
      </c>
      <c r="U16" s="466">
        <f>H16</f>
        <v>100</v>
      </c>
      <c r="V16" s="465" t="s">
        <v>1061</v>
      </c>
      <c r="W16" s="466">
        <f>J16</f>
        <v>100</v>
      </c>
      <c r="X16" s="460"/>
      <c r="Y16" s="3843"/>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3"/>
      <c r="Q17" s="395"/>
      <c r="R17" s="465"/>
      <c r="S17" s="466"/>
      <c r="T17" s="465"/>
      <c r="U17" s="466"/>
      <c r="V17" s="465"/>
      <c r="W17" s="466"/>
      <c r="X17" s="460"/>
      <c r="Y17" s="3843"/>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3"/>
      <c r="Q18" s="395" t="str">
        <f>B18</f>
        <v>基础设施水平</v>
      </c>
      <c r="R18" s="465" t="s">
        <v>1061</v>
      </c>
      <c r="S18" s="466">
        <f>F18</f>
        <v>100</v>
      </c>
      <c r="T18" s="465" t="s">
        <v>1061</v>
      </c>
      <c r="U18" s="466">
        <f>H18</f>
        <v>100</v>
      </c>
      <c r="V18" s="465" t="s">
        <v>1061</v>
      </c>
      <c r="W18" s="466">
        <f>J18</f>
        <v>100</v>
      </c>
      <c r="X18" s="460"/>
      <c r="Y18" s="3843"/>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3"/>
      <c r="Q19" s="395"/>
      <c r="R19" s="465"/>
      <c r="S19" s="466"/>
      <c r="T19" s="465"/>
      <c r="U19" s="466"/>
      <c r="V19" s="465"/>
      <c r="W19" s="466"/>
      <c r="X19" s="460"/>
      <c r="Y19" s="3843"/>
      <c r="Z19" s="459"/>
      <c r="AA19" s="471">
        <v>1</v>
      </c>
      <c r="AB19" s="471">
        <v>1</v>
      </c>
      <c r="AC19" s="471">
        <v>1</v>
      </c>
    </row>
    <row r="20" spans="1:29" ht="57">
      <c r="A20" s="225"/>
      <c r="B20" s="513" t="s">
        <v>2518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3"/>
      <c r="Q20" s="395" t="str">
        <f>B20</f>
        <v>自然及人文环境</v>
      </c>
      <c r="R20" s="465" t="s">
        <v>1061</v>
      </c>
      <c r="S20" s="466">
        <f>F20</f>
        <v>100</v>
      </c>
      <c r="T20" s="465" t="s">
        <v>1061</v>
      </c>
      <c r="U20" s="466">
        <f>H20</f>
        <v>100</v>
      </c>
      <c r="V20" s="465" t="s">
        <v>1061</v>
      </c>
      <c r="W20" s="466">
        <f>J20</f>
        <v>100</v>
      </c>
      <c r="X20" s="460"/>
      <c r="Y20" s="3843"/>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3"/>
      <c r="Q21" s="395"/>
      <c r="R21" s="465"/>
      <c r="S21" s="466"/>
      <c r="T21" s="465"/>
      <c r="U21" s="466"/>
      <c r="V21" s="465"/>
      <c r="W21" s="466"/>
      <c r="X21" s="460"/>
      <c r="Y21" s="3843"/>
      <c r="Z21" s="459"/>
      <c r="AA21" s="471">
        <v>1</v>
      </c>
      <c r="AB21" s="471">
        <v>1</v>
      </c>
      <c r="AC21" s="471">
        <v>1</v>
      </c>
    </row>
    <row r="22" spans="1:29" ht="15">
      <c r="A22" s="225"/>
      <c r="B22" s="513" t="s">
        <v>2556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3"/>
      <c r="Q22" s="395" t="str">
        <f>B22</f>
        <v>楼层</v>
      </c>
      <c r="R22" s="465" t="s">
        <v>1061</v>
      </c>
      <c r="S22" s="466">
        <f>F22</f>
        <v>100</v>
      </c>
      <c r="T22" s="465" t="s">
        <v>1061</v>
      </c>
      <c r="U22" s="466">
        <f>H22</f>
        <v>100</v>
      </c>
      <c r="V22" s="465" t="s">
        <v>1061</v>
      </c>
      <c r="W22" s="466">
        <f>J22</f>
        <v>100</v>
      </c>
      <c r="X22" s="460"/>
      <c r="Y22" s="3843"/>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3"/>
      <c r="Q23" s="395">
        <f>B23</f>
        <v>111</v>
      </c>
      <c r="R23" s="465" t="s">
        <v>1061</v>
      </c>
      <c r="S23" s="466">
        <f>F23</f>
        <v>100</v>
      </c>
      <c r="T23" s="465" t="s">
        <v>1061</v>
      </c>
      <c r="U23" s="466">
        <f>H23</f>
        <v>100</v>
      </c>
      <c r="V23" s="465" t="s">
        <v>1061</v>
      </c>
      <c r="W23" s="466">
        <f>J23</f>
        <v>100</v>
      </c>
      <c r="X23" s="460"/>
      <c r="Y23" s="3843"/>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3"/>
      <c r="Q24" s="395">
        <f t="shared" ref="Q24:Q36" si="8">B24</f>
        <v>111</v>
      </c>
      <c r="R24" s="465" t="s">
        <v>1061</v>
      </c>
      <c r="S24" s="466">
        <f>F24</f>
        <v>100</v>
      </c>
      <c r="T24" s="465" t="s">
        <v>1061</v>
      </c>
      <c r="U24" s="466">
        <f>H24</f>
        <v>100</v>
      </c>
      <c r="V24" s="465" t="s">
        <v>1061</v>
      </c>
      <c r="W24" s="466">
        <f>J24</f>
        <v>100</v>
      </c>
      <c r="X24" s="460"/>
      <c r="Y24" s="3843"/>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3"/>
      <c r="Q25" s="464">
        <f t="shared" si="8"/>
        <v>111</v>
      </c>
      <c r="R25" s="461" t="s">
        <v>1061</v>
      </c>
      <c r="S25" s="462">
        <f>F25</f>
        <v>100</v>
      </c>
      <c r="T25" s="461" t="s">
        <v>1061</v>
      </c>
      <c r="U25" s="462">
        <f>H25</f>
        <v>100</v>
      </c>
      <c r="V25" s="461" t="s">
        <v>1061</v>
      </c>
      <c r="W25" s="462">
        <f>J25</f>
        <v>100</v>
      </c>
      <c r="X25" s="463"/>
      <c r="Y25" s="3843"/>
      <c r="Z25" s="481">
        <f>Q25</f>
        <v>111</v>
      </c>
      <c r="AA25" s="471">
        <f t="shared" si="3"/>
        <v>1</v>
      </c>
      <c r="AB25" s="471">
        <f t="shared" si="4"/>
        <v>1</v>
      </c>
      <c r="AC25" s="471">
        <f t="shared" si="5"/>
        <v>1</v>
      </c>
    </row>
    <row r="26" spans="1:29" ht="15">
      <c r="A26" s="292" t="s">
        <v>1077</v>
      </c>
      <c r="B26" s="520" t="s">
        <v>2570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4" t="s">
        <v>1076</v>
      </c>
      <c r="Q26" s="395" t="str">
        <f t="shared" si="8"/>
        <v>配套类型</v>
      </c>
      <c r="R26" s="465" t="s">
        <v>1061</v>
      </c>
      <c r="S26" s="466">
        <f t="shared" ref="S26:S36" si="9">F26</f>
        <v>100</v>
      </c>
      <c r="T26" s="465" t="s">
        <v>1061</v>
      </c>
      <c r="U26" s="466">
        <f t="shared" ref="U26:U36" si="10">H26</f>
        <v>100</v>
      </c>
      <c r="V26" s="465" t="s">
        <v>1061</v>
      </c>
      <c r="W26" s="466">
        <f t="shared" ref="W26:W36" si="11">J26</f>
        <v>100</v>
      </c>
      <c r="X26" s="460"/>
      <c r="Y26" s="3845" t="s">
        <v>1076</v>
      </c>
      <c r="Z26" s="459" t="str">
        <f t="shared" ref="Z26:Z36" si="12">Q26</f>
        <v>配套类型</v>
      </c>
      <c r="AA26" s="471">
        <f t="shared" si="3"/>
        <v>1</v>
      </c>
      <c r="AB26" s="471">
        <f t="shared" si="4"/>
        <v>1</v>
      </c>
      <c r="AC26" s="471">
        <f t="shared" si="5"/>
        <v>1</v>
      </c>
    </row>
    <row r="27" spans="1:29" s="201" customFormat="1" ht="15">
      <c r="A27" s="522"/>
      <c r="B27" s="523" t="s">
        <v>2571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5"/>
      <c r="Q27" s="467" t="str">
        <f t="shared" si="8"/>
        <v>项目停车位配比</v>
      </c>
      <c r="R27" s="468" t="s">
        <v>1061</v>
      </c>
      <c r="S27" s="469">
        <f t="shared" si="9"/>
        <v>100</v>
      </c>
      <c r="T27" s="468" t="s">
        <v>1061</v>
      </c>
      <c r="U27" s="469">
        <f t="shared" si="10"/>
        <v>100</v>
      </c>
      <c r="V27" s="468" t="s">
        <v>1061</v>
      </c>
      <c r="W27" s="469">
        <f t="shared" si="11"/>
        <v>100</v>
      </c>
      <c r="X27" s="470"/>
      <c r="Y27" s="3845"/>
      <c r="Z27" s="482" t="str">
        <f t="shared" si="12"/>
        <v>项目停车位配比</v>
      </c>
      <c r="AA27" s="471">
        <f t="shared" si="3"/>
        <v>1</v>
      </c>
      <c r="AB27" s="471">
        <f t="shared" si="4"/>
        <v>1</v>
      </c>
      <c r="AC27" s="471">
        <f t="shared" si="5"/>
        <v>1</v>
      </c>
    </row>
    <row r="28" spans="1:29" ht="15">
      <c r="A28" s="525"/>
      <c r="B28" s="523" t="s">
        <v>2526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5"/>
      <c r="Q28" s="395" t="str">
        <f t="shared" si="8"/>
        <v>公共部分装修</v>
      </c>
      <c r="R28" s="465" t="s">
        <v>1061</v>
      </c>
      <c r="S28" s="466">
        <f t="shared" si="9"/>
        <v>100</v>
      </c>
      <c r="T28" s="465" t="s">
        <v>1061</v>
      </c>
      <c r="U28" s="466">
        <f t="shared" si="10"/>
        <v>100</v>
      </c>
      <c r="V28" s="465" t="s">
        <v>1061</v>
      </c>
      <c r="W28" s="466">
        <f t="shared" si="11"/>
        <v>100</v>
      </c>
      <c r="X28" s="460"/>
      <c r="Y28" s="3845"/>
      <c r="Z28" s="459" t="str">
        <f t="shared" si="12"/>
        <v>公共部分装修</v>
      </c>
      <c r="AA28" s="471">
        <f t="shared" si="3"/>
        <v>1</v>
      </c>
      <c r="AB28" s="471">
        <f t="shared" si="4"/>
        <v>1</v>
      </c>
      <c r="AC28" s="471">
        <f t="shared" si="5"/>
        <v>1</v>
      </c>
    </row>
    <row r="29" spans="1:29" ht="15">
      <c r="A29" s="525"/>
      <c r="B29" s="523" t="s">
        <v>2572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5"/>
      <c r="Q29" s="395" t="str">
        <f t="shared" si="8"/>
        <v>成新率</v>
      </c>
      <c r="R29" s="465" t="s">
        <v>1061</v>
      </c>
      <c r="S29" s="466" t="e">
        <f t="shared" si="9"/>
        <v>#N/A</v>
      </c>
      <c r="T29" s="465" t="s">
        <v>1061</v>
      </c>
      <c r="U29" s="466" t="e">
        <f t="shared" si="10"/>
        <v>#N/A</v>
      </c>
      <c r="V29" s="465" t="s">
        <v>1061</v>
      </c>
      <c r="W29" s="466" t="e">
        <f t="shared" si="11"/>
        <v>#N/A</v>
      </c>
      <c r="X29" s="460"/>
      <c r="Y29" s="3845"/>
      <c r="Z29" s="459" t="str">
        <f t="shared" si="12"/>
        <v>成新率</v>
      </c>
      <c r="AA29" s="471" t="e">
        <f t="shared" si="3"/>
        <v>#N/A</v>
      </c>
      <c r="AB29" s="471" t="e">
        <f t="shared" si="4"/>
        <v>#N/A</v>
      </c>
      <c r="AC29" s="471" t="e">
        <f t="shared" si="5"/>
        <v>#N/A</v>
      </c>
    </row>
    <row r="30" spans="1:29" ht="15">
      <c r="A30" s="525"/>
      <c r="B30" s="523" t="s">
        <v>2573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5"/>
      <c r="Q30" s="395" t="str">
        <f t="shared" si="8"/>
        <v>物业等级</v>
      </c>
      <c r="R30" s="465" t="s">
        <v>1061</v>
      </c>
      <c r="S30" s="466">
        <f t="shared" si="9"/>
        <v>100</v>
      </c>
      <c r="T30" s="465" t="s">
        <v>1061</v>
      </c>
      <c r="U30" s="466">
        <f t="shared" si="10"/>
        <v>100</v>
      </c>
      <c r="V30" s="465" t="s">
        <v>1061</v>
      </c>
      <c r="W30" s="466">
        <f t="shared" si="11"/>
        <v>100</v>
      </c>
      <c r="X30" s="460"/>
      <c r="Y30" s="3845"/>
      <c r="Z30" s="459" t="str">
        <f t="shared" si="12"/>
        <v>物业等级</v>
      </c>
      <c r="AA30" s="471">
        <f t="shared" si="3"/>
        <v>1</v>
      </c>
      <c r="AB30" s="471">
        <f t="shared" si="4"/>
        <v>1</v>
      </c>
      <c r="AC30" s="471">
        <f t="shared" si="5"/>
        <v>1</v>
      </c>
    </row>
    <row r="31" spans="1:29" s="199" customFormat="1" ht="15">
      <c r="A31" s="526"/>
      <c r="B31" s="523" t="s">
        <v>2574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5"/>
      <c r="Q31" s="464" t="str">
        <f t="shared" si="8"/>
        <v>停车位面积</v>
      </c>
      <c r="R31" s="461" t="s">
        <v>1061</v>
      </c>
      <c r="S31" s="462" t="e">
        <f t="shared" si="9"/>
        <v>#N/A</v>
      </c>
      <c r="T31" s="461" t="s">
        <v>1061</v>
      </c>
      <c r="U31" s="462" t="e">
        <f t="shared" si="10"/>
        <v>#N/A</v>
      </c>
      <c r="V31" s="461" t="s">
        <v>1061</v>
      </c>
      <c r="W31" s="462" t="e">
        <f t="shared" si="11"/>
        <v>#N/A</v>
      </c>
      <c r="X31" s="463"/>
      <c r="Y31" s="3845"/>
      <c r="Z31" s="481" t="str">
        <f t="shared" si="12"/>
        <v>停车位面积</v>
      </c>
      <c r="AA31" s="480" t="e">
        <f t="shared" si="3"/>
        <v>#N/A</v>
      </c>
      <c r="AB31" s="480" t="e">
        <f t="shared" si="4"/>
        <v>#N/A</v>
      </c>
      <c r="AC31" s="480" t="e">
        <f t="shared" si="5"/>
        <v>#N/A</v>
      </c>
    </row>
    <row r="32" spans="1:29" ht="15">
      <c r="A32" s="525"/>
      <c r="B32" s="523" t="s">
        <v>2575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5" t="s">
        <v>1076</v>
      </c>
      <c r="Q32" s="395" t="str">
        <f t="shared" si="8"/>
        <v>车位类型</v>
      </c>
      <c r="R32" s="465" t="s">
        <v>1061</v>
      </c>
      <c r="S32" s="466">
        <f t="shared" si="9"/>
        <v>100</v>
      </c>
      <c r="T32" s="465" t="s">
        <v>1061</v>
      </c>
      <c r="U32" s="466">
        <f t="shared" si="10"/>
        <v>100</v>
      </c>
      <c r="V32" s="465" t="s">
        <v>1061</v>
      </c>
      <c r="W32" s="466">
        <f t="shared" si="11"/>
        <v>100</v>
      </c>
      <c r="X32" s="460"/>
      <c r="Y32" s="3845" t="s">
        <v>1076</v>
      </c>
      <c r="Z32" s="459" t="str">
        <f t="shared" si="12"/>
        <v>车位类型</v>
      </c>
      <c r="AA32" s="471">
        <f t="shared" si="3"/>
        <v>1</v>
      </c>
      <c r="AB32" s="471">
        <f t="shared" si="4"/>
        <v>1</v>
      </c>
      <c r="AC32" s="471">
        <f t="shared" si="5"/>
        <v>1</v>
      </c>
    </row>
    <row r="33" spans="1:29" ht="15">
      <c r="A33" s="525"/>
      <c r="B33" s="523" t="s">
        <v>2576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5"/>
      <c r="Q33" s="395" t="str">
        <f t="shared" si="8"/>
        <v>是否直接入户</v>
      </c>
      <c r="R33" s="465" t="s">
        <v>1061</v>
      </c>
      <c r="S33" s="466">
        <f t="shared" si="9"/>
        <v>100</v>
      </c>
      <c r="T33" s="465" t="s">
        <v>1061</v>
      </c>
      <c r="U33" s="466">
        <f t="shared" si="10"/>
        <v>100</v>
      </c>
      <c r="V33" s="465" t="s">
        <v>1061</v>
      </c>
      <c r="W33" s="466">
        <f t="shared" si="11"/>
        <v>100</v>
      </c>
      <c r="X33" s="460"/>
      <c r="Y33" s="3845"/>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5"/>
      <c r="Q34" s="395">
        <f t="shared" si="8"/>
        <v>111</v>
      </c>
      <c r="R34" s="465" t="s">
        <v>1061</v>
      </c>
      <c r="S34" s="466">
        <f t="shared" si="9"/>
        <v>100</v>
      </c>
      <c r="T34" s="465" t="s">
        <v>1061</v>
      </c>
      <c r="U34" s="466">
        <f t="shared" si="10"/>
        <v>100</v>
      </c>
      <c r="V34" s="465" t="s">
        <v>1061</v>
      </c>
      <c r="W34" s="466">
        <f t="shared" si="11"/>
        <v>100</v>
      </c>
      <c r="X34" s="460"/>
      <c r="Y34" s="3845"/>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5"/>
      <c r="Q35" s="467">
        <f t="shared" si="8"/>
        <v>111</v>
      </c>
      <c r="R35" s="468" t="s">
        <v>1061</v>
      </c>
      <c r="S35" s="469">
        <f t="shared" si="9"/>
        <v>100</v>
      </c>
      <c r="T35" s="468" t="s">
        <v>1061</v>
      </c>
      <c r="U35" s="469">
        <f t="shared" si="10"/>
        <v>100</v>
      </c>
      <c r="V35" s="468" t="s">
        <v>1061</v>
      </c>
      <c r="W35" s="469">
        <f t="shared" si="11"/>
        <v>100</v>
      </c>
      <c r="X35" s="470"/>
      <c r="Y35" s="3845"/>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5"/>
      <c r="Q36" s="395">
        <f t="shared" si="8"/>
        <v>111</v>
      </c>
      <c r="R36" s="465" t="s">
        <v>1061</v>
      </c>
      <c r="S36" s="466">
        <f t="shared" si="9"/>
        <v>100</v>
      </c>
      <c r="T36" s="465" t="s">
        <v>1061</v>
      </c>
      <c r="U36" s="466">
        <f t="shared" si="10"/>
        <v>100</v>
      </c>
      <c r="V36" s="465" t="s">
        <v>1061</v>
      </c>
      <c r="W36" s="466">
        <f t="shared" si="11"/>
        <v>100</v>
      </c>
      <c r="X36" s="460"/>
      <c r="Y36" s="3845"/>
      <c r="Z36" s="459">
        <f t="shared" si="12"/>
        <v>111</v>
      </c>
      <c r="AA36" s="471">
        <f t="shared" si="3"/>
        <v>1</v>
      </c>
      <c r="AB36" s="471">
        <f t="shared" si="4"/>
        <v>1</v>
      </c>
      <c r="AC36" s="471">
        <f t="shared" si="5"/>
        <v>1</v>
      </c>
    </row>
    <row r="37" spans="1:29" ht="15">
      <c r="A37" s="528" t="s">
        <v>2577</v>
      </c>
      <c r="B37" s="529" t="s">
        <v>1142</v>
      </c>
      <c r="C37" s="314" t="s">
        <v>138</v>
      </c>
      <c r="D37" s="315"/>
      <c r="E37" s="316"/>
      <c r="F37" s="317"/>
      <c r="G37" s="318"/>
      <c r="H37" s="319"/>
      <c r="I37" s="316"/>
      <c r="J37" s="319"/>
      <c r="K37" s="409"/>
      <c r="L37" s="410"/>
      <c r="M37" s="340"/>
      <c r="N37" s="390"/>
      <c r="O37" s="340"/>
      <c r="P37" s="3836" t="str">
        <f>A37</f>
        <v>成交单价</v>
      </c>
      <c r="Q37" s="3836"/>
      <c r="R37" s="3951">
        <f>E37</f>
        <v>0</v>
      </c>
      <c r="S37" s="3951"/>
      <c r="T37" s="3951">
        <f>G37</f>
        <v>0</v>
      </c>
      <c r="U37" s="3951"/>
      <c r="V37" s="3951">
        <f>I37</f>
        <v>0</v>
      </c>
      <c r="W37" s="3951"/>
      <c r="X37" s="342"/>
      <c r="Y37" s="483"/>
      <c r="Z37" s="342"/>
      <c r="AA37" s="342"/>
      <c r="AB37" s="342"/>
      <c r="AC37" s="342"/>
    </row>
    <row r="38" spans="1:29" ht="15">
      <c r="A38" s="320" t="s">
        <v>1085</v>
      </c>
      <c r="B38" s="321"/>
      <c r="C38" s="322" t="e">
        <f>R39</f>
        <v>#DIV/0!</v>
      </c>
      <c r="D38" s="323" t="s">
        <v>1086</v>
      </c>
      <c r="E38" s="324" t="e">
        <f>R38</f>
        <v>#DIV/0!</v>
      </c>
      <c r="F38" s="325"/>
      <c r="G38" s="322" t="e">
        <f>T38</f>
        <v>#DIV/0!</v>
      </c>
      <c r="H38" s="325"/>
      <c r="I38" s="324" t="e">
        <f>V38</f>
        <v>#DIV/0!</v>
      </c>
      <c r="J38" s="325"/>
      <c r="K38" s="411">
        <f>F38+H38+J38</f>
        <v>0</v>
      </c>
      <c r="L38" s="410"/>
      <c r="M38" s="340"/>
      <c r="N38" s="340"/>
      <c r="O38" s="340"/>
      <c r="P38" s="3836" t="str">
        <f>A38</f>
        <v>比较价格（元/平方米）</v>
      </c>
      <c r="Q38" s="3836"/>
      <c r="R38" s="3951" t="e">
        <f>IF(F1="售价",ROUND(PRODUCT(R37,AA7:AA36),0),ROUND(PRODUCT(R37,AA7:AA36),1))</f>
        <v>#DIV/0!</v>
      </c>
      <c r="S38" s="3951"/>
      <c r="T38" s="3951" t="e">
        <f>IF(F1="售价",ROUND(PRODUCT(T37,AB7:AB36),0),ROUND(PRODUCT(T37,AB7:AB36),1))</f>
        <v>#DIV/0!</v>
      </c>
      <c r="U38" s="3951"/>
      <c r="V38" s="3951" t="e">
        <f>IF(F1="售价",ROUND(PRODUCT(V37,AC7:AC36),0),ROUND(PRODUCT(V37,AC7:AC36),1))</f>
        <v>#DIV/0!</v>
      </c>
      <c r="W38" s="3951"/>
      <c r="X38" s="342"/>
      <c r="Y38" s="342"/>
      <c r="Z38" s="342"/>
      <c r="AA38" s="342"/>
      <c r="AB38" s="342"/>
      <c r="AC38" s="342"/>
    </row>
    <row r="39" spans="1:29" ht="15">
      <c r="A39" s="326" t="s">
        <v>1087</v>
      </c>
      <c r="B39" s="327"/>
      <c r="C39" s="328" t="e">
        <f>R39</f>
        <v>#DIV/0!</v>
      </c>
      <c r="D39" s="328"/>
      <c r="E39" s="328"/>
      <c r="F39" s="328"/>
      <c r="G39" s="328"/>
      <c r="H39" s="328"/>
      <c r="I39" s="328"/>
      <c r="J39" s="328"/>
      <c r="K39" s="412"/>
      <c r="L39" s="410"/>
      <c r="M39" s="340"/>
      <c r="N39" s="340"/>
      <c r="O39" s="340"/>
      <c r="P39" s="3839" t="str">
        <f>A39</f>
        <v>估价对象XX用房的比较价格（楼面单价，元/平方米）</v>
      </c>
      <c r="Q39" s="3840"/>
      <c r="R39" s="3952" t="e">
        <f>IF(F1="售价",ROUND(IF(D38="简单平均",AVERAGE(R38:W38),R38*F38+T38*H38+V38*J38),0),ROUND(IF(D38="简单平均",AVERAGE(R38:V38),R38*F38+T38*H38+V38*J38),1))</f>
        <v>#DIV/0!</v>
      </c>
      <c r="S39" s="3952"/>
      <c r="T39" s="3952"/>
      <c r="U39" s="3952"/>
      <c r="V39" s="3952"/>
      <c r="W39" s="395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1088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1089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1111</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1059</v>
      </c>
      <c r="B48" s="346"/>
      <c r="C48" s="347" t="str">
        <f>YEAR(C7)&amp;"-"&amp;MONTH(C7)</f>
        <v>2023-11</v>
      </c>
      <c r="D48" s="348">
        <f>EDATE(C48,-1)</f>
        <v>45200</v>
      </c>
      <c r="E48" s="348">
        <f t="shared" ref="E48:O48" si="13">EDATE(D48,-1)</f>
        <v>45170</v>
      </c>
      <c r="F48" s="348">
        <f t="shared" si="13"/>
        <v>45139</v>
      </c>
      <c r="G48" s="348">
        <f t="shared" si="13"/>
        <v>45108</v>
      </c>
      <c r="H48" s="348">
        <f t="shared" si="13"/>
        <v>45078</v>
      </c>
      <c r="I48" s="348">
        <f t="shared" si="13"/>
        <v>45047</v>
      </c>
      <c r="J48" s="348">
        <f t="shared" si="13"/>
        <v>45017</v>
      </c>
      <c r="K48" s="348">
        <f t="shared" si="13"/>
        <v>44986</v>
      </c>
      <c r="L48" s="348">
        <f t="shared" si="13"/>
        <v>44958</v>
      </c>
      <c r="M48" s="348">
        <f t="shared" si="13"/>
        <v>44927</v>
      </c>
      <c r="N48" s="348">
        <f t="shared" si="13"/>
        <v>44896</v>
      </c>
      <c r="O48" s="348">
        <f t="shared" si="13"/>
        <v>44866</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1062</v>
      </c>
      <c r="B51" s="350"/>
      <c r="C51" s="358" t="s">
        <v>1063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1115</v>
      </c>
      <c r="B53" s="361" t="s">
        <v>1116</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1117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1119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2556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1124</v>
      </c>
      <c r="B79" s="361" t="s">
        <v>2578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2571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C37</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5" t="s">
        <v>1047</v>
      </c>
      <c r="D4" s="3826"/>
      <c r="E4" s="3865" t="s">
        <v>1048</v>
      </c>
      <c r="F4" s="3866"/>
      <c r="G4" s="3825" t="s">
        <v>1049</v>
      </c>
      <c r="H4" s="3826"/>
      <c r="I4" s="3825" t="s">
        <v>1050</v>
      </c>
      <c r="J4" s="3826"/>
      <c r="K4" s="388" t="s">
        <v>1051</v>
      </c>
      <c r="L4" s="389"/>
      <c r="M4" s="390"/>
      <c r="N4" s="390"/>
      <c r="O4" s="390"/>
      <c r="P4" s="3849" t="s">
        <v>1052</v>
      </c>
      <c r="Q4" s="3850"/>
      <c r="R4" s="3855" t="s">
        <v>1048</v>
      </c>
      <c r="S4" s="3856"/>
      <c r="T4" s="3855" t="s">
        <v>1049</v>
      </c>
      <c r="U4" s="3856"/>
      <c r="V4" s="3837" t="s">
        <v>1050</v>
      </c>
      <c r="W4" s="3837"/>
      <c r="X4" s="460"/>
      <c r="Y4" s="3855" t="s">
        <v>1052</v>
      </c>
      <c r="Z4" s="3856"/>
      <c r="AA4" s="3846" t="s">
        <v>1048</v>
      </c>
      <c r="AB4" s="3847" t="s">
        <v>1049</v>
      </c>
      <c r="AC4" s="3846" t="s">
        <v>1050</v>
      </c>
    </row>
    <row r="5" spans="1:29" ht="15">
      <c r="A5" s="225"/>
      <c r="B5" s="226"/>
      <c r="C5" s="3827" t="s">
        <v>1053</v>
      </c>
      <c r="D5" s="3828"/>
      <c r="E5" s="3867" t="s">
        <v>1054</v>
      </c>
      <c r="F5" s="3868"/>
      <c r="G5" s="3827" t="s">
        <v>1055</v>
      </c>
      <c r="H5" s="3828"/>
      <c r="I5" s="3827" t="s">
        <v>1056</v>
      </c>
      <c r="J5" s="3828"/>
      <c r="K5" s="388"/>
      <c r="L5" s="389"/>
      <c r="M5" s="390"/>
      <c r="N5" s="390"/>
      <c r="O5" s="390"/>
      <c r="P5" s="3851"/>
      <c r="Q5" s="3852"/>
      <c r="R5" s="3857"/>
      <c r="S5" s="3858"/>
      <c r="T5" s="3857"/>
      <c r="U5" s="3858"/>
      <c r="V5" s="3837"/>
      <c r="W5" s="3837"/>
      <c r="X5" s="460"/>
      <c r="Y5" s="3857"/>
      <c r="Z5" s="3858"/>
      <c r="AA5" s="3847"/>
      <c r="AB5" s="3847"/>
      <c r="AC5" s="3847"/>
    </row>
    <row r="6" spans="1:29" ht="15">
      <c r="A6" s="227"/>
      <c r="B6" s="228"/>
      <c r="C6" s="3831" t="s">
        <v>1057</v>
      </c>
      <c r="D6" s="3832"/>
      <c r="E6" s="3869" t="s">
        <v>1057</v>
      </c>
      <c r="F6" s="3870"/>
      <c r="G6" s="3831" t="s">
        <v>1057</v>
      </c>
      <c r="H6" s="3832"/>
      <c r="I6" s="3831" t="s">
        <v>1057</v>
      </c>
      <c r="J6" s="3832"/>
      <c r="K6" s="388" t="s">
        <v>1058</v>
      </c>
      <c r="L6" s="389"/>
      <c r="M6" s="390"/>
      <c r="N6" s="390"/>
      <c r="O6" s="390"/>
      <c r="P6" s="3853"/>
      <c r="Q6" s="3854"/>
      <c r="R6" s="3857"/>
      <c r="S6" s="3858"/>
      <c r="T6" s="3859"/>
      <c r="U6" s="3860"/>
      <c r="V6" s="3837"/>
      <c r="W6" s="3837"/>
      <c r="X6" s="460"/>
      <c r="Y6" s="3859"/>
      <c r="Z6" s="3860"/>
      <c r="AA6" s="3848"/>
      <c r="AB6" s="3848"/>
      <c r="AC6" s="3848"/>
    </row>
    <row r="7" spans="1:29" s="199" customFormat="1" ht="15">
      <c r="A7" s="229"/>
      <c r="B7" s="230" t="s">
        <v>1059</v>
      </c>
      <c r="C7" s="231">
        <f>'数据-取费表'!B2</f>
        <v>45257</v>
      </c>
      <c r="D7" s="232">
        <v>100</v>
      </c>
      <c r="E7" s="233"/>
      <c r="F7" s="234">
        <f>SUMIF(46:46,YEAR(E7)&amp;"-"&amp;MONTH(E7),47:47)</f>
        <v>0</v>
      </c>
      <c r="G7" s="235"/>
      <c r="H7" s="232">
        <f>SUMIF(46:46,YEAR(G7)&amp;"-"&amp;MONTH(G7),47:47)</f>
        <v>0</v>
      </c>
      <c r="I7" s="235"/>
      <c r="J7" s="232">
        <f>SUMIF(46:46,YEAR(I7)&amp;"-"&amp;MONTH(I7),47:47)</f>
        <v>0</v>
      </c>
      <c r="K7" s="391"/>
      <c r="L7" s="392"/>
      <c r="M7" s="393"/>
      <c r="N7" s="393"/>
      <c r="O7" s="393"/>
      <c r="P7" s="3833" t="s">
        <v>1060</v>
      </c>
      <c r="Q7" s="3834"/>
      <c r="R7" s="461" t="s">
        <v>1061</v>
      </c>
      <c r="S7" s="462">
        <f t="shared" ref="S7:S14" si="0">F7</f>
        <v>0</v>
      </c>
      <c r="T7" s="461" t="s">
        <v>1061</v>
      </c>
      <c r="U7" s="462">
        <f t="shared" ref="U7:U14" si="1">H7</f>
        <v>0</v>
      </c>
      <c r="V7" s="461" t="s">
        <v>1061</v>
      </c>
      <c r="W7" s="462">
        <f t="shared" ref="W7:W14" si="2">J7</f>
        <v>0</v>
      </c>
      <c r="X7" s="463"/>
      <c r="Y7" s="3833" t="s">
        <v>1060</v>
      </c>
      <c r="Z7" s="3835"/>
      <c r="AA7" s="480" t="e">
        <f>D7/F7</f>
        <v>#DIV/0!</v>
      </c>
      <c r="AB7" s="480" t="e">
        <f>D7/H7</f>
        <v>#DIV/0!</v>
      </c>
      <c r="AC7" s="480" t="e">
        <f>D7/J7</f>
        <v>#DIV/0!</v>
      </c>
    </row>
    <row r="8" spans="1:29" s="199" customFormat="1" ht="15">
      <c r="A8" s="236"/>
      <c r="B8" s="237" t="s">
        <v>1062</v>
      </c>
      <c r="C8" s="238" t="s">
        <v>1063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3" t="s">
        <v>1064</v>
      </c>
      <c r="Q8" s="3835"/>
      <c r="R8" s="461" t="s">
        <v>1061</v>
      </c>
      <c r="S8" s="462">
        <f t="shared" si="0"/>
        <v>0</v>
      </c>
      <c r="T8" s="461" t="s">
        <v>1061</v>
      </c>
      <c r="U8" s="462">
        <f t="shared" si="1"/>
        <v>0</v>
      </c>
      <c r="V8" s="461" t="s">
        <v>1061</v>
      </c>
      <c r="W8" s="462">
        <f t="shared" si="2"/>
        <v>0</v>
      </c>
      <c r="X8" s="463"/>
      <c r="Y8" s="3833" t="s">
        <v>1064</v>
      </c>
      <c r="Z8" s="3835"/>
      <c r="AA8" s="480" t="e">
        <f t="shared" ref="AA8:AA34" si="3">D8/F8</f>
        <v>#DIV/0!</v>
      </c>
      <c r="AB8" s="480" t="e">
        <f t="shared" ref="AB8:AB34" si="4">D8/H8</f>
        <v>#DIV/0!</v>
      </c>
      <c r="AC8" s="480" t="e">
        <f t="shared" ref="AC8:AC34" si="5">D8/J8</f>
        <v>#DIV/0!</v>
      </c>
    </row>
    <row r="9" spans="1:29" s="199" customFormat="1" ht="15">
      <c r="A9" s="239"/>
      <c r="B9" s="240" t="s">
        <v>1065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6" t="s">
        <v>1066</v>
      </c>
      <c r="Q9" s="464" t="str">
        <f t="shared" ref="Q9:Q14" si="6">B9</f>
        <v>用途</v>
      </c>
      <c r="R9" s="461" t="s">
        <v>1061</v>
      </c>
      <c r="S9" s="462">
        <f t="shared" si="0"/>
        <v>100</v>
      </c>
      <c r="T9" s="461" t="s">
        <v>1061</v>
      </c>
      <c r="U9" s="462">
        <f t="shared" si="1"/>
        <v>100</v>
      </c>
      <c r="V9" s="461" t="s">
        <v>1061</v>
      </c>
      <c r="W9" s="462">
        <f t="shared" si="2"/>
        <v>100</v>
      </c>
      <c r="X9" s="463"/>
      <c r="Y9" s="3804"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6"/>
      <c r="Q10" s="464" t="str">
        <f t="shared" si="6"/>
        <v>土地使用年限（年）</v>
      </c>
      <c r="R10" s="461" t="s">
        <v>1061</v>
      </c>
      <c r="S10" s="462">
        <f t="shared" si="0"/>
        <v>100</v>
      </c>
      <c r="T10" s="461" t="s">
        <v>1061</v>
      </c>
      <c r="U10" s="462">
        <f t="shared" si="1"/>
        <v>100</v>
      </c>
      <c r="V10" s="461" t="s">
        <v>1061</v>
      </c>
      <c r="W10" s="462">
        <f t="shared" si="2"/>
        <v>100</v>
      </c>
      <c r="X10" s="463"/>
      <c r="Y10" s="380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6"/>
      <c r="Q11" s="464">
        <f t="shared" si="6"/>
        <v>111</v>
      </c>
      <c r="R11" s="461" t="s">
        <v>1061</v>
      </c>
      <c r="S11" s="462">
        <f t="shared" si="0"/>
        <v>100</v>
      </c>
      <c r="T11" s="461" t="s">
        <v>1061</v>
      </c>
      <c r="U11" s="462">
        <f t="shared" si="1"/>
        <v>100</v>
      </c>
      <c r="V11" s="461" t="s">
        <v>1061</v>
      </c>
      <c r="W11" s="462">
        <f t="shared" si="2"/>
        <v>100</v>
      </c>
      <c r="X11" s="463"/>
      <c r="Y11" s="380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6"/>
      <c r="Q12" s="464">
        <f t="shared" si="6"/>
        <v>111</v>
      </c>
      <c r="R12" s="461" t="s">
        <v>1061</v>
      </c>
      <c r="S12" s="462">
        <f t="shared" si="0"/>
        <v>100</v>
      </c>
      <c r="T12" s="461" t="s">
        <v>1061</v>
      </c>
      <c r="U12" s="462">
        <f t="shared" si="1"/>
        <v>100</v>
      </c>
      <c r="V12" s="461" t="s">
        <v>1061</v>
      </c>
      <c r="W12" s="462">
        <f t="shared" si="2"/>
        <v>100</v>
      </c>
      <c r="X12" s="463"/>
      <c r="Y12" s="380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6"/>
      <c r="Q13" s="464">
        <f t="shared" si="6"/>
        <v>111</v>
      </c>
      <c r="R13" s="461" t="s">
        <v>1061</v>
      </c>
      <c r="S13" s="462">
        <f t="shared" si="0"/>
        <v>100</v>
      </c>
      <c r="T13" s="461" t="s">
        <v>1061</v>
      </c>
      <c r="U13" s="462">
        <f t="shared" si="1"/>
        <v>100</v>
      </c>
      <c r="V13" s="461" t="s">
        <v>1061</v>
      </c>
      <c r="W13" s="462">
        <f t="shared" si="2"/>
        <v>100</v>
      </c>
      <c r="X13" s="463"/>
      <c r="Y13" s="3804"/>
      <c r="Z13" s="481">
        <f t="shared" si="7"/>
        <v>111</v>
      </c>
      <c r="AA13" s="480">
        <f t="shared" si="3"/>
        <v>1</v>
      </c>
      <c r="AB13" s="480">
        <f t="shared" si="4"/>
        <v>1</v>
      </c>
      <c r="AC13" s="480">
        <f t="shared" si="5"/>
        <v>1</v>
      </c>
    </row>
    <row r="14" spans="1:29" ht="85.5">
      <c r="A14" s="257" t="s">
        <v>1071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2" t="s">
        <v>1072</v>
      </c>
      <c r="Q14" s="395" t="str">
        <f t="shared" si="6"/>
        <v>交通便捷度</v>
      </c>
      <c r="R14" s="465" t="s">
        <v>1061</v>
      </c>
      <c r="S14" s="466">
        <f t="shared" si="0"/>
        <v>100</v>
      </c>
      <c r="T14" s="465" t="s">
        <v>1061</v>
      </c>
      <c r="U14" s="466">
        <f t="shared" si="1"/>
        <v>100</v>
      </c>
      <c r="V14" s="465" t="s">
        <v>1061</v>
      </c>
      <c r="W14" s="466">
        <f t="shared" si="2"/>
        <v>100</v>
      </c>
      <c r="X14" s="460"/>
      <c r="Y14" s="3842" t="s">
        <v>1072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3"/>
      <c r="Q15" s="395"/>
      <c r="R15" s="465"/>
      <c r="S15" s="466"/>
      <c r="T15" s="465"/>
      <c r="U15" s="466"/>
      <c r="V15" s="465"/>
      <c r="W15" s="466"/>
      <c r="X15" s="460"/>
      <c r="Y15" s="3843"/>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3"/>
      <c r="Q16" s="395" t="str">
        <f>B16</f>
        <v>公共配套设施</v>
      </c>
      <c r="R16" s="465" t="s">
        <v>1061</v>
      </c>
      <c r="S16" s="466">
        <f>F16</f>
        <v>100</v>
      </c>
      <c r="T16" s="465" t="s">
        <v>1061</v>
      </c>
      <c r="U16" s="466">
        <f>H16</f>
        <v>100</v>
      </c>
      <c r="V16" s="465" t="s">
        <v>1061</v>
      </c>
      <c r="W16" s="466">
        <f>J16</f>
        <v>100</v>
      </c>
      <c r="X16" s="460"/>
      <c r="Y16" s="3843"/>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3"/>
      <c r="Q17" s="395"/>
      <c r="R17" s="465"/>
      <c r="S17" s="466"/>
      <c r="T17" s="465"/>
      <c r="U17" s="466"/>
      <c r="V17" s="465"/>
      <c r="W17" s="466"/>
      <c r="X17" s="460"/>
      <c r="Y17" s="3843"/>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3"/>
      <c r="Q18" s="395" t="str">
        <f>B18</f>
        <v>基础设施水平</v>
      </c>
      <c r="R18" s="465" t="s">
        <v>1061</v>
      </c>
      <c r="S18" s="466">
        <f>F18</f>
        <v>100</v>
      </c>
      <c r="T18" s="465" t="s">
        <v>1061</v>
      </c>
      <c r="U18" s="466">
        <f>H18</f>
        <v>100</v>
      </c>
      <c r="V18" s="465" t="s">
        <v>1061</v>
      </c>
      <c r="W18" s="466">
        <f>J18</f>
        <v>100</v>
      </c>
      <c r="X18" s="460"/>
      <c r="Y18" s="3843"/>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3"/>
      <c r="Q19" s="395"/>
      <c r="R19" s="465"/>
      <c r="S19" s="466"/>
      <c r="T19" s="465"/>
      <c r="U19" s="466"/>
      <c r="V19" s="465"/>
      <c r="W19" s="466"/>
      <c r="X19" s="460"/>
      <c r="Y19" s="3843"/>
      <c r="Z19" s="459"/>
      <c r="AA19" s="471">
        <v>1</v>
      </c>
      <c r="AB19" s="471">
        <v>1</v>
      </c>
      <c r="AC19" s="471">
        <v>1</v>
      </c>
    </row>
    <row r="20" spans="1:29" ht="57">
      <c r="A20" s="264"/>
      <c r="B20" s="283" t="s">
        <v>2518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3"/>
      <c r="Q20" s="395" t="str">
        <f>B20</f>
        <v>自然及人文环境</v>
      </c>
      <c r="R20" s="465" t="s">
        <v>1061</v>
      </c>
      <c r="S20" s="466">
        <f>F20</f>
        <v>100</v>
      </c>
      <c r="T20" s="465" t="s">
        <v>1061</v>
      </c>
      <c r="U20" s="466">
        <f>H20</f>
        <v>100</v>
      </c>
      <c r="V20" s="465" t="s">
        <v>1061</v>
      </c>
      <c r="W20" s="466">
        <f>J20</f>
        <v>100</v>
      </c>
      <c r="X20" s="460"/>
      <c r="Y20" s="3843"/>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3"/>
      <c r="Q21" s="395"/>
      <c r="R21" s="465"/>
      <c r="S21" s="466"/>
      <c r="T21" s="465"/>
      <c r="U21" s="466"/>
      <c r="V21" s="465"/>
      <c r="W21" s="466"/>
      <c r="X21" s="460"/>
      <c r="Y21" s="3843"/>
      <c r="Z21" s="459"/>
      <c r="AA21" s="471">
        <v>1</v>
      </c>
      <c r="AB21" s="471">
        <v>1</v>
      </c>
      <c r="AC21" s="471">
        <v>1</v>
      </c>
    </row>
    <row r="22" spans="1:29" ht="15">
      <c r="A22" s="264"/>
      <c r="B22" s="283" t="s">
        <v>2556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3"/>
      <c r="Q22" s="395" t="str">
        <f>B22</f>
        <v>楼层</v>
      </c>
      <c r="R22" s="465" t="s">
        <v>1061</v>
      </c>
      <c r="S22" s="466">
        <f>F22</f>
        <v>100</v>
      </c>
      <c r="T22" s="465" t="s">
        <v>1061</v>
      </c>
      <c r="U22" s="466">
        <f>H22</f>
        <v>100</v>
      </c>
      <c r="V22" s="465" t="s">
        <v>1061</v>
      </c>
      <c r="W22" s="466">
        <f>J22</f>
        <v>100</v>
      </c>
      <c r="X22" s="460"/>
      <c r="Y22" s="3843"/>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3"/>
      <c r="Q23" s="395">
        <f>B23</f>
        <v>111</v>
      </c>
      <c r="R23" s="465" t="s">
        <v>1061</v>
      </c>
      <c r="S23" s="466">
        <f>F23</f>
        <v>100</v>
      </c>
      <c r="T23" s="465" t="s">
        <v>1061</v>
      </c>
      <c r="U23" s="466">
        <f>H23</f>
        <v>100</v>
      </c>
      <c r="V23" s="465" t="s">
        <v>1061</v>
      </c>
      <c r="W23" s="466">
        <f>J23</f>
        <v>100</v>
      </c>
      <c r="X23" s="460"/>
      <c r="Y23" s="3843"/>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3"/>
      <c r="Q24" s="395">
        <f t="shared" ref="Q24:Q34" si="8">B24</f>
        <v>111</v>
      </c>
      <c r="R24" s="465" t="s">
        <v>1061</v>
      </c>
      <c r="S24" s="466">
        <f>F24</f>
        <v>100</v>
      </c>
      <c r="T24" s="465" t="s">
        <v>1061</v>
      </c>
      <c r="U24" s="466">
        <f>H24</f>
        <v>100</v>
      </c>
      <c r="V24" s="465" t="s">
        <v>1061</v>
      </c>
      <c r="W24" s="466">
        <f>J24</f>
        <v>100</v>
      </c>
      <c r="X24" s="460"/>
      <c r="Y24" s="3843"/>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3"/>
      <c r="Q25" s="464">
        <f t="shared" si="8"/>
        <v>111</v>
      </c>
      <c r="R25" s="461" t="s">
        <v>1061</v>
      </c>
      <c r="S25" s="462">
        <f>F25</f>
        <v>100</v>
      </c>
      <c r="T25" s="461" t="s">
        <v>1061</v>
      </c>
      <c r="U25" s="462">
        <f>H25</f>
        <v>100</v>
      </c>
      <c r="V25" s="461" t="s">
        <v>1061</v>
      </c>
      <c r="W25" s="462">
        <f>J25</f>
        <v>100</v>
      </c>
      <c r="X25" s="463"/>
      <c r="Y25" s="3843"/>
      <c r="Z25" s="481">
        <f>Q25</f>
        <v>111</v>
      </c>
      <c r="AA25" s="471">
        <f t="shared" si="3"/>
        <v>1</v>
      </c>
      <c r="AB25" s="471">
        <f t="shared" si="4"/>
        <v>1</v>
      </c>
      <c r="AC25" s="471">
        <f t="shared" si="5"/>
        <v>1</v>
      </c>
    </row>
    <row r="26" spans="1:29" ht="15">
      <c r="A26" s="292" t="s">
        <v>1077</v>
      </c>
      <c r="B26" s="293" t="s">
        <v>2526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4" t="s">
        <v>1076</v>
      </c>
      <c r="Q26" s="395" t="str">
        <f t="shared" si="8"/>
        <v>公共部分装修</v>
      </c>
      <c r="R26" s="465" t="s">
        <v>1061</v>
      </c>
      <c r="S26" s="466">
        <f t="shared" ref="S26:S34" si="9">F26</f>
        <v>100</v>
      </c>
      <c r="T26" s="465" t="s">
        <v>1061</v>
      </c>
      <c r="U26" s="466">
        <f t="shared" ref="U26:U34" si="10">H26</f>
        <v>100</v>
      </c>
      <c r="V26" s="465" t="s">
        <v>1061</v>
      </c>
      <c r="W26" s="466">
        <f t="shared" ref="W26:W34" si="11">J26</f>
        <v>100</v>
      </c>
      <c r="X26" s="460"/>
      <c r="Y26" s="3845" t="s">
        <v>1076</v>
      </c>
      <c r="Z26" s="459" t="str">
        <f t="shared" ref="Z26:Z34" si="12">Q26</f>
        <v>公共部分装修</v>
      </c>
      <c r="AA26" s="471">
        <f t="shared" si="3"/>
        <v>1</v>
      </c>
      <c r="AB26" s="471">
        <f t="shared" si="4"/>
        <v>1</v>
      </c>
      <c r="AC26" s="471">
        <f t="shared" si="5"/>
        <v>1</v>
      </c>
    </row>
    <row r="27" spans="1:29" s="201" customFormat="1" ht="15">
      <c r="A27" s="297"/>
      <c r="B27" s="298" t="s">
        <v>2572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5"/>
      <c r="Q27" s="467" t="str">
        <f t="shared" si="8"/>
        <v>成新率</v>
      </c>
      <c r="R27" s="468" t="s">
        <v>1061</v>
      </c>
      <c r="S27" s="469" t="e">
        <f t="shared" si="9"/>
        <v>#N/A</v>
      </c>
      <c r="T27" s="468" t="s">
        <v>1061</v>
      </c>
      <c r="U27" s="469" t="e">
        <f t="shared" si="10"/>
        <v>#N/A</v>
      </c>
      <c r="V27" s="468" t="s">
        <v>1061</v>
      </c>
      <c r="W27" s="469" t="e">
        <f t="shared" si="11"/>
        <v>#N/A</v>
      </c>
      <c r="X27" s="470"/>
      <c r="Y27" s="3845"/>
      <c r="Z27" s="482" t="str">
        <f t="shared" si="12"/>
        <v>成新率</v>
      </c>
      <c r="AA27" s="471" t="e">
        <f t="shared" si="3"/>
        <v>#N/A</v>
      </c>
      <c r="AB27" s="471" t="e">
        <f t="shared" si="4"/>
        <v>#N/A</v>
      </c>
      <c r="AC27" s="471" t="e">
        <f t="shared" si="5"/>
        <v>#N/A</v>
      </c>
    </row>
    <row r="28" spans="1:29" ht="15">
      <c r="A28" s="302"/>
      <c r="B28" s="298" t="s">
        <v>2573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5"/>
      <c r="Q28" s="395" t="str">
        <f t="shared" si="8"/>
        <v>物业等级</v>
      </c>
      <c r="R28" s="465" t="s">
        <v>1061</v>
      </c>
      <c r="S28" s="466">
        <f t="shared" si="9"/>
        <v>100</v>
      </c>
      <c r="T28" s="465" t="s">
        <v>1061</v>
      </c>
      <c r="U28" s="466">
        <f t="shared" si="10"/>
        <v>100</v>
      </c>
      <c r="V28" s="465" t="s">
        <v>1061</v>
      </c>
      <c r="W28" s="466">
        <f t="shared" si="11"/>
        <v>100</v>
      </c>
      <c r="X28" s="460"/>
      <c r="Y28" s="3845"/>
      <c r="Z28" s="459" t="str">
        <f t="shared" si="12"/>
        <v>物业等级</v>
      </c>
      <c r="AA28" s="471">
        <f t="shared" si="3"/>
        <v>1</v>
      </c>
      <c r="AB28" s="471">
        <f t="shared" si="4"/>
        <v>1</v>
      </c>
      <c r="AC28" s="471">
        <f t="shared" si="5"/>
        <v>1</v>
      </c>
    </row>
    <row r="29" spans="1:29" ht="15">
      <c r="A29" s="302"/>
      <c r="B29" s="298" t="s">
        <v>2579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5"/>
      <c r="Q29" s="395" t="str">
        <f t="shared" si="8"/>
        <v>有无电梯</v>
      </c>
      <c r="R29" s="465" t="s">
        <v>1061</v>
      </c>
      <c r="S29" s="466">
        <f t="shared" si="9"/>
        <v>100</v>
      </c>
      <c r="T29" s="465" t="s">
        <v>1061</v>
      </c>
      <c r="U29" s="466">
        <f t="shared" si="10"/>
        <v>100</v>
      </c>
      <c r="V29" s="465" t="s">
        <v>1061</v>
      </c>
      <c r="W29" s="466">
        <f t="shared" si="11"/>
        <v>100</v>
      </c>
      <c r="X29" s="460"/>
      <c r="Y29" s="3845"/>
      <c r="Z29" s="459" t="str">
        <f t="shared" si="12"/>
        <v>有无电梯</v>
      </c>
      <c r="AA29" s="471">
        <f t="shared" si="3"/>
        <v>1</v>
      </c>
      <c r="AB29" s="471">
        <f t="shared" si="4"/>
        <v>1</v>
      </c>
      <c r="AC29" s="471">
        <f t="shared" si="5"/>
        <v>1</v>
      </c>
    </row>
    <row r="30" spans="1:29" ht="15">
      <c r="A30" s="302"/>
      <c r="B30" s="298" t="s">
        <v>598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5"/>
      <c r="Q30" s="395" t="str">
        <f t="shared" si="8"/>
        <v>建筑面积</v>
      </c>
      <c r="R30" s="465" t="s">
        <v>1061</v>
      </c>
      <c r="S30" s="466" t="e">
        <f t="shared" si="9"/>
        <v>#N/A</v>
      </c>
      <c r="T30" s="465" t="s">
        <v>1061</v>
      </c>
      <c r="U30" s="466" t="e">
        <f t="shared" si="10"/>
        <v>#N/A</v>
      </c>
      <c r="V30" s="465" t="s">
        <v>1061</v>
      </c>
      <c r="W30" s="466" t="e">
        <f t="shared" si="11"/>
        <v>#N/A</v>
      </c>
      <c r="X30" s="460"/>
      <c r="Y30" s="3845"/>
      <c r="Z30" s="459" t="str">
        <f t="shared" si="12"/>
        <v>建筑面积</v>
      </c>
      <c r="AA30" s="471" t="e">
        <f t="shared" si="3"/>
        <v>#N/A</v>
      </c>
      <c r="AB30" s="471" t="e">
        <f t="shared" si="4"/>
        <v>#N/A</v>
      </c>
      <c r="AC30" s="471" t="e">
        <f t="shared" si="5"/>
        <v>#N/A</v>
      </c>
    </row>
    <row r="31" spans="1:29" s="199" customFormat="1" ht="15">
      <c r="A31" s="305"/>
      <c r="B31" s="298" t="s">
        <v>2580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5"/>
      <c r="Q31" s="464" t="str">
        <f t="shared" si="8"/>
        <v>是否封闭</v>
      </c>
      <c r="R31" s="461" t="s">
        <v>1061</v>
      </c>
      <c r="S31" s="462">
        <f t="shared" si="9"/>
        <v>100</v>
      </c>
      <c r="T31" s="461" t="s">
        <v>1061</v>
      </c>
      <c r="U31" s="462">
        <f t="shared" si="10"/>
        <v>100</v>
      </c>
      <c r="V31" s="461" t="s">
        <v>1061</v>
      </c>
      <c r="W31" s="462">
        <f t="shared" si="11"/>
        <v>100</v>
      </c>
      <c r="X31" s="463"/>
      <c r="Y31" s="3845"/>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5" t="s">
        <v>1076</v>
      </c>
      <c r="Q32" s="395">
        <f t="shared" si="8"/>
        <v>111</v>
      </c>
      <c r="R32" s="465" t="s">
        <v>1061</v>
      </c>
      <c r="S32" s="466">
        <f t="shared" si="9"/>
        <v>100</v>
      </c>
      <c r="T32" s="465" t="s">
        <v>1061</v>
      </c>
      <c r="U32" s="466">
        <f t="shared" si="10"/>
        <v>100</v>
      </c>
      <c r="V32" s="465" t="s">
        <v>1061</v>
      </c>
      <c r="W32" s="466">
        <f t="shared" si="11"/>
        <v>100</v>
      </c>
      <c r="X32" s="460"/>
      <c r="Y32" s="3845" t="s">
        <v>1076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5"/>
      <c r="Q33" s="395">
        <f t="shared" si="8"/>
        <v>111</v>
      </c>
      <c r="R33" s="465" t="s">
        <v>1061</v>
      </c>
      <c r="S33" s="466">
        <f t="shared" si="9"/>
        <v>100</v>
      </c>
      <c r="T33" s="465" t="s">
        <v>1061</v>
      </c>
      <c r="U33" s="466">
        <f t="shared" si="10"/>
        <v>100</v>
      </c>
      <c r="V33" s="465" t="s">
        <v>1061</v>
      </c>
      <c r="W33" s="466">
        <f t="shared" si="11"/>
        <v>100</v>
      </c>
      <c r="X33" s="460"/>
      <c r="Y33" s="3845"/>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5"/>
      <c r="Q34" s="395">
        <f t="shared" si="8"/>
        <v>111</v>
      </c>
      <c r="R34" s="465" t="s">
        <v>1061</v>
      </c>
      <c r="S34" s="466">
        <f t="shared" si="9"/>
        <v>100</v>
      </c>
      <c r="T34" s="465" t="s">
        <v>1061</v>
      </c>
      <c r="U34" s="466">
        <f t="shared" si="10"/>
        <v>100</v>
      </c>
      <c r="V34" s="465" t="s">
        <v>1061</v>
      </c>
      <c r="W34" s="466">
        <f t="shared" si="11"/>
        <v>100</v>
      </c>
      <c r="X34" s="460"/>
      <c r="Y34" s="3845"/>
      <c r="Z34" s="459">
        <f t="shared" si="12"/>
        <v>111</v>
      </c>
      <c r="AA34" s="471">
        <f t="shared" si="3"/>
        <v>1</v>
      </c>
      <c r="AB34" s="471">
        <f t="shared" si="4"/>
        <v>1</v>
      </c>
      <c r="AC34" s="471">
        <f t="shared" si="5"/>
        <v>1</v>
      </c>
    </row>
    <row r="35" spans="1:29" ht="15">
      <c r="A35" s="312" t="s">
        <v>2533</v>
      </c>
      <c r="B35" s="313"/>
      <c r="C35" s="314" t="s">
        <v>138</v>
      </c>
      <c r="D35" s="315"/>
      <c r="E35" s="316"/>
      <c r="F35" s="317"/>
      <c r="G35" s="318"/>
      <c r="H35" s="319"/>
      <c r="I35" s="316"/>
      <c r="J35" s="319"/>
      <c r="K35" s="409"/>
      <c r="L35" s="410"/>
      <c r="M35" s="340"/>
      <c r="N35" s="390"/>
      <c r="O35" s="340"/>
      <c r="P35" s="3836" t="str">
        <f>A35</f>
        <v>成交单价（元/平方米）</v>
      </c>
      <c r="Q35" s="3836"/>
      <c r="R35" s="3951">
        <f>E35</f>
        <v>0</v>
      </c>
      <c r="S35" s="3951"/>
      <c r="T35" s="3951">
        <f>G35</f>
        <v>0</v>
      </c>
      <c r="U35" s="3951"/>
      <c r="V35" s="3951">
        <f>I35</f>
        <v>0</v>
      </c>
      <c r="W35" s="3951"/>
      <c r="X35" s="342"/>
      <c r="Y35" s="483"/>
      <c r="Z35" s="342"/>
      <c r="AA35" s="342"/>
      <c r="AB35" s="342"/>
      <c r="AC35" s="342"/>
    </row>
    <row r="36" spans="1:29" ht="15">
      <c r="A36" s="320" t="s">
        <v>1085</v>
      </c>
      <c r="B36" s="321"/>
      <c r="C36" s="322" t="e">
        <f>R37</f>
        <v>#DIV/0!</v>
      </c>
      <c r="D36" s="323" t="s">
        <v>2581</v>
      </c>
      <c r="E36" s="324" t="e">
        <f>R36</f>
        <v>#DIV/0!</v>
      </c>
      <c r="F36" s="325"/>
      <c r="G36" s="322" t="e">
        <f>T36</f>
        <v>#DIV/0!</v>
      </c>
      <c r="H36" s="325"/>
      <c r="I36" s="324" t="e">
        <f>V36</f>
        <v>#DIV/0!</v>
      </c>
      <c r="J36" s="325"/>
      <c r="K36" s="411">
        <f>F36+H36+J36</f>
        <v>0</v>
      </c>
      <c r="L36" s="410"/>
      <c r="M36" s="340"/>
      <c r="N36" s="390"/>
      <c r="O36" s="340"/>
      <c r="P36" s="3836" t="str">
        <f>A36</f>
        <v>比较价格（元/平方米）</v>
      </c>
      <c r="Q36" s="3836"/>
      <c r="R36" s="3951" t="e">
        <f>IF(F1="售价",ROUND(PRODUCT(R35,AA7:AA34),0),ROUND(PRODUCT(R35,AA7:AA34),1))</f>
        <v>#DIV/0!</v>
      </c>
      <c r="S36" s="3951"/>
      <c r="T36" s="3951" t="e">
        <f>IF(F1="售价",ROUND(PRODUCT(T35,AB7:AB34),0),ROUND(PRODUCT(T35,AB7:AB34),1))</f>
        <v>#DIV/0!</v>
      </c>
      <c r="U36" s="3951"/>
      <c r="V36" s="3951" t="e">
        <f>IF(F1="售价",ROUND(PRODUCT(V35,AC7:AC34),0),ROUND(PRODUCT(V35,AC7:AC34),1))</f>
        <v>#DIV/0!</v>
      </c>
      <c r="W36" s="3951"/>
      <c r="X36" s="342"/>
      <c r="Y36" s="342"/>
      <c r="Z36" s="342"/>
      <c r="AA36" s="342"/>
      <c r="AB36" s="342"/>
      <c r="AC36" s="342"/>
    </row>
    <row r="37" spans="1:29" ht="15">
      <c r="A37" s="326" t="s">
        <v>1087</v>
      </c>
      <c r="B37" s="327"/>
      <c r="C37" s="328" t="e">
        <f>R37</f>
        <v>#DIV/0!</v>
      </c>
      <c r="D37" s="328"/>
      <c r="E37" s="328"/>
      <c r="F37" s="328"/>
      <c r="G37" s="328"/>
      <c r="H37" s="328"/>
      <c r="I37" s="328"/>
      <c r="J37" s="328"/>
      <c r="K37" s="412"/>
      <c r="L37" s="410"/>
      <c r="M37" s="340"/>
      <c r="N37" s="340"/>
      <c r="O37" s="340"/>
      <c r="P37" s="3839" t="str">
        <f>A37</f>
        <v>估价对象XX用房的比较价格（楼面单价，元/平方米）</v>
      </c>
      <c r="Q37" s="3840"/>
      <c r="R37" s="3952" t="e">
        <f>IF(F1="售价",ROUND(IF(D36="简单平均",AVERAGE(R36:W36),R36*F36+T36*H36+V36*J36),0),ROUND(IF(D36="简单平均",AVERAGE(R36:V36),R36*F36+T36*H36+V36*J36),1))</f>
        <v>#DIV/0!</v>
      </c>
      <c r="S37" s="3952"/>
      <c r="T37" s="3952"/>
      <c r="U37" s="3952"/>
      <c r="V37" s="3952"/>
      <c r="W37" s="3952"/>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1088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1089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1059</v>
      </c>
      <c r="B46" s="346"/>
      <c r="C46" s="347" t="str">
        <f>YEAR(C7)&amp;"-"&amp;MONTH(C7)</f>
        <v>2023-11</v>
      </c>
      <c r="D46" s="348">
        <f>EDATE(C46,-1)</f>
        <v>45200</v>
      </c>
      <c r="E46" s="348">
        <f t="shared" ref="E46:O46" si="13">EDATE(D46,-1)</f>
        <v>45170</v>
      </c>
      <c r="F46" s="348">
        <f t="shared" si="13"/>
        <v>45139</v>
      </c>
      <c r="G46" s="348">
        <f t="shared" si="13"/>
        <v>45108</v>
      </c>
      <c r="H46" s="348">
        <f t="shared" si="13"/>
        <v>45078</v>
      </c>
      <c r="I46" s="348">
        <f t="shared" si="13"/>
        <v>45047</v>
      </c>
      <c r="J46" s="348">
        <f t="shared" si="13"/>
        <v>45017</v>
      </c>
      <c r="K46" s="348">
        <f t="shared" si="13"/>
        <v>44986</v>
      </c>
      <c r="L46" s="348">
        <f t="shared" si="13"/>
        <v>44958</v>
      </c>
      <c r="M46" s="348">
        <f t="shared" si="13"/>
        <v>44927</v>
      </c>
      <c r="N46" s="348">
        <f t="shared" si="13"/>
        <v>44896</v>
      </c>
      <c r="O46" s="348">
        <f t="shared" si="13"/>
        <v>44866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1062</v>
      </c>
      <c r="B49" s="350"/>
      <c r="C49" s="358" t="s">
        <v>1063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1115</v>
      </c>
      <c r="B51" s="361" t="s">
        <v>1116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1117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1119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2556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1124</v>
      </c>
      <c r="B77" s="361" t="s">
        <v>2526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2572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598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2580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2582</v>
      </c>
      <c r="C1" s="3958" t="s">
        <v>2583</v>
      </c>
      <c r="D1" s="3959"/>
      <c r="E1" s="3959"/>
      <c r="F1" s="3959"/>
      <c r="G1" s="3959"/>
      <c r="H1" s="3959"/>
      <c r="I1" s="3959"/>
      <c r="J1" s="3959"/>
      <c r="K1" s="3959"/>
      <c r="L1" s="3959"/>
      <c r="M1" s="3959"/>
      <c r="N1" s="3959"/>
      <c r="O1" s="3959"/>
      <c r="P1" s="3959"/>
      <c r="Q1" s="3959"/>
      <c r="R1" s="3959"/>
      <c r="S1" s="3960"/>
      <c r="T1" s="85" t="s">
        <v>2584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2585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2590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2591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2592</v>
      </c>
      <c r="B17" s="114" t="s">
        <v>1144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2593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2594</v>
      </c>
      <c r="B22" s="127">
        <f>SUM(B24:B10000)</f>
        <v>0</v>
      </c>
      <c r="C22" s="3961" t="s">
        <v>138</v>
      </c>
      <c r="D22" s="3962"/>
      <c r="E22" s="3962"/>
      <c r="F22" s="3962"/>
      <c r="G22" s="3962"/>
      <c r="H22" s="3962"/>
      <c r="I22" s="3962"/>
      <c r="J22" s="3962"/>
      <c r="K22" s="3962"/>
      <c r="L22" s="3962"/>
      <c r="M22" s="3962"/>
      <c r="N22" s="3962"/>
      <c r="O22" s="3962"/>
      <c r="P22" s="3962"/>
      <c r="Q22" s="3963"/>
      <c r="R22" s="190" t="e">
        <f>ROUND(S22*10000/B22,0)</f>
        <v>#DIV/0!</v>
      </c>
      <c r="S22" s="127">
        <f>SUM(S24:S10000)</f>
        <v>0</v>
      </c>
    </row>
    <row r="23" spans="1:45" s="79" customFormat="1" ht="24">
      <c r="A23" s="130" t="s">
        <v>2595</v>
      </c>
      <c r="B23" s="131" t="s">
        <v>444</v>
      </c>
      <c r="C23" s="130" t="s">
        <v>1203</v>
      </c>
      <c r="D23" s="130" t="str">
        <f>B5</f>
        <v>修正项2</v>
      </c>
      <c r="E23" s="130" t="s">
        <v>1203</v>
      </c>
      <c r="F23" s="130" t="str">
        <f>B7</f>
        <v>修正项3</v>
      </c>
      <c r="G23" s="130" t="s">
        <v>1203</v>
      </c>
      <c r="H23" s="130" t="str">
        <f>B9</f>
        <v>修正项4</v>
      </c>
      <c r="I23" s="130" t="s">
        <v>1203</v>
      </c>
      <c r="J23" s="130" t="str">
        <f>B11</f>
        <v>修正项5</v>
      </c>
      <c r="K23" s="130" t="s">
        <v>1203</v>
      </c>
      <c r="L23" s="130" t="str">
        <f>B13</f>
        <v>修正项6</v>
      </c>
      <c r="M23" s="130" t="s">
        <v>1203</v>
      </c>
      <c r="N23" s="130" t="str">
        <f>B15</f>
        <v>修正项7</v>
      </c>
      <c r="O23" s="130" t="s">
        <v>1203</v>
      </c>
      <c r="P23" s="130" t="str">
        <f>B17</f>
        <v>楼层</v>
      </c>
      <c r="Q23" s="130" t="s">
        <v>1203</v>
      </c>
      <c r="R23" s="191" t="s">
        <v>2596</v>
      </c>
      <c r="S23" s="130" t="s">
        <v>2597</v>
      </c>
      <c r="T23" s="192"/>
      <c r="U23" s="192"/>
      <c r="V23" s="192"/>
      <c r="W23" s="192"/>
      <c r="X23" s="192"/>
      <c r="Y23" s="192"/>
      <c r="Z23" s="192"/>
      <c r="AA23" s="192"/>
      <c r="AB23" s="192"/>
      <c r="AC23" s="192"/>
      <c r="AD23" s="192"/>
      <c r="AE23" s="192"/>
      <c r="AF23" s="192"/>
      <c r="AG23" s="192"/>
      <c r="AH23" s="192"/>
      <c r="AI23" s="192"/>
    </row>
    <row r="24" spans="1:45" s="80" customFormat="1">
      <c r="A24" s="132" t="s">
        <v>2598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45257</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2599</v>
      </c>
      <c r="C2" s="13">
        <f>'数据-取费表'!B22</f>
        <v>1</v>
      </c>
      <c r="D2" s="8" t="s">
        <v>2600</v>
      </c>
      <c r="E2" s="14">
        <f ca="1">INDIRECT("I"&amp;$I$1)/100</f>
        <v>3.4500000000000003E-2</v>
      </c>
      <c r="G2" s="11"/>
      <c r="H2" s="11"/>
      <c r="I2" s="11" t="s">
        <v>2600</v>
      </c>
      <c r="K2" s="11"/>
      <c r="L2" s="11"/>
      <c r="M2" s="11"/>
      <c r="N2" s="11" t="s">
        <v>2601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2602</v>
      </c>
      <c r="C3" s="15">
        <f>'数据-取费表'!B19</f>
        <v>0</v>
      </c>
      <c r="D3" s="8" t="s">
        <v>2600</v>
      </c>
      <c r="E3" s="14">
        <f ca="1">INDIRECT("J"&amp;$J$1)/100</f>
        <v>0</v>
      </c>
      <c r="G3" s="16" t="s">
        <v>2603</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2604</v>
      </c>
      <c r="C4" s="14">
        <f ca="1">N4/100</f>
        <v>1.4999999999999999E-2</v>
      </c>
      <c r="G4" s="18" t="s">
        <v>2605</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2606</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2607</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2608</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2610</v>
      </c>
      <c r="C10" s="29"/>
      <c r="D10" s="29"/>
      <c r="E10" s="29"/>
      <c r="F10" s="29"/>
      <c r="G10" s="29"/>
      <c r="H10" s="29"/>
      <c r="I10" s="4"/>
      <c r="J10" s="4"/>
      <c r="K10" s="29"/>
      <c r="L10" s="30" t="s">
        <v>2611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2612</v>
      </c>
      <c r="C11" s="33" t="s">
        <v>2613</v>
      </c>
      <c r="D11" s="34" t="s">
        <v>2614</v>
      </c>
      <c r="E11" s="35"/>
      <c r="F11" s="34" t="s">
        <v>2615</v>
      </c>
      <c r="G11" s="36"/>
      <c r="H11" s="35"/>
      <c r="I11" s="34" t="s">
        <v>2616</v>
      </c>
      <c r="J11" s="35"/>
      <c r="K11" s="31"/>
      <c r="L11" s="32" t="s">
        <v>2612</v>
      </c>
      <c r="M11" s="33" t="s">
        <v>2613</v>
      </c>
      <c r="N11" s="32" t="s">
        <v>2617</v>
      </c>
      <c r="O11" s="34" t="s">
        <v>2618</v>
      </c>
      <c r="P11" s="36"/>
      <c r="Q11" s="36"/>
      <c r="R11" s="36"/>
      <c r="S11" s="36"/>
      <c r="T11" s="35"/>
      <c r="U11" s="34" t="s">
        <v>2619</v>
      </c>
      <c r="V11" s="36"/>
      <c r="W11" s="35"/>
      <c r="X11" s="32" t="s">
        <v>2620</v>
      </c>
      <c r="Y11" s="32" t="s">
        <v>2621</v>
      </c>
      <c r="Z11" s="32" t="s">
        <v>2622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2623</v>
      </c>
      <c r="E12" s="40" t="s">
        <v>2605</v>
      </c>
      <c r="F12" s="40" t="s">
        <v>2606</v>
      </c>
      <c r="G12" s="40" t="s">
        <v>2607</v>
      </c>
      <c r="H12" s="40" t="s">
        <v>2608</v>
      </c>
      <c r="I12" s="63" t="s">
        <v>2624</v>
      </c>
      <c r="J12" s="63" t="s">
        <v>2624</v>
      </c>
      <c r="K12" s="37"/>
      <c r="L12" s="38"/>
      <c r="M12" s="39"/>
      <c r="N12" s="38"/>
      <c r="O12" s="63" t="s">
        <v>2625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2626</v>
      </c>
      <c r="C13" s="43">
        <v>45159</v>
      </c>
      <c r="D13" s="44">
        <v>3.45</v>
      </c>
      <c r="E13" s="44">
        <f>D13</f>
        <v>3.45</v>
      </c>
      <c r="F13" s="44">
        <f>D13</f>
        <v>3.45</v>
      </c>
      <c r="G13" s="44">
        <f>D13</f>
        <v>3.45</v>
      </c>
      <c r="H13" s="44">
        <v>4.2</v>
      </c>
      <c r="I13" s="44"/>
      <c r="J13" s="44"/>
      <c r="K13" s="41"/>
      <c r="L13" s="42" t="s">
        <v>2626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2627</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2335</v>
      </c>
      <c r="Y42" s="46" t="s">
        <v>2335</v>
      </c>
      <c r="Z42" s="46" t="s">
        <v>2335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2335</v>
      </c>
      <c r="Y43" s="46" t="s">
        <v>2335</v>
      </c>
      <c r="Z43" s="46" t="s">
        <v>2335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2335</v>
      </c>
      <c r="Y44" s="46" t="s">
        <v>2335</v>
      </c>
      <c r="Z44" s="46" t="s">
        <v>2335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2335</v>
      </c>
      <c r="Y45" s="46" t="s">
        <v>2335</v>
      </c>
      <c r="Z45" s="46" t="s">
        <v>2335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2335</v>
      </c>
      <c r="Y46" s="46" t="s">
        <v>2335</v>
      </c>
      <c r="Z46" s="46" t="s">
        <v>2335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2335</v>
      </c>
      <c r="Y47" s="46" t="s">
        <v>2335</v>
      </c>
      <c r="Z47" s="46" t="s">
        <v>2335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2335</v>
      </c>
      <c r="Y48" s="46" t="s">
        <v>2335</v>
      </c>
      <c r="Z48" s="46" t="s">
        <v>2335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2335</v>
      </c>
      <c r="Y49" s="46" t="s">
        <v>2335</v>
      </c>
      <c r="Z49" s="46" t="s">
        <v>2335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2335</v>
      </c>
      <c r="Y50" s="46" t="s">
        <v>2335</v>
      </c>
      <c r="Z50" s="46" t="s">
        <v>2335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2335</v>
      </c>
      <c r="V51" s="46" t="s">
        <v>2335</v>
      </c>
      <c r="W51" s="46" t="s">
        <v>2335</v>
      </c>
      <c r="X51" s="46" t="s">
        <v>2335</v>
      </c>
      <c r="Y51" s="46" t="s">
        <v>2335</v>
      </c>
      <c r="Z51" s="46" t="s">
        <v>2335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2335</v>
      </c>
      <c r="J66" s="46" t="s">
        <v>2335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0" t="s">
        <v>98</v>
      </c>
      <c r="B1" s="3650"/>
      <c r="C1" s="3650"/>
      <c r="D1" s="3650"/>
      <c r="E1" s="3650"/>
      <c r="F1" s="3650"/>
      <c r="G1" s="3650"/>
      <c r="H1" s="3650"/>
      <c r="I1" s="3650"/>
      <c r="J1" s="3650"/>
      <c r="K1" s="3650"/>
      <c r="L1" s="3650"/>
      <c r="M1" s="3650"/>
      <c r="N1" s="3650"/>
      <c r="O1" s="3650"/>
      <c r="P1" s="3650"/>
      <c r="Q1" s="3650"/>
      <c r="R1" s="3650"/>
    </row>
    <row r="2" spans="1:18">
      <c r="A2" s="3581" t="s">
        <v>99</v>
      </c>
      <c r="B2" s="3581"/>
      <c r="C2" s="3581"/>
      <c r="D2" s="3581"/>
      <c r="E2" s="3581"/>
      <c r="F2" s="3581"/>
      <c r="G2" s="3581"/>
      <c r="H2" s="3581"/>
      <c r="I2" s="3594"/>
      <c r="J2" s="3594"/>
      <c r="K2" s="3595" t="str">
        <f>"估价期日："&amp;TEXT(项目基本情况!D3,"yyyy年m月d日;;")</f>
        <v>估价期日：2023年11月27日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5" t="s">
        <v>100</v>
      </c>
      <c r="B3" s="3655" t="s">
        <v>101</v>
      </c>
      <c r="C3" s="3656" t="s">
        <v>102</v>
      </c>
      <c r="D3" s="3655" t="s">
        <v>103</v>
      </c>
      <c r="E3" s="3651" t="s">
        <v>104</v>
      </c>
      <c r="F3" s="3651"/>
      <c r="G3" s="3651"/>
      <c r="H3" s="3651" t="s">
        <v>105</v>
      </c>
      <c r="I3" s="3651"/>
      <c r="J3" s="3651"/>
      <c r="K3" s="3656" t="s">
        <v>106</v>
      </c>
      <c r="L3" s="3656" t="s">
        <v>107</v>
      </c>
      <c r="M3" s="3655" t="s">
        <v>108</v>
      </c>
      <c r="N3" s="3657" t="str">
        <f>"（分摊）"&amp;项目基本情况!A17&amp;"国有建设用地使用权面积/㎡"</f>
        <v>（分摊）出让国有建设用地使用权面积/㎡</v>
      </c>
      <c r="O3" s="3655" t="s">
        <v>109</v>
      </c>
      <c r="P3" s="3656" t="s">
        <v>110</v>
      </c>
      <c r="Q3" s="3656" t="s">
        <v>111</v>
      </c>
      <c r="R3" s="3656" t="s">
        <v>112</v>
      </c>
    </row>
    <row r="4" spans="1:18" ht="36.75" customHeight="1">
      <c r="A4" s="3655"/>
      <c r="B4" s="3655"/>
      <c r="C4" s="3656"/>
      <c r="D4" s="3655"/>
      <c r="E4" s="3583" t="s">
        <v>113</v>
      </c>
      <c r="F4" s="3583" t="s">
        <v>114</v>
      </c>
      <c r="G4" s="3583" t="s">
        <v>115</v>
      </c>
      <c r="H4" s="3583" t="s">
        <v>116</v>
      </c>
      <c r="I4" s="3583" t="s">
        <v>117</v>
      </c>
      <c r="J4" s="3583" t="s">
        <v>115</v>
      </c>
      <c r="K4" s="3656"/>
      <c r="L4" s="3656"/>
      <c r="M4" s="3655"/>
      <c r="N4" s="3657"/>
      <c r="O4" s="3655"/>
      <c r="P4" s="3656"/>
      <c r="Q4" s="3656"/>
      <c r="R4" s="3656"/>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26650.41</v>
      </c>
      <c r="O5" s="3587">
        <f>项目基本情况!C21</f>
        <v>46494.69</v>
      </c>
      <c r="P5" s="3587">
        <f ca="1">结果表!E42</f>
        <v>1235</v>
      </c>
      <c r="Q5" s="3587">
        <f ca="1">结果表!D42</f>
        <v>708</v>
      </c>
      <c r="R5" s="3596">
        <f ca="1">结果表!C42</f>
        <v>3290</v>
      </c>
    </row>
    <row r="6" spans="1:18">
      <c r="A6" s="3652" t="str">
        <f>IF(项目基本情况!B9="市场价格","——","抵押价格")</f>
        <v>抵押价格</v>
      </c>
      <c r="B6" s="3653"/>
      <c r="C6" s="3653"/>
      <c r="D6" s="3653"/>
      <c r="E6" s="3653"/>
      <c r="F6" s="3653"/>
      <c r="G6" s="3653"/>
      <c r="H6" s="3653"/>
      <c r="I6" s="3653"/>
      <c r="J6" s="3653"/>
      <c r="K6" s="3653"/>
      <c r="L6" s="3653"/>
      <c r="M6" s="3653"/>
      <c r="N6" s="3653"/>
      <c r="O6" s="3653"/>
      <c r="P6" s="3653"/>
      <c r="Q6" s="3654"/>
      <c r="R6" s="3597">
        <f ca="1">结果表!O39</f>
        <v>3290</v>
      </c>
    </row>
    <row r="7" spans="1:18">
      <c r="A7" s="3652" t="str">
        <f>IF(项目基本情况!B9="市场价格","——",IF(项目基本情况!E8="已注销及未注销","抵押担保权已注销时的抵押价格","——"))</f>
        <v>——</v>
      </c>
      <c r="B7" s="3653"/>
      <c r="C7" s="3653"/>
      <c r="D7" s="3653"/>
      <c r="E7" s="3653"/>
      <c r="F7" s="3653"/>
      <c r="G7" s="3653"/>
      <c r="H7" s="3653"/>
      <c r="I7" s="3653"/>
      <c r="J7" s="3653"/>
      <c r="K7" s="3653"/>
      <c r="L7" s="3653"/>
      <c r="M7" s="3653"/>
      <c r="N7" s="3653"/>
      <c r="O7" s="3653"/>
      <c r="P7" s="3653"/>
      <c r="Q7" s="3654"/>
      <c r="R7" s="3597" t="str">
        <f>结果表!O40</f>
        <v>——</v>
      </c>
    </row>
    <row r="8" spans="1:18">
      <c r="A8" s="3652">
        <f>IF(项目基本情况!B9="市场价格","——",项目基本情况!E9)</f>
        <v>0</v>
      </c>
      <c r="B8" s="3653"/>
      <c r="C8" s="3653"/>
      <c r="D8" s="3653"/>
      <c r="E8" s="3653"/>
      <c r="F8" s="3653"/>
      <c r="G8" s="3653"/>
      <c r="H8" s="3653"/>
      <c r="I8" s="3653"/>
      <c r="J8" s="3653"/>
      <c r="K8" s="3653"/>
      <c r="L8" s="3653"/>
      <c r="M8" s="3653"/>
      <c r="N8" s="3653"/>
      <c r="O8" s="3653"/>
      <c r="P8" s="3653"/>
      <c r="Q8" s="3654"/>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5"/>
    </row>
    <row r="16" spans="1:18">
      <c r="A16" s="1505"/>
    </row>
    <row r="17" spans="1:1">
      <c r="A17" s="1505"/>
    </row>
    <row r="18" spans="1:1">
      <c r="A18" s="1505"/>
    </row>
    <row r="19" spans="1:1">
      <c r="A19" s="1505"/>
    </row>
    <row r="20" spans="1:1">
      <c r="A20" s="3593"/>
    </row>
    <row r="21" spans="1:1">
      <c r="A21" s="3593"/>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58" t="s">
        <v>122</v>
      </c>
      <c r="B1" s="3658"/>
      <c r="C1" s="3658"/>
      <c r="D1" s="3658"/>
    </row>
    <row r="2" spans="1:4" ht="47.25" customHeight="1">
      <c r="A2" s="3659" t="str">
        <f>"1.权利限制："&amp;项目基本情况!L24&amp;"未设定租赁等其他他项权利。"</f>
        <v>1.权利限制：根据估价对象《不动产权证书》原件、《国有土地使用权》复印件，截至估价期日，估价对象抵押权未见登记。未设定租赁等其他他项权利。</v>
      </c>
      <c r="B2" s="3659"/>
      <c r="C2" s="3659"/>
      <c r="D2" s="3659"/>
    </row>
    <row r="3" spans="1:4" ht="48" customHeight="1">
      <c r="A3" s="36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8"/>
      <c r="C3" s="3658"/>
      <c r="D3" s="3658"/>
    </row>
    <row r="4" spans="1:4" ht="36.75" customHeight="1">
      <c r="A4" s="3658" t="str">
        <f>"3.估价规划限制条件：详见"&amp;项目基本情况!E21&amp;"。"</f>
        <v>3.估价规划限制条件：详见《建设工程规划许可证》[]、《出让合同》[]。</v>
      </c>
      <c r="B4" s="3658"/>
      <c r="C4" s="3658"/>
      <c r="D4" s="3658"/>
    </row>
    <row r="5" spans="1:4">
      <c r="A5" s="3660" t="s">
        <v>123</v>
      </c>
      <c r="B5" s="3660"/>
      <c r="C5" s="3660"/>
      <c r="D5" s="3660"/>
    </row>
    <row r="6" spans="1:4">
      <c r="A6" s="3658" t="s">
        <v>124</v>
      </c>
      <c r="B6" s="3658"/>
      <c r="C6" s="3658"/>
      <c r="D6" s="3658"/>
    </row>
    <row r="7" spans="1:4" ht="33" customHeight="1">
      <c r="A7" s="3658" t="s">
        <v>125</v>
      </c>
      <c r="B7" s="3658"/>
      <c r="C7" s="3658"/>
      <c r="D7" s="3658"/>
    </row>
    <row r="8" spans="1:4" ht="32.25" customHeight="1">
      <c r="A8" s="36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8"/>
      <c r="C8" s="3658"/>
      <c r="D8" s="3658"/>
    </row>
    <row r="9" spans="1:4" ht="33.75" customHeight="1">
      <c r="A9" s="36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8"/>
      <c r="C9" s="3658"/>
      <c r="D9" s="3658"/>
    </row>
    <row r="10" spans="1:4">
      <c r="A10" s="3658" t="str">
        <f>IF(项目基本情况!B8="抵押","4.估价师所知悉的法定优先受偿款情况为：","——")</f>
        <v>4.估价师所知悉的法定优先受偿款情况为：</v>
      </c>
      <c r="B10" s="3658"/>
      <c r="C10" s="3658"/>
      <c r="D10" s="3658"/>
    </row>
    <row r="11" spans="1:4" ht="37.5" customHeight="1">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1"/>
      <c r="C11" s="3661"/>
      <c r="D11" s="3661"/>
    </row>
    <row r="12" spans="1:4" ht="168" customHeight="1">
      <c r="A12" s="3660" t="s">
        <v>126</v>
      </c>
      <c r="B12" s="3660"/>
      <c r="C12" s="3660"/>
      <c r="D12" s="3660"/>
    </row>
    <row r="13" spans="1:4">
      <c r="A13" s="3662" t="s">
        <v>127</v>
      </c>
      <c r="B13" s="3662"/>
      <c r="C13" s="3662"/>
      <c r="D13" s="3662"/>
    </row>
    <row r="14" spans="1:4">
      <c r="A14" s="3661" t="str">
        <f>IF(项目基本情况!B8="抵押","综上，"&amp;结果表!K47,"——")</f>
        <v>综上，本次评估不存在估价师知悉的法定优先受偿款</v>
      </c>
      <c r="B14" s="3661"/>
      <c r="C14" s="3661"/>
      <c r="D14" s="3661"/>
    </row>
    <row r="15" spans="1:4" ht="58.5" customHeight="1">
      <c r="A15" s="36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8"/>
      <c r="C15" s="3658"/>
      <c r="D15" s="3658"/>
    </row>
    <row r="16" spans="1:4" ht="70.5" customHeight="1">
      <c r="A16" s="36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8"/>
      <c r="C16" s="3658"/>
      <c r="D16" s="3658"/>
    </row>
    <row r="17" spans="1:4">
      <c r="A17" s="3658" t="s">
        <v>128</v>
      </c>
      <c r="B17" s="3658"/>
      <c r="C17" s="3658"/>
      <c r="D17" s="3658"/>
    </row>
    <row r="18" spans="1:4">
      <c r="A18" s="3658" t="s">
        <v>129</v>
      </c>
      <c r="B18" s="3658"/>
      <c r="C18" s="3658"/>
      <c r="D18" s="3658"/>
    </row>
    <row r="19" spans="1:4">
      <c r="A19" s="3575" t="s">
        <v>130</v>
      </c>
      <c r="B19" s="3575" t="s">
        <v>131</v>
      </c>
      <c r="C19" s="3575" t="s">
        <v>132</v>
      </c>
      <c r="D19" s="3575" t="s">
        <v>133</v>
      </c>
    </row>
    <row r="20" spans="1:4">
      <c r="A20" s="3575" t="str">
        <f>项目基本情况!B4</f>
        <v>崔锴</v>
      </c>
      <c r="B20" s="3575">
        <f ca="1">项目基本情况!C4</f>
        <v>2010110070</v>
      </c>
      <c r="C20" s="3576"/>
      <c r="D20" s="3577" t="s">
        <v>134</v>
      </c>
    </row>
    <row r="21" spans="1:4">
      <c r="A21" s="3575" t="str">
        <f>项目基本情况!D4</f>
        <v>赵雯</v>
      </c>
      <c r="B21" s="3575">
        <f ca="1">项目基本情况!E4</f>
        <v>2011110090</v>
      </c>
      <c r="C21" s="3576"/>
      <c r="D21" s="3577" t="s">
        <v>134</v>
      </c>
    </row>
    <row r="23" spans="1:4">
      <c r="A23" s="3658" t="s">
        <v>135</v>
      </c>
      <c r="B23" s="3658"/>
      <c r="C23" s="3658"/>
      <c r="D23" s="3658"/>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6" t="s">
        <v>151</v>
      </c>
      <c r="B15" s="3663" t="s">
        <v>152</v>
      </c>
      <c r="C15" s="3664"/>
    </row>
    <row r="16" spans="1:7" ht="14.25">
      <c r="A16" s="3666"/>
      <c r="B16" s="3668" t="s">
        <v>153</v>
      </c>
      <c r="C16" s="3563" t="s">
        <v>151</v>
      </c>
    </row>
    <row r="17" spans="1:3" ht="14.25">
      <c r="A17" s="3666"/>
      <c r="B17" s="3668"/>
      <c r="C17" s="3563" t="s">
        <v>154</v>
      </c>
    </row>
    <row r="18" spans="1:3" ht="14.25">
      <c r="A18" s="3666"/>
      <c r="B18" s="3668"/>
      <c r="C18" s="3563" t="s">
        <v>155</v>
      </c>
    </row>
    <row r="19" spans="1:3" ht="14.25">
      <c r="A19" s="3666"/>
      <c r="B19" s="3665" t="s">
        <v>156</v>
      </c>
      <c r="C19" s="3664"/>
    </row>
    <row r="20" spans="1:3" ht="14.25">
      <c r="A20" s="3564" t="s">
        <v>157</v>
      </c>
      <c r="B20" s="3565"/>
      <c r="C20" s="3566"/>
    </row>
    <row r="21" spans="1:3" ht="14.25">
      <c r="A21" s="3667" t="s">
        <v>158</v>
      </c>
      <c r="B21" s="3665" t="s">
        <v>159</v>
      </c>
      <c r="C21" s="3664"/>
    </row>
    <row r="22" spans="1:3" ht="14.25">
      <c r="A22" s="3667"/>
      <c r="B22" s="3665" t="s">
        <v>160</v>
      </c>
      <c r="C22" s="3664"/>
    </row>
    <row r="23" spans="1:3" ht="14.25">
      <c r="A23" s="3667"/>
      <c r="B23" s="3665" t="s">
        <v>161</v>
      </c>
      <c r="C23" s="3664"/>
    </row>
    <row r="24" spans="1:3" ht="14.25">
      <c r="A24" s="3667"/>
      <c r="B24" s="3669" t="s">
        <v>162</v>
      </c>
      <c r="C24" s="3567" t="s">
        <v>163</v>
      </c>
    </row>
    <row r="25" spans="1:3" ht="14.25">
      <c r="A25" s="3667"/>
      <c r="B25" s="3670"/>
      <c r="C25" s="3567" t="s">
        <v>164</v>
      </c>
    </row>
    <row r="26" spans="1:3" ht="14.25">
      <c r="A26" s="3667"/>
      <c r="B26" s="3670"/>
      <c r="C26" s="3567" t="s">
        <v>165</v>
      </c>
    </row>
    <row r="27" spans="1:3" ht="14.25">
      <c r="A27" s="3667"/>
      <c r="B27" s="3670"/>
      <c r="C27" s="3567" t="s">
        <v>166</v>
      </c>
    </row>
    <row r="28" spans="1:3" ht="14.25">
      <c r="A28" s="3667"/>
      <c r="B28" s="3670"/>
      <c r="C28" s="3567" t="s">
        <v>167</v>
      </c>
    </row>
    <row r="29" spans="1:3" ht="14.25">
      <c r="A29" s="3667"/>
      <c r="B29" s="3670"/>
      <c r="C29" s="3567" t="s">
        <v>168</v>
      </c>
    </row>
    <row r="30" spans="1:3" ht="14.25">
      <c r="A30" s="3667"/>
      <c r="B30" s="3670"/>
      <c r="C30" s="3567" t="s">
        <v>169</v>
      </c>
    </row>
    <row r="31" spans="1:3" ht="14.25">
      <c r="A31" s="3667"/>
      <c r="B31" s="3670"/>
      <c r="C31" s="3567" t="s">
        <v>170</v>
      </c>
    </row>
    <row r="32" spans="1:3" ht="14.25">
      <c r="A32" s="3667"/>
      <c r="B32" s="3670"/>
      <c r="C32" s="3567" t="s">
        <v>171</v>
      </c>
    </row>
    <row r="33" spans="1:3" ht="14.25">
      <c r="A33" s="3667"/>
      <c r="B33" s="3671" t="s">
        <v>172</v>
      </c>
      <c r="C33" s="3567" t="s">
        <v>173</v>
      </c>
    </row>
    <row r="34" spans="1:3" ht="14.25">
      <c r="A34" s="3667"/>
      <c r="B34" s="3672"/>
      <c r="C34" s="3568" t="s">
        <v>174</v>
      </c>
    </row>
    <row r="35" spans="1:3" ht="14.25">
      <c r="A35" s="3667"/>
      <c r="B35" s="3672"/>
      <c r="C35" s="3569" t="s">
        <v>175</v>
      </c>
    </row>
    <row r="36" spans="1:3" ht="14.25">
      <c r="A36" s="3667"/>
      <c r="B36" s="3672"/>
      <c r="C36" s="3569" t="s">
        <v>176</v>
      </c>
    </row>
    <row r="37" spans="1:3" ht="14.25">
      <c r="A37" s="3667"/>
      <c r="B37" s="3673"/>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45258</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f ca="1">IF(C6&lt;B2,"已过期",1120050019)</f>
        <v>1120050019</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f ca="1">IF(C14&lt;B2,"已过期",1120020033)</f>
        <v>1120020033</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4" t="s">
        <v>204</v>
      </c>
      <c r="B18" s="3675"/>
      <c r="C18" s="3675"/>
      <c r="D18" s="3675"/>
      <c r="E18" s="3675"/>
      <c r="F18" s="3675"/>
      <c r="G18" s="3539"/>
    </row>
    <row r="19" spans="1:7" ht="20.25" customHeight="1">
      <c r="A19" s="3676" t="s">
        <v>205</v>
      </c>
      <c r="B19" s="3676"/>
      <c r="C19" s="3677"/>
      <c r="D19" s="3678" t="s">
        <v>206</v>
      </c>
      <c r="E19" s="3676"/>
      <c r="F19" s="3676"/>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5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7" customWidth="1"/>
    <col min="2" max="2" width="18.875" style="3498" customWidth="1"/>
    <col min="3" max="3" width="18.875" style="2617" customWidth="1"/>
    <col min="4" max="4" width="5.5" style="3499" customWidth="1"/>
    <col min="5" max="5" width="7.125" style="3499" customWidth="1"/>
    <col min="6" max="6" width="10.625" style="3499" customWidth="1"/>
    <col min="7" max="7" width="7.5" style="3499" customWidth="1"/>
    <col min="8" max="8" width="9" style="2617" customWidth="1"/>
    <col min="9" max="9" width="11.625" style="2617" customWidth="1"/>
    <col min="10" max="10" width="9" style="2617" customWidth="1"/>
    <col min="11" max="19" width="9" style="3499" customWidth="1"/>
    <col min="20" max="23" width="9" style="2617"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79"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c r="D53" s="3516"/>
      <c r="E53" s="3516"/>
    </row>
    <row r="54" spans="1:5">
      <c r="A54" s="3679"/>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79"/>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79"/>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79"/>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17" t="s">
        <v>353</v>
      </c>
      <c r="D58" s="2711" t="s">
        <v>354</v>
      </c>
    </row>
  </sheetData>
  <sheetProtection password="CEE9" sheet="1" objects="1" scenarios="1" formatCells="0" formatColumns="0" formatRows="0"/>
  <mergeCells count="1">
    <mergeCell ref="A53:A57"/>
  </mergeCells>
  <phoneticPr fontId="25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土地案例</vt:lpstr>
      <vt:lpstr>Sheet3</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2017-03-09T08:11:00Z</cp:lastPrinted>
  <dcterms:created xsi:type="dcterms:W3CDTF">2015-07-13T07:17:00Z</dcterms:created>
  <dcterms:modified xsi:type="dcterms:W3CDTF">2023-11-28T05:43:55Z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EFB3A5897F18448D92C71D80A5DA02E2_12</vt:lpwstr>
  </property>
  <property fmtid="{D5CDD505-2E9C-101B-9397-08002B2CF9AE}" pid="3" name="KSOProductBuildVer">
    <vt:lpwstr>2052-12.1.0.15712</vt:lpwstr>
  </property>
</Properties>
</file>